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D:\FRANCISCO JAVIER\1. FJNA 2022\2. PROCESOS DE CONTRATACION 2022\4. LICITACION PUBLICA VIGILANCIA\EVALUACION DEFINITIVA 24112022\CORRECION\"/>
    </mc:Choice>
  </mc:AlternateContent>
  <xr:revisionPtr revIDLastSave="0" documentId="8_{C58284BD-9D3A-4756-8BD4-424E1FE0CA62}" xr6:coauthVersionLast="36" xr6:coauthVersionMax="36" xr10:uidLastSave="{00000000-0000-0000-0000-000000000000}"/>
  <bookViews>
    <workbookView xWindow="0" yWindow="0" windowWidth="28800" windowHeight="12225" activeTab="1" xr2:uid="{00000000-000D-0000-FFFF-FFFF00000000}"/>
  </bookViews>
  <sheets>
    <sheet name="CALIFICACION" sheetId="5" r:id="rId1"/>
    <sheet name="consolidado" sheetId="6" r:id="rId2"/>
    <sheet name="oferta economica" sheetId="40" r:id="rId3"/>
    <sheet name="oferta 1" sheetId="7" r:id="rId4"/>
    <sheet name="oferta 2" sheetId="8" r:id="rId5"/>
    <sheet name="oferta 3" sheetId="9" r:id="rId6"/>
    <sheet name="oferta 4" sheetId="11" r:id="rId7"/>
    <sheet name="oferta 5" sheetId="12" r:id="rId8"/>
    <sheet name="oferta 6" sheetId="13" r:id="rId9"/>
    <sheet name="oferta 7" sheetId="14" r:id="rId10"/>
    <sheet name="oferta 8" sheetId="15" r:id="rId11"/>
    <sheet name="oferta 9" sheetId="16" r:id="rId12"/>
    <sheet name="oferta 10" sheetId="17" r:id="rId13"/>
    <sheet name="oferta 11" sheetId="19" r:id="rId14"/>
    <sheet name="oferta 12" sheetId="20" r:id="rId15"/>
    <sheet name="oferta 13" sheetId="21" r:id="rId16"/>
    <sheet name="oferta 14" sheetId="23" r:id="rId17"/>
    <sheet name="oferta 15" sheetId="24" r:id="rId18"/>
    <sheet name="oferta 17" sheetId="25" r:id="rId19"/>
    <sheet name="oferta 18" sheetId="22" r:id="rId20"/>
    <sheet name="oferta 19" sheetId="26" r:id="rId21"/>
    <sheet name="oferta 20" sheetId="27" r:id="rId22"/>
    <sheet name="oferta 21" sheetId="28" r:id="rId23"/>
    <sheet name="oferta 22" sheetId="29" r:id="rId24"/>
    <sheet name="oferta 23" sheetId="30" r:id="rId25"/>
    <sheet name="oferta 24" sheetId="31" r:id="rId26"/>
    <sheet name="oferta 25" sheetId="34" r:id="rId27"/>
    <sheet name="oferta 26" sheetId="33" r:id="rId28"/>
    <sheet name="oferta 27" sheetId="35" r:id="rId29"/>
    <sheet name="oferta 28 r" sheetId="37" r:id="rId30"/>
    <sheet name="oferta 29" sheetId="39" r:id="rId31"/>
  </sheets>
  <externalReferences>
    <externalReference r:id="rId32"/>
    <externalReference r:id="rId33"/>
    <externalReference r:id="rId34"/>
    <externalReference r:id="rId35"/>
    <externalReference r:id="rId36"/>
    <externalReference r:id="rId37"/>
    <externalReference r:id="rId38"/>
    <externalReference r:id="rId39"/>
  </externalReferences>
  <definedNames>
    <definedName name="VB_lnkFDDocument_0" localSheetId="0">CALIFICACION!$BE$1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8" i="6" l="1"/>
  <c r="N18" i="6"/>
  <c r="S222" i="5"/>
  <c r="U220" i="5"/>
  <c r="U221" i="5" s="1"/>
  <c r="U218" i="5"/>
  <c r="U216" i="5"/>
  <c r="U215" i="5"/>
  <c r="U212" i="5"/>
  <c r="T212" i="5"/>
  <c r="S212" i="5"/>
  <c r="U213" i="5"/>
  <c r="S206" i="5"/>
  <c r="U204" i="5"/>
  <c r="U205" i="5" s="1"/>
  <c r="U202" i="5"/>
  <c r="U210" i="5"/>
  <c r="U208" i="5"/>
  <c r="U207" i="5"/>
  <c r="G24" i="34"/>
  <c r="AA52" i="6"/>
  <c r="AA51" i="6"/>
  <c r="AA49" i="6"/>
  <c r="AA47" i="6"/>
  <c r="AA46" i="6"/>
  <c r="AA44" i="6"/>
  <c r="AA41" i="6"/>
  <c r="AA39" i="6"/>
  <c r="AA38" i="6"/>
  <c r="AA36" i="6"/>
  <c r="AA34" i="6"/>
  <c r="AA32" i="6"/>
  <c r="AA30" i="6"/>
  <c r="AA28" i="6"/>
  <c r="AA26" i="6"/>
  <c r="AA24" i="6"/>
  <c r="AA23" i="6"/>
  <c r="AA21" i="6"/>
  <c r="AA18" i="6"/>
  <c r="AA16" i="6"/>
  <c r="AA14" i="6"/>
  <c r="AA12" i="6"/>
  <c r="AA10" i="6"/>
  <c r="AA8" i="6"/>
  <c r="AA7" i="6"/>
  <c r="AA6" i="6"/>
  <c r="AA4" i="6"/>
  <c r="AA3" i="6"/>
  <c r="E2" i="40"/>
  <c r="E3" i="40"/>
  <c r="E4" i="40"/>
  <c r="E5" i="40"/>
  <c r="E6" i="40"/>
  <c r="E7" i="40"/>
  <c r="E8" i="40"/>
  <c r="E9" i="40"/>
  <c r="E10" i="40"/>
  <c r="E11" i="40"/>
  <c r="E12" i="40"/>
  <c r="E13" i="40"/>
  <c r="E14" i="40"/>
  <c r="E15" i="40"/>
  <c r="E16" i="40"/>
  <c r="E17" i="40"/>
  <c r="E18" i="40"/>
  <c r="E19" i="40"/>
  <c r="E20" i="40"/>
  <c r="E21" i="40"/>
  <c r="E22" i="40"/>
  <c r="E23" i="40"/>
  <c r="E24" i="40"/>
  <c r="E25" i="40"/>
  <c r="E26" i="40"/>
  <c r="E27" i="40"/>
  <c r="E28" i="40"/>
  <c r="E1" i="40"/>
  <c r="D28" i="40"/>
  <c r="D27" i="40"/>
  <c r="D26" i="40"/>
  <c r="D25" i="40"/>
  <c r="D23" i="40"/>
  <c r="E35" i="31"/>
  <c r="D22" i="40"/>
  <c r="D24" i="40"/>
  <c r="D21" i="40"/>
  <c r="D20" i="40"/>
  <c r="D19" i="40"/>
  <c r="D18" i="40"/>
  <c r="D17" i="40"/>
  <c r="D16" i="40"/>
  <c r="D15" i="40"/>
  <c r="D14" i="40"/>
  <c r="D13" i="40"/>
  <c r="D12" i="40"/>
  <c r="D11" i="40"/>
  <c r="D10" i="40"/>
  <c r="D9" i="40"/>
  <c r="D8" i="40"/>
  <c r="D7" i="40"/>
  <c r="D6" i="40"/>
  <c r="D5" i="40"/>
  <c r="D4" i="40"/>
  <c r="D3" i="40"/>
  <c r="D2" i="40"/>
  <c r="D1" i="40"/>
  <c r="V51" i="6" l="1"/>
  <c r="T51" i="6"/>
  <c r="R51" i="6"/>
  <c r="P51" i="6"/>
  <c r="N51" i="6"/>
  <c r="X47" i="6"/>
  <c r="V47" i="6"/>
  <c r="T47" i="6"/>
  <c r="R47" i="6"/>
  <c r="P47" i="6"/>
  <c r="N47" i="6"/>
  <c r="X41" i="6"/>
  <c r="V41" i="6"/>
  <c r="T41" i="6"/>
  <c r="R41" i="6"/>
  <c r="P41" i="6"/>
  <c r="N41" i="6"/>
  <c r="X38" i="6"/>
  <c r="V38" i="6"/>
  <c r="T38" i="6"/>
  <c r="R38" i="6"/>
  <c r="P38" i="6"/>
  <c r="N38" i="6"/>
  <c r="X36" i="6"/>
  <c r="V36" i="6"/>
  <c r="T36" i="6"/>
  <c r="R36" i="6"/>
  <c r="P36" i="6"/>
  <c r="N36" i="6"/>
  <c r="X26" i="6"/>
  <c r="T26" i="6"/>
  <c r="R26" i="6"/>
  <c r="P26" i="6"/>
  <c r="N26" i="6"/>
  <c r="X24" i="6"/>
  <c r="V24" i="6"/>
  <c r="T24" i="6"/>
  <c r="R24" i="6"/>
  <c r="P24" i="6"/>
  <c r="N24" i="6"/>
  <c r="X21" i="6"/>
  <c r="V21" i="6"/>
  <c r="T21" i="6"/>
  <c r="R21" i="6"/>
  <c r="P21" i="6"/>
  <c r="N21" i="6"/>
  <c r="X18" i="6"/>
  <c r="X16" i="6"/>
  <c r="V16" i="6"/>
  <c r="T16" i="6"/>
  <c r="R16" i="6"/>
  <c r="P16" i="6"/>
  <c r="N16" i="6"/>
  <c r="X14" i="6"/>
  <c r="V14" i="6"/>
  <c r="T14" i="6"/>
  <c r="R14" i="6"/>
  <c r="P14" i="6"/>
  <c r="N14" i="6"/>
  <c r="X10" i="6"/>
  <c r="V10" i="6"/>
  <c r="T10" i="6"/>
  <c r="R10" i="6"/>
  <c r="P10" i="6"/>
  <c r="N10" i="6"/>
  <c r="J208" i="5"/>
  <c r="G7" i="39"/>
  <c r="G7" i="37"/>
  <c r="G7" i="35"/>
  <c r="G7" i="33"/>
  <c r="G7" i="34"/>
  <c r="G11" i="31"/>
  <c r="G7" i="30"/>
  <c r="G24" i="28"/>
  <c r="G7" i="29"/>
  <c r="G7" i="28"/>
  <c r="G7" i="27"/>
  <c r="G12" i="26"/>
  <c r="G7" i="26"/>
  <c r="G7" i="22"/>
  <c r="G7" i="25"/>
  <c r="G7" i="24"/>
  <c r="G12" i="24"/>
  <c r="G7" i="23" l="1"/>
  <c r="G7" i="21"/>
  <c r="G7" i="20"/>
  <c r="G7" i="19"/>
  <c r="G7" i="17"/>
  <c r="G7" i="16"/>
  <c r="G7" i="14"/>
  <c r="G7" i="13"/>
  <c r="G7" i="12"/>
  <c r="G7" i="11"/>
  <c r="G7" i="9"/>
  <c r="G7" i="8"/>
  <c r="G7" i="7"/>
  <c r="G22" i="39"/>
  <c r="G22" i="37"/>
  <c r="G22" i="35"/>
  <c r="G22" i="33"/>
  <c r="G22" i="34"/>
  <c r="F30" i="31"/>
  <c r="G22" i="30"/>
  <c r="G22" i="29"/>
  <c r="G22" i="28"/>
  <c r="G22" i="26"/>
  <c r="G22" i="22"/>
  <c r="G22" i="25"/>
  <c r="G22" i="24"/>
  <c r="H24" i="23"/>
  <c r="G22" i="23"/>
  <c r="G22" i="21"/>
  <c r="G22" i="20"/>
  <c r="G22" i="19"/>
  <c r="G22" i="17"/>
  <c r="G22" i="16"/>
  <c r="G22" i="14"/>
  <c r="G22" i="13"/>
  <c r="G22" i="12"/>
  <c r="G22" i="11"/>
  <c r="G22" i="9"/>
  <c r="G22" i="8"/>
  <c r="G22" i="7"/>
  <c r="G10" i="39"/>
  <c r="G10" i="37"/>
  <c r="G10" i="35"/>
  <c r="G10" i="33"/>
  <c r="G10" i="34"/>
  <c r="G15" i="31"/>
  <c r="G10" i="30"/>
  <c r="G10" i="29"/>
  <c r="G10" i="28"/>
  <c r="G10" i="26"/>
  <c r="G10" i="22"/>
  <c r="G10" i="25"/>
  <c r="G10" i="24"/>
  <c r="G10" i="23"/>
  <c r="G10" i="21"/>
  <c r="G10" i="20"/>
  <c r="G10" i="19"/>
  <c r="G10" i="17"/>
  <c r="G10" i="16"/>
  <c r="G10" i="14"/>
  <c r="G10" i="13"/>
  <c r="G10" i="12"/>
  <c r="G10" i="11"/>
  <c r="G10" i="9"/>
  <c r="G10" i="8"/>
  <c r="G11" i="7"/>
  <c r="G19" i="37"/>
  <c r="G12" i="23"/>
  <c r="G19" i="23"/>
  <c r="G39" i="13"/>
  <c r="G19" i="39"/>
  <c r="G19" i="35"/>
  <c r="G19" i="33"/>
  <c r="G19" i="34"/>
  <c r="G25" i="31"/>
  <c r="G19" i="30"/>
  <c r="G19" i="29"/>
  <c r="G19" i="27"/>
  <c r="G19" i="26"/>
  <c r="G19" i="22"/>
  <c r="G19" i="25"/>
  <c r="G19" i="24"/>
  <c r="G19" i="21"/>
  <c r="G19" i="20"/>
  <c r="G19" i="19"/>
  <c r="G19" i="17"/>
  <c r="G19" i="16"/>
  <c r="G19" i="14"/>
  <c r="G19" i="13"/>
  <c r="G19" i="12"/>
  <c r="G19" i="11"/>
  <c r="G19" i="9"/>
  <c r="G19" i="8"/>
  <c r="G19" i="7"/>
  <c r="G12" i="39"/>
  <c r="G12" i="35"/>
  <c r="G12" i="33"/>
  <c r="G12" i="34"/>
  <c r="G17" i="31"/>
  <c r="G12" i="30"/>
  <c r="G12" i="29"/>
  <c r="G12" i="22"/>
  <c r="G12" i="21"/>
  <c r="G12" i="20"/>
  <c r="G12" i="19"/>
  <c r="G12" i="17"/>
  <c r="G12" i="13" l="1"/>
  <c r="G12" i="12"/>
  <c r="G12" i="11"/>
  <c r="G12" i="9"/>
  <c r="G12" i="8"/>
  <c r="C22" i="39"/>
  <c r="F22" i="39" s="1"/>
  <c r="F23" i="39" s="1"/>
  <c r="F17" i="39"/>
  <c r="F18" i="39"/>
  <c r="F16" i="39"/>
  <c r="D17" i="39"/>
  <c r="D18" i="39"/>
  <c r="D16" i="39"/>
  <c r="F5" i="39"/>
  <c r="F7" i="39" s="1"/>
  <c r="F6" i="39"/>
  <c r="F4" i="39"/>
  <c r="F10" i="39"/>
  <c r="F11" i="39" s="1"/>
  <c r="F17" i="37"/>
  <c r="F18" i="37"/>
  <c r="F16" i="37"/>
  <c r="D18" i="37"/>
  <c r="D17" i="37"/>
  <c r="D16" i="37"/>
  <c r="F22" i="37"/>
  <c r="F23" i="37" s="1"/>
  <c r="F10" i="37"/>
  <c r="F11" i="37" s="1"/>
  <c r="F6" i="37"/>
  <c r="F5" i="37"/>
  <c r="F4" i="37"/>
  <c r="F19" i="39" l="1"/>
  <c r="F24" i="39" s="1"/>
  <c r="F12" i="39"/>
  <c r="F19" i="37"/>
  <c r="F24" i="37" s="1"/>
  <c r="F7" i="37"/>
  <c r="F12" i="37" s="1"/>
  <c r="F25" i="39" l="1"/>
  <c r="F25" i="37"/>
  <c r="F23" i="35" l="1"/>
  <c r="F22" i="35"/>
  <c r="D18" i="35"/>
  <c r="F18" i="35" s="1"/>
  <c r="F17" i="35"/>
  <c r="D17" i="35"/>
  <c r="D16" i="35"/>
  <c r="F16" i="35" s="1"/>
  <c r="F11" i="35"/>
  <c r="F10" i="35"/>
  <c r="F7" i="35"/>
  <c r="F12" i="35" s="1"/>
  <c r="F6" i="35"/>
  <c r="F5" i="35"/>
  <c r="F4" i="35"/>
  <c r="F19" i="35" l="1"/>
  <c r="F24" i="35" s="1"/>
  <c r="F25" i="35" s="1"/>
  <c r="C22" i="33" l="1"/>
  <c r="F17" i="33"/>
  <c r="F18" i="33"/>
  <c r="F6" i="33"/>
  <c r="F4" i="33"/>
  <c r="F22" i="33"/>
  <c r="F23" i="33" s="1"/>
  <c r="F16" i="33"/>
  <c r="F5" i="33"/>
  <c r="F19" i="33" l="1"/>
  <c r="F24" i="33" s="1"/>
  <c r="F7" i="33"/>
  <c r="F10" i="33"/>
  <c r="F11" i="33" s="1"/>
  <c r="F12" i="33" l="1"/>
  <c r="F25" i="33" s="1"/>
  <c r="D17" i="34" l="1"/>
  <c r="F17" i="34" s="1"/>
  <c r="F19" i="34" s="1"/>
  <c r="D18" i="34"/>
  <c r="D16" i="34"/>
  <c r="C22" i="34"/>
  <c r="F22" i="34" s="1"/>
  <c r="F23" i="34" s="1"/>
  <c r="F18" i="34"/>
  <c r="F16" i="34"/>
  <c r="F10" i="34"/>
  <c r="F11" i="34" s="1"/>
  <c r="F6" i="34"/>
  <c r="F5" i="34"/>
  <c r="F4" i="34"/>
  <c r="J34" i="31"/>
  <c r="I24" i="31"/>
  <c r="F24" i="31"/>
  <c r="D23" i="31"/>
  <c r="I23" i="31" s="1"/>
  <c r="I22" i="31"/>
  <c r="D22" i="31"/>
  <c r="F22" i="31" s="1"/>
  <c r="I15" i="31"/>
  <c r="C15" i="31"/>
  <c r="C30" i="31" s="1"/>
  <c r="D10" i="31"/>
  <c r="I10" i="31" s="1"/>
  <c r="I9" i="31"/>
  <c r="D9" i="31"/>
  <c r="F9" i="31" s="1"/>
  <c r="I8" i="31"/>
  <c r="F8" i="31"/>
  <c r="D8" i="31"/>
  <c r="I1" i="31"/>
  <c r="I2" i="31" s="1"/>
  <c r="F24" i="34" l="1"/>
  <c r="F7" i="34"/>
  <c r="F12" i="34" s="1"/>
  <c r="F11" i="31"/>
  <c r="F17" i="31" s="1"/>
  <c r="E30" i="31"/>
  <c r="E31" i="31" s="1"/>
  <c r="I30" i="31"/>
  <c r="I3" i="31"/>
  <c r="F10" i="31"/>
  <c r="F15" i="31"/>
  <c r="F16" i="31" s="1"/>
  <c r="F23" i="31"/>
  <c r="F25" i="31" s="1"/>
  <c r="E32" i="31" s="1"/>
  <c r="F25" i="34" l="1"/>
  <c r="E33" i="31"/>
  <c r="C22" i="30" l="1"/>
  <c r="F22" i="30" s="1"/>
  <c r="F23" i="30" s="1"/>
  <c r="I23" i="30" s="1"/>
  <c r="I19" i="30"/>
  <c r="C10" i="30"/>
  <c r="F10" i="30" s="1"/>
  <c r="F11" i="30" s="1"/>
  <c r="E8" i="30"/>
  <c r="I7" i="30"/>
  <c r="I1" i="30"/>
  <c r="D4" i="30" s="1"/>
  <c r="I4" i="30" l="1"/>
  <c r="D16" i="30"/>
  <c r="F16" i="30" s="1"/>
  <c r="F4" i="30"/>
  <c r="I2" i="30"/>
  <c r="I3" i="30"/>
  <c r="D5" i="30" l="1"/>
  <c r="D6" i="30"/>
  <c r="I6" i="30" l="1"/>
  <c r="F6" i="30"/>
  <c r="D18" i="30"/>
  <c r="F18" i="30" s="1"/>
  <c r="F5" i="30"/>
  <c r="F7" i="30" s="1"/>
  <c r="D17" i="30"/>
  <c r="F17" i="30" s="1"/>
  <c r="F19" i="30" s="1"/>
  <c r="I5" i="30"/>
  <c r="F12" i="30" l="1"/>
  <c r="J7" i="30"/>
  <c r="F24" i="30"/>
  <c r="J19" i="30"/>
  <c r="F25" i="30" l="1"/>
  <c r="I25" i="30" s="1"/>
  <c r="F18" i="29" l="1"/>
  <c r="F17" i="29"/>
  <c r="F16" i="29"/>
  <c r="F19" i="29" s="1"/>
  <c r="C22" i="29"/>
  <c r="F22" i="29" s="1"/>
  <c r="F23" i="29" s="1"/>
  <c r="F24" i="29" s="1"/>
  <c r="F6" i="29"/>
  <c r="F5" i="29"/>
  <c r="F4" i="29"/>
  <c r="F7" i="29" s="1"/>
  <c r="F10" i="29" l="1"/>
  <c r="F11" i="29" s="1"/>
  <c r="F12" i="29" s="1"/>
  <c r="F25" i="29" s="1"/>
  <c r="F22" i="27" l="1"/>
  <c r="F19" i="27"/>
  <c r="F18" i="27"/>
  <c r="F17" i="27"/>
  <c r="F16" i="27"/>
  <c r="F10" i="27"/>
  <c r="F7" i="27"/>
  <c r="F6" i="27"/>
  <c r="F5" i="27"/>
  <c r="F4" i="27"/>
  <c r="F23" i="27" l="1"/>
  <c r="F24" i="27" s="1"/>
  <c r="G24" i="27" s="1"/>
  <c r="G22" i="27"/>
  <c r="F11" i="27"/>
  <c r="G10" i="27"/>
  <c r="F12" i="27"/>
  <c r="F25" i="27" l="1"/>
  <c r="G12" i="27"/>
  <c r="F18" i="26"/>
  <c r="F17" i="26"/>
  <c r="F16" i="26"/>
  <c r="F19" i="26" s="1"/>
  <c r="C10" i="26"/>
  <c r="C22" i="26" s="1"/>
  <c r="F22" i="26" s="1"/>
  <c r="F23" i="26" s="1"/>
  <c r="F24" i="26" s="1"/>
  <c r="F6" i="26"/>
  <c r="F5" i="26"/>
  <c r="F4" i="26"/>
  <c r="F7" i="26" s="1"/>
  <c r="F10" i="26" l="1"/>
  <c r="F11" i="26" s="1"/>
  <c r="F12" i="26" s="1"/>
  <c r="F25" i="26" s="1"/>
  <c r="D18" i="22" l="1"/>
  <c r="F18" i="22" s="1"/>
  <c r="D16" i="22"/>
  <c r="D17" i="22" s="1"/>
  <c r="F17" i="22" s="1"/>
  <c r="C10" i="22"/>
  <c r="C22" i="22" s="1"/>
  <c r="F22" i="22" s="1"/>
  <c r="F23" i="22" s="1"/>
  <c r="D6" i="22"/>
  <c r="F6" i="22" s="1"/>
  <c r="D4" i="22"/>
  <c r="D5" i="22" s="1"/>
  <c r="F5" i="22" s="1"/>
  <c r="F10" i="22" l="1"/>
  <c r="F11" i="22" s="1"/>
  <c r="F16" i="22"/>
  <c r="F19" i="22" s="1"/>
  <c r="F24" i="22" s="1"/>
  <c r="F4" i="22"/>
  <c r="F7" i="22" s="1"/>
  <c r="F12" i="22" s="1"/>
  <c r="F25" i="22" s="1"/>
  <c r="D17" i="25" l="1"/>
  <c r="F17" i="25" s="1"/>
  <c r="D18" i="25"/>
  <c r="D16" i="25"/>
  <c r="F16" i="25" s="1"/>
  <c r="C22" i="25"/>
  <c r="F22" i="25" s="1"/>
  <c r="F23" i="25" s="1"/>
  <c r="F18" i="25"/>
  <c r="F10" i="25"/>
  <c r="F11" i="25" s="1"/>
  <c r="F6" i="25"/>
  <c r="F5" i="25"/>
  <c r="F4" i="25"/>
  <c r="C22" i="24"/>
  <c r="F22" i="24" s="1"/>
  <c r="F23" i="24" s="1"/>
  <c r="F18" i="24"/>
  <c r="F17" i="24"/>
  <c r="F16" i="24"/>
  <c r="F10" i="24"/>
  <c r="F11" i="24" s="1"/>
  <c r="F6" i="24"/>
  <c r="F5" i="24"/>
  <c r="F4" i="24"/>
  <c r="F23" i="23"/>
  <c r="C22" i="23"/>
  <c r="F18" i="23"/>
  <c r="F17" i="23"/>
  <c r="F16" i="23"/>
  <c r="F10" i="23"/>
  <c r="F11" i="23" s="1"/>
  <c r="F6" i="23"/>
  <c r="F5" i="23"/>
  <c r="F4" i="23"/>
  <c r="C22" i="21"/>
  <c r="F22" i="21" s="1"/>
  <c r="F23" i="21" s="1"/>
  <c r="F19" i="21"/>
  <c r="F18" i="21"/>
  <c r="F17" i="21"/>
  <c r="F16" i="21"/>
  <c r="F10" i="21"/>
  <c r="F11" i="21" s="1"/>
  <c r="F6" i="21"/>
  <c r="F5" i="21"/>
  <c r="F4" i="21"/>
  <c r="C22" i="20"/>
  <c r="F22" i="20" s="1"/>
  <c r="F23" i="20" s="1"/>
  <c r="F18" i="20"/>
  <c r="F17" i="20"/>
  <c r="F16" i="20"/>
  <c r="F10" i="20"/>
  <c r="F11" i="20" s="1"/>
  <c r="F6" i="20"/>
  <c r="F5" i="20"/>
  <c r="F4" i="20"/>
  <c r="C22" i="19"/>
  <c r="F22" i="19" s="1"/>
  <c r="F23" i="19" s="1"/>
  <c r="F19" i="19"/>
  <c r="F18" i="19"/>
  <c r="F17" i="19"/>
  <c r="F16" i="19"/>
  <c r="F10" i="19"/>
  <c r="F11" i="19" s="1"/>
  <c r="F6" i="19"/>
  <c r="F5" i="19"/>
  <c r="F4" i="19"/>
  <c r="F22" i="17"/>
  <c r="F23" i="17" s="1"/>
  <c r="F24" i="17" s="1"/>
  <c r="C22" i="17"/>
  <c r="F18" i="17"/>
  <c r="F17" i="17"/>
  <c r="F19" i="17" s="1"/>
  <c r="F16" i="17"/>
  <c r="F10" i="17"/>
  <c r="F11" i="17" s="1"/>
  <c r="F12" i="17" s="1"/>
  <c r="F25" i="17" s="1"/>
  <c r="F6" i="17"/>
  <c r="F5" i="17"/>
  <c r="F4" i="17"/>
  <c r="F7" i="17" s="1"/>
  <c r="F19" i="25" l="1"/>
  <c r="F24" i="25" s="1"/>
  <c r="F7" i="25"/>
  <c r="F12" i="25" s="1"/>
  <c r="F19" i="24"/>
  <c r="F24" i="24" s="1"/>
  <c r="F12" i="24"/>
  <c r="F7" i="24"/>
  <c r="F19" i="23"/>
  <c r="F24" i="23" s="1"/>
  <c r="F7" i="23"/>
  <c r="F12" i="23" s="1"/>
  <c r="F24" i="21"/>
  <c r="F7" i="21"/>
  <c r="F12" i="21" s="1"/>
  <c r="F19" i="20"/>
  <c r="F24" i="20" s="1"/>
  <c r="F7" i="20"/>
  <c r="F12" i="20" s="1"/>
  <c r="F24" i="19"/>
  <c r="F7" i="19"/>
  <c r="F12" i="19" s="1"/>
  <c r="D18" i="16"/>
  <c r="F18" i="16" s="1"/>
  <c r="D17" i="16"/>
  <c r="F17" i="16" s="1"/>
  <c r="D16" i="16"/>
  <c r="F16" i="16" s="1"/>
  <c r="C10" i="16"/>
  <c r="C22" i="16" s="1"/>
  <c r="F22" i="16" s="1"/>
  <c r="F23" i="16" s="1"/>
  <c r="F6" i="16"/>
  <c r="F5" i="16"/>
  <c r="F4" i="16"/>
  <c r="F7" i="16" l="1"/>
  <c r="F25" i="25"/>
  <c r="F25" i="24"/>
  <c r="F25" i="23"/>
  <c r="F25" i="21"/>
  <c r="F25" i="20"/>
  <c r="F25" i="19"/>
  <c r="F19" i="16"/>
  <c r="F24" i="16" s="1"/>
  <c r="F10" i="16"/>
  <c r="F11" i="16" s="1"/>
  <c r="F12" i="16" s="1"/>
  <c r="F25" i="16" l="1"/>
  <c r="D19" i="15"/>
  <c r="F19" i="15" s="1"/>
  <c r="D18" i="15"/>
  <c r="F18" i="15" s="1"/>
  <c r="D17" i="15"/>
  <c r="F17" i="15" s="1"/>
  <c r="F20" i="15" s="1"/>
  <c r="G20" i="15" s="1"/>
  <c r="C23" i="15"/>
  <c r="F23" i="15" s="1"/>
  <c r="F7" i="15"/>
  <c r="F6" i="15"/>
  <c r="F5" i="15"/>
  <c r="F8" i="15" s="1"/>
  <c r="G8" i="15" s="1"/>
  <c r="F24" i="15" l="1"/>
  <c r="G23" i="15"/>
  <c r="F25" i="15"/>
  <c r="F11" i="15"/>
  <c r="F12" i="15" l="1"/>
  <c r="F13" i="15" s="1"/>
  <c r="G13" i="15" s="1"/>
  <c r="G11" i="15"/>
  <c r="F26" i="15"/>
  <c r="F25" i="13" l="1"/>
  <c r="F22" i="13"/>
  <c r="F23" i="13" s="1"/>
  <c r="C22" i="13"/>
  <c r="D18" i="13"/>
  <c r="F18" i="13" s="1"/>
  <c r="D17" i="13"/>
  <c r="F17" i="13" s="1"/>
  <c r="D16" i="13"/>
  <c r="F16" i="13" s="1"/>
  <c r="F11" i="13"/>
  <c r="F12" i="13" s="1"/>
  <c r="F10" i="13"/>
  <c r="F7" i="13"/>
  <c r="F6" i="13"/>
  <c r="F5" i="13"/>
  <c r="F4" i="13"/>
  <c r="F19" i="13" l="1"/>
  <c r="F24" i="13"/>
  <c r="C22" i="12" l="1"/>
  <c r="F22" i="12" s="1"/>
  <c r="F23" i="12" s="1"/>
  <c r="D18" i="12"/>
  <c r="F18" i="12" s="1"/>
  <c r="D16" i="12"/>
  <c r="F16" i="12" s="1"/>
  <c r="F19" i="12" s="1"/>
  <c r="C10" i="12"/>
  <c r="F10" i="12" s="1"/>
  <c r="F11" i="12" s="1"/>
  <c r="D6" i="12"/>
  <c r="F6" i="12" s="1"/>
  <c r="D5" i="12"/>
  <c r="D17" i="12" s="1"/>
  <c r="F17" i="12" s="1"/>
  <c r="D4" i="12"/>
  <c r="F4" i="12" s="1"/>
  <c r="F24" i="12" l="1"/>
  <c r="F5" i="12"/>
  <c r="F7" i="12" s="1"/>
  <c r="F12" i="12" s="1"/>
  <c r="F25" i="12" s="1"/>
  <c r="C22" i="11" l="1"/>
  <c r="F22" i="11" s="1"/>
  <c r="F23" i="11" s="1"/>
  <c r="D18" i="11"/>
  <c r="F18" i="11" s="1"/>
  <c r="D17" i="11"/>
  <c r="F17" i="11" s="1"/>
  <c r="D16" i="11"/>
  <c r="F16" i="11" s="1"/>
  <c r="F10" i="11"/>
  <c r="F11" i="11" s="1"/>
  <c r="F6" i="11"/>
  <c r="F5" i="11"/>
  <c r="F4" i="11"/>
  <c r="D18" i="9"/>
  <c r="F18" i="9" s="1"/>
  <c r="D16" i="9"/>
  <c r="F16" i="9" s="1"/>
  <c r="F19" i="9" s="1"/>
  <c r="C10" i="9"/>
  <c r="C22" i="9" s="1"/>
  <c r="F22" i="9" s="1"/>
  <c r="F23" i="9" s="1"/>
  <c r="F6" i="9"/>
  <c r="D5" i="9"/>
  <c r="D17" i="9" s="1"/>
  <c r="F17" i="9" s="1"/>
  <c r="F4" i="9"/>
  <c r="F7" i="11" l="1"/>
  <c r="F12" i="11" s="1"/>
  <c r="F19" i="11"/>
  <c r="F24" i="11" s="1"/>
  <c r="F24" i="9"/>
  <c r="F7" i="9"/>
  <c r="F5" i="9"/>
  <c r="F10" i="9"/>
  <c r="F11" i="9" s="1"/>
  <c r="F25" i="11" l="1"/>
  <c r="F12" i="9"/>
  <c r="F25" i="9" s="1"/>
  <c r="C22" i="8"/>
  <c r="F22" i="8" s="1"/>
  <c r="F23" i="8" s="1"/>
  <c r="D18" i="8"/>
  <c r="F18" i="8" s="1"/>
  <c r="D17" i="8"/>
  <c r="F17" i="8" s="1"/>
  <c r="D16" i="8"/>
  <c r="F16" i="8" s="1"/>
  <c r="C10" i="8"/>
  <c r="F10" i="8" s="1"/>
  <c r="F11" i="8" s="1"/>
  <c r="F6" i="8"/>
  <c r="D6" i="8"/>
  <c r="D5" i="8"/>
  <c r="F5" i="8" s="1"/>
  <c r="F4" i="8"/>
  <c r="F7" i="8" s="1"/>
  <c r="F12" i="8" s="1"/>
  <c r="D4" i="8"/>
  <c r="F4" i="7"/>
  <c r="F22" i="7"/>
  <c r="F23" i="7" s="1"/>
  <c r="F18" i="7"/>
  <c r="F17" i="7"/>
  <c r="F16" i="7"/>
  <c r="F10" i="7"/>
  <c r="F6" i="7"/>
  <c r="F5" i="7"/>
  <c r="F19" i="8" l="1"/>
  <c r="F24" i="8" s="1"/>
  <c r="F25" i="8" s="1"/>
  <c r="F7" i="7"/>
  <c r="F12" i="7" s="1"/>
  <c r="G12" i="7" s="1"/>
  <c r="F19" i="7"/>
  <c r="F24" i="7" s="1"/>
  <c r="F25" i="7" l="1"/>
  <c r="X55" i="6" l="1"/>
  <c r="Y21" i="6" s="1"/>
  <c r="P55" i="6"/>
  <c r="Q26" i="6" s="1"/>
  <c r="BB220" i="5"/>
  <c r="BB212" i="5"/>
  <c r="BB213" i="5" s="1"/>
  <c r="BB214" i="5" s="1"/>
  <c r="BB207" i="5"/>
  <c r="BB210" i="5" s="1"/>
  <c r="BB211" i="5" s="1"/>
  <c r="AW208" i="5"/>
  <c r="BB204" i="5"/>
  <c r="BB205" i="5" s="1"/>
  <c r="BB206" i="5" s="1"/>
  <c r="BB203" i="5"/>
  <c r="BB202" i="5"/>
  <c r="AT126" i="5"/>
  <c r="BB215" i="5" l="1"/>
  <c r="BB218" i="5" s="1"/>
  <c r="BB219" i="5" s="1"/>
  <c r="Q44" i="6"/>
  <c r="Y44" i="6"/>
  <c r="Q23" i="6"/>
  <c r="Q34" i="6"/>
  <c r="Y30" i="6"/>
  <c r="Q4" i="6"/>
  <c r="Q47" i="6"/>
  <c r="Y39" i="6"/>
  <c r="Q14" i="6"/>
  <c r="Y10" i="6"/>
  <c r="Y52" i="6"/>
  <c r="Q3" i="6"/>
  <c r="Q38" i="6"/>
  <c r="Q8" i="6"/>
  <c r="Q16" i="6"/>
  <c r="Q28" i="6"/>
  <c r="Q36" i="6"/>
  <c r="Q49" i="6"/>
  <c r="Y3" i="6"/>
  <c r="Y12" i="6"/>
  <c r="Y24" i="6"/>
  <c r="Y32" i="6"/>
  <c r="Y38" i="6"/>
  <c r="Y23" i="6"/>
  <c r="Y51" i="6"/>
  <c r="Y7" i="6"/>
  <c r="Y46" i="6"/>
  <c r="Y6" i="6"/>
  <c r="Q6" i="6"/>
  <c r="Q46" i="6"/>
  <c r="Q10" i="6"/>
  <c r="Q21" i="6"/>
  <c r="Q30" i="6"/>
  <c r="Q39" i="6"/>
  <c r="Q52" i="6"/>
  <c r="Y4" i="6"/>
  <c r="Y14" i="6"/>
  <c r="Y26" i="6"/>
  <c r="Y34" i="6"/>
  <c r="Y47" i="6"/>
  <c r="Q7" i="6"/>
  <c r="Q51" i="6"/>
  <c r="Q12" i="6"/>
  <c r="Q24" i="6"/>
  <c r="Q32" i="6"/>
  <c r="Y8" i="6"/>
  <c r="Y16" i="6"/>
  <c r="Y28" i="6"/>
  <c r="Y36" i="6"/>
  <c r="Y49" i="6"/>
  <c r="Q216" i="5"/>
  <c r="Q220" i="5" s="1"/>
  <c r="Q212" i="5"/>
  <c r="Q208" i="5"/>
  <c r="R208" i="5"/>
  <c r="BB221" i="5" l="1"/>
  <c r="BB222" i="5" s="1"/>
  <c r="AI308" i="5"/>
  <c r="AJ276" i="5" l="1"/>
  <c r="AI276" i="5"/>
  <c r="BC310" i="5" l="1"/>
  <c r="BC309" i="5"/>
  <c r="AZ310" i="5"/>
  <c r="AZ309" i="5"/>
  <c r="AX310" i="5"/>
  <c r="AX309" i="5"/>
  <c r="BB310" i="5"/>
  <c r="BB309" i="5"/>
  <c r="AW310" i="5"/>
  <c r="AW309" i="5"/>
  <c r="AU310" i="5"/>
  <c r="AU309" i="5"/>
  <c r="BB304" i="5"/>
  <c r="BB295" i="5"/>
  <c r="BB294" i="5"/>
  <c r="AR310" i="5"/>
  <c r="AR309" i="5"/>
  <c r="AP310" i="5"/>
  <c r="AP309" i="5"/>
  <c r="AO310" i="5"/>
  <c r="AO309" i="5"/>
  <c r="AM310" i="5"/>
  <c r="AM309" i="5"/>
  <c r="AK310" i="5"/>
  <c r="AK309" i="5"/>
  <c r="AI310" i="5"/>
  <c r="AI309" i="5"/>
  <c r="AG310" i="5"/>
  <c r="AG309" i="5"/>
  <c r="AE310" i="5"/>
  <c r="AE309" i="5"/>
  <c r="AC310" i="5"/>
  <c r="AC309" i="5"/>
  <c r="AA310" i="5"/>
  <c r="AA309" i="5"/>
  <c r="Y310" i="5"/>
  <c r="Y309" i="5"/>
  <c r="S216" i="5"/>
  <c r="X310" i="5"/>
  <c r="X309" i="5"/>
  <c r="V310" i="5"/>
  <c r="V309" i="5"/>
  <c r="U303" i="5"/>
  <c r="U302" i="5"/>
  <c r="U296" i="5"/>
  <c r="S310" i="5"/>
  <c r="S309" i="5"/>
  <c r="Q310" i="5"/>
  <c r="Q309" i="5"/>
  <c r="O310" i="5"/>
  <c r="O309" i="5"/>
  <c r="M310" i="5"/>
  <c r="M309" i="5"/>
  <c r="K310" i="5"/>
  <c r="K309" i="5"/>
  <c r="I310" i="5"/>
  <c r="I309" i="5"/>
  <c r="H300" i="5"/>
  <c r="H301" i="5"/>
  <c r="H302" i="5"/>
  <c r="H303" i="5"/>
  <c r="H304" i="5"/>
  <c r="H305" i="5"/>
  <c r="H306" i="5"/>
  <c r="H307" i="5"/>
  <c r="H308" i="5"/>
  <c r="H309" i="5"/>
  <c r="H310" i="5"/>
  <c r="H299" i="5"/>
  <c r="H298" i="5"/>
  <c r="H297" i="5"/>
  <c r="H296" i="5"/>
  <c r="H295" i="5"/>
  <c r="H294" i="5"/>
  <c r="H210" i="5"/>
  <c r="G310" i="5"/>
  <c r="G220" i="5"/>
  <c r="G221" i="5" s="1"/>
  <c r="G222" i="5" s="1"/>
  <c r="G218" i="5"/>
  <c r="G219" i="5" s="1"/>
  <c r="G216" i="5"/>
  <c r="G210" i="5"/>
  <c r="G211" i="5" s="1"/>
  <c r="G208" i="5"/>
  <c r="G212" i="5" s="1"/>
  <c r="G213" i="5" s="1"/>
  <c r="G214" i="5" s="1"/>
  <c r="G202" i="5" l="1"/>
  <c r="G203" i="5" s="1"/>
  <c r="G204" i="5"/>
  <c r="G205" i="5" s="1"/>
  <c r="G206" i="5" s="1"/>
  <c r="E310" i="5"/>
  <c r="E309" i="5"/>
  <c r="D310" i="5"/>
  <c r="D309" i="5"/>
  <c r="D218" i="5"/>
  <c r="D219" i="5" s="1"/>
  <c r="D216" i="5"/>
  <c r="D220" i="5" s="1"/>
  <c r="D221" i="5" s="1"/>
  <c r="D222" i="5" s="1"/>
  <c r="D210" i="5"/>
  <c r="D211" i="5" s="1"/>
  <c r="D208" i="5"/>
  <c r="D212" i="5" s="1"/>
  <c r="D213" i="5" s="1"/>
  <c r="D214" i="5" s="1"/>
  <c r="D204" i="5"/>
  <c r="D205" i="5" s="1"/>
  <c r="D206" i="5" s="1"/>
  <c r="D202" i="5"/>
  <c r="D203" i="5" s="1"/>
  <c r="AU308" i="5"/>
  <c r="AR308" i="5"/>
  <c r="AU307" i="5"/>
  <c r="AR307" i="5"/>
  <c r="AU304" i="5"/>
  <c r="AR304" i="5"/>
  <c r="AT302" i="5"/>
  <c r="AU297" i="5"/>
  <c r="AR297" i="5"/>
  <c r="AV296" i="5"/>
  <c r="AU296" i="5"/>
  <c r="AT296" i="5"/>
  <c r="AS296" i="5"/>
  <c r="AR296" i="5"/>
  <c r="AU295" i="5"/>
  <c r="AR295" i="5"/>
  <c r="AU294" i="5"/>
  <c r="AR294" i="5"/>
  <c r="AV284" i="5"/>
  <c r="AU284" i="5"/>
  <c r="AS284" i="5"/>
  <c r="AR284" i="5"/>
  <c r="AV281" i="5"/>
  <c r="AV302" i="5" s="1"/>
  <c r="AU281" i="5"/>
  <c r="AU302" i="5" s="1"/>
  <c r="AS281" i="5"/>
  <c r="AS302" i="5" s="1"/>
  <c r="AR281" i="5"/>
  <c r="AR302" i="5" s="1"/>
  <c r="AV276" i="5"/>
  <c r="AU276" i="5"/>
  <c r="AT276" i="5"/>
  <c r="AS276" i="5"/>
  <c r="AR276" i="5"/>
  <c r="AR277" i="5" s="1"/>
  <c r="AR278" i="5" s="1"/>
  <c r="AR301" i="5" s="1"/>
  <c r="AV274" i="5"/>
  <c r="AV300" i="5" s="1"/>
  <c r="AU274" i="5"/>
  <c r="AU300" i="5" s="1"/>
  <c r="AT274" i="5"/>
  <c r="AT300" i="5" s="1"/>
  <c r="AS274" i="5"/>
  <c r="AS300" i="5" s="1"/>
  <c r="AR274" i="5"/>
  <c r="AR300" i="5" s="1"/>
  <c r="AV271" i="5"/>
  <c r="AV299" i="5" s="1"/>
  <c r="AU271" i="5"/>
  <c r="AU299" i="5" s="1"/>
  <c r="AT271" i="5"/>
  <c r="AT299" i="5" s="1"/>
  <c r="AS271" i="5"/>
  <c r="AS299" i="5" s="1"/>
  <c r="AR271" i="5"/>
  <c r="AR299" i="5" s="1"/>
  <c r="AV268" i="5"/>
  <c r="AV298" i="5" s="1"/>
  <c r="AU268" i="5"/>
  <c r="AU298" i="5" s="1"/>
  <c r="AT268" i="5"/>
  <c r="AT298" i="5" s="1"/>
  <c r="AS268" i="5"/>
  <c r="AS298" i="5" s="1"/>
  <c r="AR268" i="5"/>
  <c r="AR298" i="5" s="1"/>
  <c r="AU264" i="5"/>
  <c r="AR264" i="5"/>
  <c r="AS240" i="5"/>
  <c r="AV208" i="5"/>
  <c r="AV216" i="5" s="1"/>
  <c r="AV220" i="5" s="1"/>
  <c r="AU208" i="5"/>
  <c r="AU212" i="5" s="1"/>
  <c r="AT208" i="5"/>
  <c r="AT212" i="5" s="1"/>
  <c r="AS208" i="5"/>
  <c r="AS216" i="5" s="1"/>
  <c r="AS220" i="5" s="1"/>
  <c r="AR208" i="5"/>
  <c r="AR216" i="5" s="1"/>
  <c r="AR220" i="5" s="1"/>
  <c r="AV204" i="5"/>
  <c r="AU204" i="5"/>
  <c r="AT204" i="5"/>
  <c r="AS204" i="5"/>
  <c r="AR204" i="5"/>
  <c r="AV199" i="5"/>
  <c r="AV207" i="5" s="1"/>
  <c r="AU199" i="5"/>
  <c r="AU207" i="5" s="1"/>
  <c r="AT199" i="5"/>
  <c r="AT202" i="5" s="1"/>
  <c r="AS199" i="5"/>
  <c r="AS202" i="5" s="1"/>
  <c r="AR199" i="5"/>
  <c r="AR202" i="5" s="1"/>
  <c r="AU182" i="5"/>
  <c r="AU306" i="5" s="1"/>
  <c r="AR182" i="5"/>
  <c r="AR306" i="5" s="1"/>
  <c r="AU170" i="5"/>
  <c r="AU305" i="5" s="1"/>
  <c r="AR168" i="5"/>
  <c r="AR170" i="5" s="1"/>
  <c r="AR305" i="5" s="1"/>
  <c r="O308" i="5"/>
  <c r="O307" i="5"/>
  <c r="O304" i="5"/>
  <c r="O297" i="5"/>
  <c r="P296" i="5"/>
  <c r="O296" i="5"/>
  <c r="O295" i="5"/>
  <c r="O294" i="5"/>
  <c r="P284" i="5"/>
  <c r="O284" i="5"/>
  <c r="P281" i="5"/>
  <c r="P302" i="5" s="1"/>
  <c r="O281" i="5"/>
  <c r="O302" i="5" s="1"/>
  <c r="P276" i="5"/>
  <c r="O276" i="5"/>
  <c r="P274" i="5"/>
  <c r="P300" i="5" s="1"/>
  <c r="O274" i="5"/>
  <c r="O300" i="5" s="1"/>
  <c r="P271" i="5"/>
  <c r="P299" i="5" s="1"/>
  <c r="O271" i="5"/>
  <c r="O299" i="5" s="1"/>
  <c r="P268" i="5"/>
  <c r="P298" i="5" s="1"/>
  <c r="O268" i="5"/>
  <c r="O298" i="5" s="1"/>
  <c r="O264" i="5"/>
  <c r="P208" i="5"/>
  <c r="P212" i="5" s="1"/>
  <c r="O208" i="5"/>
  <c r="O212" i="5" s="1"/>
  <c r="P204" i="5"/>
  <c r="O204" i="5"/>
  <c r="P199" i="5"/>
  <c r="P207" i="5" s="1"/>
  <c r="P215" i="5" s="1"/>
  <c r="P218" i="5" s="1"/>
  <c r="O199" i="5"/>
  <c r="O207" i="5" s="1"/>
  <c r="O182" i="5"/>
  <c r="O306" i="5" s="1"/>
  <c r="O168" i="5"/>
  <c r="O170" i="5" s="1"/>
  <c r="O305" i="5" s="1"/>
  <c r="M308" i="5"/>
  <c r="K308" i="5"/>
  <c r="I308" i="5"/>
  <c r="M307" i="5"/>
  <c r="K307" i="5"/>
  <c r="I307" i="5"/>
  <c r="M304" i="5"/>
  <c r="K304" i="5"/>
  <c r="I304" i="5"/>
  <c r="M297" i="5"/>
  <c r="N296" i="5"/>
  <c r="M296" i="5"/>
  <c r="L296" i="5"/>
  <c r="K296" i="5"/>
  <c r="J296" i="5"/>
  <c r="I296" i="5"/>
  <c r="M295" i="5"/>
  <c r="K295" i="5"/>
  <c r="I295" i="5"/>
  <c r="M294" i="5"/>
  <c r="K294" i="5"/>
  <c r="I294" i="5"/>
  <c r="N284" i="5"/>
  <c r="M284" i="5"/>
  <c r="L284" i="5"/>
  <c r="K284" i="5"/>
  <c r="J284" i="5"/>
  <c r="I284" i="5"/>
  <c r="N281" i="5"/>
  <c r="N302" i="5" s="1"/>
  <c r="M281" i="5"/>
  <c r="M302" i="5" s="1"/>
  <c r="L281" i="5"/>
  <c r="L302" i="5" s="1"/>
  <c r="K281" i="5"/>
  <c r="K302" i="5" s="1"/>
  <c r="J281" i="5"/>
  <c r="J302" i="5" s="1"/>
  <c r="I281" i="5"/>
  <c r="I302" i="5" s="1"/>
  <c r="N276" i="5"/>
  <c r="M276" i="5"/>
  <c r="M277" i="5" s="1"/>
  <c r="M278" i="5" s="1"/>
  <c r="M301" i="5" s="1"/>
  <c r="L276" i="5"/>
  <c r="K276" i="5"/>
  <c r="J276" i="5"/>
  <c r="I276" i="5"/>
  <c r="I277" i="5" s="1"/>
  <c r="I278" i="5" s="1"/>
  <c r="I301" i="5" s="1"/>
  <c r="N274" i="5"/>
  <c r="N300" i="5" s="1"/>
  <c r="M274" i="5"/>
  <c r="M300" i="5" s="1"/>
  <c r="L274" i="5"/>
  <c r="L300" i="5" s="1"/>
  <c r="K274" i="5"/>
  <c r="K300" i="5" s="1"/>
  <c r="J274" i="5"/>
  <c r="J300" i="5" s="1"/>
  <c r="I274" i="5"/>
  <c r="I300" i="5" s="1"/>
  <c r="N271" i="5"/>
  <c r="N299" i="5" s="1"/>
  <c r="M271" i="5"/>
  <c r="M299" i="5" s="1"/>
  <c r="L271" i="5"/>
  <c r="L299" i="5" s="1"/>
  <c r="K271" i="5"/>
  <c r="K299" i="5" s="1"/>
  <c r="J271" i="5"/>
  <c r="J299" i="5" s="1"/>
  <c r="I271" i="5"/>
  <c r="I299" i="5" s="1"/>
  <c r="N268" i="5"/>
  <c r="N298" i="5" s="1"/>
  <c r="M268" i="5"/>
  <c r="M298" i="5" s="1"/>
  <c r="L268" i="5"/>
  <c r="L298" i="5" s="1"/>
  <c r="K268" i="5"/>
  <c r="K298" i="5" s="1"/>
  <c r="J268" i="5"/>
  <c r="J298" i="5" s="1"/>
  <c r="I268" i="5"/>
  <c r="I298" i="5" s="1"/>
  <c r="K265" i="5"/>
  <c r="K297" i="5" s="1"/>
  <c r="I265" i="5"/>
  <c r="I297" i="5" s="1"/>
  <c r="M264" i="5"/>
  <c r="K264" i="5"/>
  <c r="I264" i="5"/>
  <c r="L240" i="5"/>
  <c r="I240" i="5"/>
  <c r="N208" i="5"/>
  <c r="N216" i="5" s="1"/>
  <c r="N220" i="5" s="1"/>
  <c r="M208" i="5"/>
  <c r="M212" i="5" s="1"/>
  <c r="L208" i="5"/>
  <c r="L216" i="5" s="1"/>
  <c r="L220" i="5" s="1"/>
  <c r="K208" i="5"/>
  <c r="K216" i="5" s="1"/>
  <c r="K220" i="5" s="1"/>
  <c r="J216" i="5"/>
  <c r="J220" i="5" s="1"/>
  <c r="I208" i="5"/>
  <c r="I212" i="5" s="1"/>
  <c r="N204" i="5"/>
  <c r="M204" i="5"/>
  <c r="L204" i="5"/>
  <c r="K204" i="5"/>
  <c r="J204" i="5"/>
  <c r="I204" i="5"/>
  <c r="N202" i="5"/>
  <c r="N199" i="5"/>
  <c r="N207" i="5" s="1"/>
  <c r="N215" i="5" s="1"/>
  <c r="N218" i="5" s="1"/>
  <c r="M199" i="5"/>
  <c r="M207" i="5" s="1"/>
  <c r="L199" i="5"/>
  <c r="L207" i="5" s="1"/>
  <c r="K199" i="5"/>
  <c r="J199" i="5"/>
  <c r="J207" i="5" s="1"/>
  <c r="J215" i="5" s="1"/>
  <c r="J218" i="5" s="1"/>
  <c r="I199" i="5"/>
  <c r="I207" i="5" s="1"/>
  <c r="M182" i="5"/>
  <c r="M306" i="5" s="1"/>
  <c r="K182" i="5"/>
  <c r="K306" i="5" s="1"/>
  <c r="I182" i="5"/>
  <c r="I306" i="5" s="1"/>
  <c r="M168" i="5"/>
  <c r="M170" i="5" s="1"/>
  <c r="M305" i="5" s="1"/>
  <c r="K168" i="5"/>
  <c r="K170" i="5" s="1"/>
  <c r="K305" i="5" s="1"/>
  <c r="I168" i="5"/>
  <c r="I170" i="5" s="1"/>
  <c r="I305" i="5" s="1"/>
  <c r="Q199" i="5"/>
  <c r="Q202" i="5" s="1"/>
  <c r="R199" i="5"/>
  <c r="R202" i="5" s="1"/>
  <c r="Q204" i="5"/>
  <c r="Q205" i="5" s="1"/>
  <c r="R204" i="5"/>
  <c r="Q207" i="5"/>
  <c r="R216" i="5"/>
  <c r="R220" i="5" s="1"/>
  <c r="Q260" i="5"/>
  <c r="Q264" i="5"/>
  <c r="Q265" i="5"/>
  <c r="Q268" i="5"/>
  <c r="Q298" i="5" s="1"/>
  <c r="R268" i="5"/>
  <c r="Q271" i="5"/>
  <c r="R271" i="5"/>
  <c r="R299" i="5" s="1"/>
  <c r="Q274" i="5"/>
  <c r="Q300" i="5" s="1"/>
  <c r="R274" i="5"/>
  <c r="Q277" i="5"/>
  <c r="Q281" i="5"/>
  <c r="Q302" i="5" s="1"/>
  <c r="R281" i="5"/>
  <c r="R302" i="5" s="1"/>
  <c r="Q284" i="5"/>
  <c r="R284" i="5"/>
  <c r="Q294" i="5"/>
  <c r="Q295" i="5"/>
  <c r="Q296" i="5"/>
  <c r="R296" i="5"/>
  <c r="Q297" i="5"/>
  <c r="R298" i="5"/>
  <c r="Q299" i="5"/>
  <c r="R300" i="5"/>
  <c r="Q301" i="5"/>
  <c r="Q304" i="5"/>
  <c r="Q305" i="5"/>
  <c r="Q306" i="5"/>
  <c r="Q307" i="5"/>
  <c r="Q308" i="5"/>
  <c r="H276" i="5"/>
  <c r="H240" i="5"/>
  <c r="H218" i="5"/>
  <c r="H216" i="5"/>
  <c r="H211" i="5"/>
  <c r="H208" i="5"/>
  <c r="H204" i="5"/>
  <c r="H202" i="5"/>
  <c r="H203" i="5" s="1"/>
  <c r="E308" i="5"/>
  <c r="E307" i="5"/>
  <c r="E306" i="5"/>
  <c r="E304" i="5"/>
  <c r="F296" i="5"/>
  <c r="E296" i="5"/>
  <c r="E295" i="5"/>
  <c r="E294" i="5"/>
  <c r="F284" i="5"/>
  <c r="E284" i="5"/>
  <c r="F281" i="5"/>
  <c r="F302" i="5" s="1"/>
  <c r="E281" i="5"/>
  <c r="E302" i="5" s="1"/>
  <c r="F276" i="5"/>
  <c r="E276" i="5"/>
  <c r="F274" i="5"/>
  <c r="F300" i="5" s="1"/>
  <c r="E274" i="5"/>
  <c r="E300" i="5" s="1"/>
  <c r="F271" i="5"/>
  <c r="F299" i="5" s="1"/>
  <c r="E271" i="5"/>
  <c r="E299" i="5" s="1"/>
  <c r="F268" i="5"/>
  <c r="F298" i="5" s="1"/>
  <c r="E268" i="5"/>
  <c r="E298" i="5" s="1"/>
  <c r="E265" i="5"/>
  <c r="E297" i="5" s="1"/>
  <c r="E264" i="5"/>
  <c r="F208" i="5"/>
  <c r="F212" i="5" s="1"/>
  <c r="E208" i="5"/>
  <c r="E216" i="5" s="1"/>
  <c r="E220" i="5" s="1"/>
  <c r="F204" i="5"/>
  <c r="E204" i="5"/>
  <c r="F199" i="5"/>
  <c r="E199" i="5"/>
  <c r="E207" i="5" s="1"/>
  <c r="E170" i="5"/>
  <c r="E305" i="5" s="1"/>
  <c r="K205" i="5" l="1"/>
  <c r="R207" i="5"/>
  <c r="R215" i="5" s="1"/>
  <c r="R218" i="5" s="1"/>
  <c r="O277" i="5"/>
  <c r="O278" i="5" s="1"/>
  <c r="O301" i="5" s="1"/>
  <c r="Q210" i="5"/>
  <c r="Q213" i="5"/>
  <c r="Q215" i="5"/>
  <c r="Q218" i="5" s="1"/>
  <c r="Q219" i="5" s="1"/>
  <c r="H220" i="5"/>
  <c r="H221" i="5" s="1"/>
  <c r="H222" i="5" s="1"/>
  <c r="H219" i="5"/>
  <c r="R210" i="5"/>
  <c r="Q211" i="5" s="1"/>
  <c r="H206" i="5"/>
  <c r="H205" i="5"/>
  <c r="R205" i="5"/>
  <c r="Q206" i="5" s="1"/>
  <c r="P202" i="5"/>
  <c r="R221" i="5"/>
  <c r="L205" i="5"/>
  <c r="K206" i="5" s="1"/>
  <c r="AR203" i="5"/>
  <c r="I205" i="5"/>
  <c r="M205" i="5"/>
  <c r="K207" i="5"/>
  <c r="K215" i="5" s="1"/>
  <c r="K218" i="5" s="1"/>
  <c r="J212" i="5"/>
  <c r="J213" i="5" s="1"/>
  <c r="O205" i="5"/>
  <c r="P213" i="5"/>
  <c r="AU202" i="5"/>
  <c r="AT216" i="5"/>
  <c r="AT220" i="5" s="1"/>
  <c r="J202" i="5"/>
  <c r="J205" i="5"/>
  <c r="N205" i="5"/>
  <c r="N212" i="5"/>
  <c r="N213" i="5" s="1"/>
  <c r="P205" i="5"/>
  <c r="AR205" i="5"/>
  <c r="AV205" i="5"/>
  <c r="K202" i="5"/>
  <c r="K277" i="5"/>
  <c r="K278" i="5" s="1"/>
  <c r="K301" i="5" s="1"/>
  <c r="AS205" i="5"/>
  <c r="AU205" i="5"/>
  <c r="AU206" i="5" s="1"/>
  <c r="AU277" i="5"/>
  <c r="AU278" i="5" s="1"/>
  <c r="AU301" i="5" s="1"/>
  <c r="H212" i="5"/>
  <c r="Q203" i="5"/>
  <c r="AT205" i="5"/>
  <c r="AV210" i="5"/>
  <c r="AV215" i="5"/>
  <c r="AV218" i="5" s="1"/>
  <c r="AU215" i="5"/>
  <c r="AU218" i="5" s="1"/>
  <c r="AU210" i="5"/>
  <c r="AU213" i="5"/>
  <c r="AR207" i="5"/>
  <c r="AV202" i="5"/>
  <c r="AS207" i="5"/>
  <c r="AR212" i="5"/>
  <c r="AV212" i="5"/>
  <c r="AV213" i="5" s="1"/>
  <c r="AU216" i="5"/>
  <c r="AU220" i="5" s="1"/>
  <c r="AT207" i="5"/>
  <c r="AT213" i="5" s="1"/>
  <c r="AS212" i="5"/>
  <c r="O215" i="5"/>
  <c r="O218" i="5" s="1"/>
  <c r="O219" i="5" s="1"/>
  <c r="O210" i="5"/>
  <c r="O213" i="5"/>
  <c r="O216" i="5"/>
  <c r="O220" i="5" s="1"/>
  <c r="P216" i="5"/>
  <c r="P220" i="5" s="1"/>
  <c r="P221" i="5" s="1"/>
  <c r="P210" i="5"/>
  <c r="O202" i="5"/>
  <c r="L215" i="5"/>
  <c r="L218" i="5" s="1"/>
  <c r="K219" i="5" s="1"/>
  <c r="L210" i="5"/>
  <c r="I213" i="5"/>
  <c r="M213" i="5"/>
  <c r="I215" i="5"/>
  <c r="I218" i="5" s="1"/>
  <c r="I219" i="5" s="1"/>
  <c r="I210" i="5"/>
  <c r="J221" i="5"/>
  <c r="N221" i="5"/>
  <c r="M215" i="5"/>
  <c r="M218" i="5" s="1"/>
  <c r="M219" i="5" s="1"/>
  <c r="M210" i="5"/>
  <c r="K221" i="5"/>
  <c r="M216" i="5"/>
  <c r="M220" i="5" s="1"/>
  <c r="L202" i="5"/>
  <c r="K212" i="5"/>
  <c r="I216" i="5"/>
  <c r="I220" i="5" s="1"/>
  <c r="I202" i="5"/>
  <c r="I203" i="5" s="1"/>
  <c r="M202" i="5"/>
  <c r="M203" i="5" s="1"/>
  <c r="L212" i="5"/>
  <c r="L213" i="5" s="1"/>
  <c r="K210" i="5"/>
  <c r="J210" i="5"/>
  <c r="N210" i="5"/>
  <c r="F205" i="5"/>
  <c r="F207" i="5"/>
  <c r="F215" i="5" s="1"/>
  <c r="F218" i="5" s="1"/>
  <c r="R213" i="5"/>
  <c r="F202" i="5"/>
  <c r="E205" i="5"/>
  <c r="E277" i="5"/>
  <c r="E278" i="5" s="1"/>
  <c r="E301" i="5" s="1"/>
  <c r="E215" i="5"/>
  <c r="E218" i="5" s="1"/>
  <c r="E210" i="5"/>
  <c r="E212" i="5"/>
  <c r="E213" i="5" s="1"/>
  <c r="F216" i="5"/>
  <c r="F220" i="5" s="1"/>
  <c r="F210" i="5"/>
  <c r="E202" i="5"/>
  <c r="AX260" i="5"/>
  <c r="AC260" i="5"/>
  <c r="G260" i="5"/>
  <c r="D260" i="5"/>
  <c r="S308" i="5"/>
  <c r="S307" i="5"/>
  <c r="S306" i="5"/>
  <c r="S305" i="5"/>
  <c r="S304" i="5"/>
  <c r="S301" i="5"/>
  <c r="T296" i="5"/>
  <c r="S296" i="5"/>
  <c r="S295" i="5"/>
  <c r="T284" i="5"/>
  <c r="T303" i="5" s="1"/>
  <c r="S284" i="5"/>
  <c r="S303" i="5" s="1"/>
  <c r="T281" i="5"/>
  <c r="T302" i="5" s="1"/>
  <c r="S281" i="5"/>
  <c r="S302" i="5" s="1"/>
  <c r="S277" i="5"/>
  <c r="U274" i="5"/>
  <c r="T274" i="5"/>
  <c r="T300" i="5" s="1"/>
  <c r="S274" i="5"/>
  <c r="S300" i="5" s="1"/>
  <c r="U271" i="5"/>
  <c r="U299" i="5" s="1"/>
  <c r="T271" i="5"/>
  <c r="T299" i="5" s="1"/>
  <c r="S271" i="5"/>
  <c r="S299" i="5" s="1"/>
  <c r="U268" i="5"/>
  <c r="U298" i="5" s="1"/>
  <c r="T268" i="5"/>
  <c r="T298" i="5" s="1"/>
  <c r="S268" i="5"/>
  <c r="S298" i="5" s="1"/>
  <c r="S265" i="5"/>
  <c r="S297" i="5" s="1"/>
  <c r="S264" i="5"/>
  <c r="S220" i="5"/>
  <c r="T208" i="5"/>
  <c r="T216" i="5" s="1"/>
  <c r="T220" i="5" s="1"/>
  <c r="S208" i="5"/>
  <c r="T204" i="5"/>
  <c r="S204" i="5"/>
  <c r="T199" i="5"/>
  <c r="T202" i="5" s="1"/>
  <c r="S199" i="5"/>
  <c r="S207" i="5" s="1"/>
  <c r="Y308" i="5"/>
  <c r="Y307" i="5"/>
  <c r="Y306" i="5"/>
  <c r="Y305" i="5"/>
  <c r="Y304" i="5"/>
  <c r="Y301" i="5"/>
  <c r="Z296" i="5"/>
  <c r="Y296" i="5"/>
  <c r="Y295" i="5"/>
  <c r="Y294" i="5"/>
  <c r="Z284" i="5"/>
  <c r="Y284" i="5"/>
  <c r="Z281" i="5"/>
  <c r="Z302" i="5" s="1"/>
  <c r="Y281" i="5"/>
  <c r="Y302" i="5" s="1"/>
  <c r="Y277" i="5"/>
  <c r="Z300" i="5"/>
  <c r="Y300" i="5"/>
  <c r="Z271" i="5"/>
  <c r="Z299" i="5" s="1"/>
  <c r="Y271" i="5"/>
  <c r="Y299" i="5" s="1"/>
  <c r="Z268" i="5"/>
  <c r="Z298" i="5" s="1"/>
  <c r="Y268" i="5"/>
  <c r="Y298" i="5" s="1"/>
  <c r="Y265" i="5"/>
  <c r="Y297" i="5" s="1"/>
  <c r="Y264" i="5"/>
  <c r="Y220" i="5"/>
  <c r="Z208" i="5"/>
  <c r="Z212" i="5" s="1"/>
  <c r="Y208" i="5"/>
  <c r="Y212" i="5" s="1"/>
  <c r="Z204" i="5"/>
  <c r="Y204" i="5"/>
  <c r="Z199" i="5"/>
  <c r="Z207" i="5" s="1"/>
  <c r="Y199" i="5"/>
  <c r="Y202" i="5" s="1"/>
  <c r="V308" i="5"/>
  <c r="V307" i="5"/>
  <c r="V306" i="5"/>
  <c r="V305" i="5"/>
  <c r="V304" i="5"/>
  <c r="V301" i="5"/>
  <c r="W296" i="5"/>
  <c r="V296" i="5"/>
  <c r="V295" i="5"/>
  <c r="V294" i="5"/>
  <c r="W284" i="5"/>
  <c r="W303" i="5" s="1"/>
  <c r="V284" i="5"/>
  <c r="V303" i="5" s="1"/>
  <c r="W281" i="5"/>
  <c r="W302" i="5" s="1"/>
  <c r="V281" i="5"/>
  <c r="V302" i="5" s="1"/>
  <c r="V277" i="5"/>
  <c r="W300" i="5"/>
  <c r="V300" i="5"/>
  <c r="W271" i="5"/>
  <c r="W299" i="5" s="1"/>
  <c r="V271" i="5"/>
  <c r="V299" i="5" s="1"/>
  <c r="W268" i="5"/>
  <c r="W298" i="5" s="1"/>
  <c r="V268" i="5"/>
  <c r="V298" i="5" s="1"/>
  <c r="V265" i="5"/>
  <c r="V297" i="5" s="1"/>
  <c r="V264" i="5"/>
  <c r="V220" i="5"/>
  <c r="W208" i="5"/>
  <c r="W216" i="5" s="1"/>
  <c r="W220" i="5" s="1"/>
  <c r="V208" i="5"/>
  <c r="V212" i="5" s="1"/>
  <c r="W204" i="5"/>
  <c r="V204" i="5"/>
  <c r="W199" i="5"/>
  <c r="W202" i="5" s="1"/>
  <c r="V199" i="5"/>
  <c r="V202" i="5" s="1"/>
  <c r="AX308" i="5"/>
  <c r="AX307" i="5"/>
  <c r="AX306" i="5"/>
  <c r="AX305" i="5"/>
  <c r="AX304" i="5"/>
  <c r="AX301" i="5"/>
  <c r="AY296" i="5"/>
  <c r="AX296" i="5"/>
  <c r="AX295" i="5"/>
  <c r="AX294" i="5"/>
  <c r="AY284" i="5"/>
  <c r="AX284" i="5"/>
  <c r="AY281" i="5"/>
  <c r="AY302" i="5" s="1"/>
  <c r="AX281" i="5"/>
  <c r="AX302" i="5" s="1"/>
  <c r="AX277" i="5"/>
  <c r="AY300" i="5"/>
  <c r="AX300" i="5"/>
  <c r="AY271" i="5"/>
  <c r="AY299" i="5" s="1"/>
  <c r="AX271" i="5"/>
  <c r="AX299" i="5" s="1"/>
  <c r="AY268" i="5"/>
  <c r="AY298" i="5" s="1"/>
  <c r="AX268" i="5"/>
  <c r="AX298" i="5" s="1"/>
  <c r="AX265" i="5"/>
  <c r="AX297" i="5" s="1"/>
  <c r="AX264" i="5"/>
  <c r="AY208" i="5"/>
  <c r="AY216" i="5" s="1"/>
  <c r="AY220" i="5" s="1"/>
  <c r="AX208" i="5"/>
  <c r="AY204" i="5"/>
  <c r="AX204" i="5"/>
  <c r="AY199" i="5"/>
  <c r="AY202" i="5" s="1"/>
  <c r="AX199" i="5"/>
  <c r="AX207" i="5" s="1"/>
  <c r="AC308" i="5"/>
  <c r="AC307" i="5"/>
  <c r="AC306" i="5"/>
  <c r="AC305" i="5"/>
  <c r="AC301" i="5"/>
  <c r="AD296" i="5"/>
  <c r="AC296" i="5"/>
  <c r="AC295" i="5"/>
  <c r="AC294" i="5"/>
  <c r="AD284" i="5"/>
  <c r="AC284" i="5"/>
  <c r="AD281" i="5"/>
  <c r="AD302" i="5" s="1"/>
  <c r="AC281" i="5"/>
  <c r="AC302" i="5" s="1"/>
  <c r="AC277" i="5"/>
  <c r="AD300" i="5"/>
  <c r="AC274" i="5"/>
  <c r="AC300" i="5" s="1"/>
  <c r="AD271" i="5"/>
  <c r="AD299" i="5" s="1"/>
  <c r="AC271" i="5"/>
  <c r="AC299" i="5" s="1"/>
  <c r="AD268" i="5"/>
  <c r="AD298" i="5" s="1"/>
  <c r="AC268" i="5"/>
  <c r="AC298" i="5" s="1"/>
  <c r="AC265" i="5"/>
  <c r="AC297" i="5" s="1"/>
  <c r="AC264" i="5"/>
  <c r="AD208" i="5"/>
  <c r="AC208" i="5"/>
  <c r="AC212" i="5" s="1"/>
  <c r="AD204" i="5"/>
  <c r="AC204" i="5"/>
  <c r="AD199" i="5"/>
  <c r="AD202" i="5" s="1"/>
  <c r="AC199" i="5"/>
  <c r="AC207" i="5" s="1"/>
  <c r="BB284" i="5"/>
  <c r="BB281" i="5"/>
  <c r="BB271" i="5"/>
  <c r="BB268" i="5"/>
  <c r="BB265" i="5"/>
  <c r="AA308" i="5"/>
  <c r="AA307" i="5"/>
  <c r="AA306" i="5"/>
  <c r="AA305" i="5"/>
  <c r="AA304" i="5"/>
  <c r="AA301" i="5"/>
  <c r="AB296" i="5"/>
  <c r="AA296" i="5"/>
  <c r="AA295" i="5"/>
  <c r="AA294" i="5"/>
  <c r="AB284" i="5"/>
  <c r="AA284" i="5"/>
  <c r="AB281" i="5"/>
  <c r="AB302" i="5" s="1"/>
  <c r="AA281" i="5"/>
  <c r="AA302" i="5" s="1"/>
  <c r="AA277" i="5"/>
  <c r="AB300" i="5"/>
  <c r="AA274" i="5"/>
  <c r="AA300" i="5" s="1"/>
  <c r="AB271" i="5"/>
  <c r="AB299" i="5" s="1"/>
  <c r="AA271" i="5"/>
  <c r="AA299" i="5" s="1"/>
  <c r="AB268" i="5"/>
  <c r="AB298" i="5" s="1"/>
  <c r="AA268" i="5"/>
  <c r="AA298" i="5" s="1"/>
  <c r="AA265" i="5"/>
  <c r="AA297" i="5" s="1"/>
  <c r="AA264" i="5"/>
  <c r="AA220" i="5"/>
  <c r="AB208" i="5"/>
  <c r="AA208" i="5"/>
  <c r="AA212" i="5" s="1"/>
  <c r="AB204" i="5"/>
  <c r="AA204" i="5"/>
  <c r="AB199" i="5"/>
  <c r="AB207" i="5" s="1"/>
  <c r="AA199" i="5"/>
  <c r="AA207" i="5" s="1"/>
  <c r="I206" i="5" l="1"/>
  <c r="AB216" i="5"/>
  <c r="AB220" i="5" s="1"/>
  <c r="AB212" i="5"/>
  <c r="AB213" i="5" s="1"/>
  <c r="Q214" i="5"/>
  <c r="M221" i="5"/>
  <c r="AU211" i="5"/>
  <c r="AX216" i="5"/>
  <c r="AX220" i="5" s="1"/>
  <c r="AX212" i="5"/>
  <c r="AX213" i="5" s="1"/>
  <c r="AD216" i="5"/>
  <c r="AD220" i="5" s="1"/>
  <c r="AD212" i="5"/>
  <c r="O203" i="5"/>
  <c r="F221" i="5"/>
  <c r="L221" i="5"/>
  <c r="K222" i="5" s="1"/>
  <c r="O214" i="5"/>
  <c r="AU203" i="5"/>
  <c r="F213" i="5"/>
  <c r="E214" i="5" s="1"/>
  <c r="I221" i="5"/>
  <c r="I222" i="5" s="1"/>
  <c r="AR206" i="5"/>
  <c r="M206" i="5"/>
  <c r="E206" i="5"/>
  <c r="K213" i="5"/>
  <c r="K214" i="5" s="1"/>
  <c r="I214" i="5"/>
  <c r="AU221" i="5"/>
  <c r="H214" i="5"/>
  <c r="H213" i="5"/>
  <c r="Q221" i="5"/>
  <c r="Q222" i="5" s="1"/>
  <c r="K211" i="5"/>
  <c r="E219" i="5"/>
  <c r="M222" i="5"/>
  <c r="O221" i="5"/>
  <c r="O222" i="5" s="1"/>
  <c r="AU219" i="5"/>
  <c r="K203" i="5"/>
  <c r="M214" i="5"/>
  <c r="M211" i="5"/>
  <c r="S202" i="5"/>
  <c r="S203" i="5" s="1"/>
  <c r="O206" i="5"/>
  <c r="AT215" i="5"/>
  <c r="AT210" i="5"/>
  <c r="AS210" i="5"/>
  <c r="AS215" i="5"/>
  <c r="AR210" i="5"/>
  <c r="AR215" i="5"/>
  <c r="AS213" i="5"/>
  <c r="AR213" i="5"/>
  <c r="AU214" i="5"/>
  <c r="AV221" i="5"/>
  <c r="O211" i="5"/>
  <c r="I211" i="5"/>
  <c r="E203" i="5"/>
  <c r="V205" i="5"/>
  <c r="W212" i="5"/>
  <c r="W205" i="5"/>
  <c r="V203" i="5"/>
  <c r="AY205" i="5"/>
  <c r="Z205" i="5"/>
  <c r="T205" i="5"/>
  <c r="AC205" i="5"/>
  <c r="AX202" i="5"/>
  <c r="AX203" i="5" s="1"/>
  <c r="AY207" i="5"/>
  <c r="S205" i="5"/>
  <c r="AD205" i="5"/>
  <c r="Z213" i="5"/>
  <c r="T207" i="5"/>
  <c r="AD207" i="5"/>
  <c r="AD213" i="5" s="1"/>
  <c r="AX205" i="5"/>
  <c r="Y205" i="5"/>
  <c r="Z216" i="5"/>
  <c r="Z220" i="5" s="1"/>
  <c r="E221" i="5"/>
  <c r="E211" i="5"/>
  <c r="S213" i="5"/>
  <c r="S210" i="5"/>
  <c r="S215" i="5"/>
  <c r="Z210" i="5"/>
  <c r="Z215" i="5"/>
  <c r="Z218" i="5" s="1"/>
  <c r="Z202" i="5"/>
  <c r="Y203" i="5" s="1"/>
  <c r="Y207" i="5"/>
  <c r="Y213" i="5" s="1"/>
  <c r="V207" i="5"/>
  <c r="V213" i="5" s="1"/>
  <c r="W207" i="5"/>
  <c r="AX210" i="5"/>
  <c r="AX215" i="5"/>
  <c r="AC215" i="5"/>
  <c r="AC213" i="5"/>
  <c r="AC210" i="5"/>
  <c r="AC202" i="5"/>
  <c r="AC203" i="5" s="1"/>
  <c r="AA202" i="5"/>
  <c r="AB202" i="5"/>
  <c r="AA205" i="5"/>
  <c r="AB205" i="5"/>
  <c r="AA210" i="5"/>
  <c r="AA213" i="5"/>
  <c r="AA215" i="5"/>
  <c r="AB215" i="5"/>
  <c r="AB218" i="5" s="1"/>
  <c r="AB210" i="5"/>
  <c r="AO276" i="5"/>
  <c r="AO277" i="5" s="1"/>
  <c r="AO278" i="5" s="1"/>
  <c r="AO301" i="5" s="1"/>
  <c r="AO264" i="5"/>
  <c r="AO308" i="5"/>
  <c r="AO307" i="5"/>
  <c r="AO305" i="5"/>
  <c r="AO304" i="5"/>
  <c r="AO296" i="5"/>
  <c r="AO295" i="5"/>
  <c r="AO294" i="5"/>
  <c r="AO284" i="5"/>
  <c r="AO303" i="5" s="1"/>
  <c r="AO281" i="5"/>
  <c r="AO302" i="5" s="1"/>
  <c r="AO274" i="5"/>
  <c r="AO300" i="5" s="1"/>
  <c r="AO271" i="5"/>
  <c r="AO299" i="5" s="1"/>
  <c r="AO268" i="5"/>
  <c r="AO298" i="5" s="1"/>
  <c r="AO265" i="5"/>
  <c r="AO297" i="5" s="1"/>
  <c r="AO260" i="5"/>
  <c r="AO208" i="5"/>
  <c r="AO216" i="5" s="1"/>
  <c r="AO220" i="5" s="1"/>
  <c r="AO207" i="5"/>
  <c r="AO215" i="5" s="1"/>
  <c r="AO218" i="5" s="1"/>
  <c r="AO219" i="5" s="1"/>
  <c r="AO204" i="5"/>
  <c r="AO205" i="5" s="1"/>
  <c r="AO206" i="5" s="1"/>
  <c r="AO202" i="5"/>
  <c r="AO203" i="5" s="1"/>
  <c r="AO182" i="5"/>
  <c r="AO306" i="5" s="1"/>
  <c r="AC218" i="5" l="1"/>
  <c r="AC221" i="5"/>
  <c r="AC206" i="5"/>
  <c r="E222" i="5"/>
  <c r="AC214" i="5"/>
  <c r="AU222" i="5"/>
  <c r="Y206" i="5"/>
  <c r="Y214" i="5"/>
  <c r="AR218" i="5"/>
  <c r="AR221" i="5"/>
  <c r="AR211" i="5"/>
  <c r="AT218" i="5"/>
  <c r="AT221" i="5"/>
  <c r="AR214" i="5"/>
  <c r="AS218" i="5"/>
  <c r="AS221" i="5"/>
  <c r="AB221" i="5"/>
  <c r="AD210" i="5"/>
  <c r="AC211" i="5" s="1"/>
  <c r="V206" i="5"/>
  <c r="T210" i="5"/>
  <c r="S211" i="5" s="1"/>
  <c r="R18" i="6" s="1"/>
  <c r="R55" i="6" s="1"/>
  <c r="T215" i="5"/>
  <c r="T213" i="5"/>
  <c r="S214" i="5" s="1"/>
  <c r="T18" i="6" s="1"/>
  <c r="T55" i="6" s="1"/>
  <c r="AA211" i="5"/>
  <c r="AY215" i="5"/>
  <c r="AY213" i="5"/>
  <c r="AX214" i="5" s="1"/>
  <c r="AY210" i="5"/>
  <c r="AX211" i="5" s="1"/>
  <c r="AD215" i="5"/>
  <c r="Z221" i="5"/>
  <c r="AX206" i="5"/>
  <c r="S218" i="5"/>
  <c r="S221" i="5"/>
  <c r="Y215" i="5"/>
  <c r="Y210" i="5"/>
  <c r="Y211" i="5" s="1"/>
  <c r="W210" i="5"/>
  <c r="W215" i="5"/>
  <c r="V210" i="5"/>
  <c r="V215" i="5"/>
  <c r="W213" i="5"/>
  <c r="V214" i="5" s="1"/>
  <c r="AX218" i="5"/>
  <c r="AX221" i="5"/>
  <c r="AA203" i="5"/>
  <c r="AA206" i="5"/>
  <c r="AA214" i="5"/>
  <c r="AA218" i="5"/>
  <c r="AA219" i="5" s="1"/>
  <c r="AA221" i="5"/>
  <c r="AO221" i="5"/>
  <c r="AO222" i="5" s="1"/>
  <c r="AO210" i="5"/>
  <c r="AO211" i="5" s="1"/>
  <c r="AO212" i="5"/>
  <c r="AO213" i="5" s="1"/>
  <c r="AO214" i="5" s="1"/>
  <c r="G308" i="5"/>
  <c r="G307" i="5"/>
  <c r="G306" i="5"/>
  <c r="G305" i="5"/>
  <c r="D308" i="5"/>
  <c r="D307" i="5"/>
  <c r="D306" i="5"/>
  <c r="D305" i="5"/>
  <c r="G304" i="5"/>
  <c r="G296" i="5"/>
  <c r="G295" i="5"/>
  <c r="G294" i="5"/>
  <c r="D304" i="5"/>
  <c r="D296" i="5"/>
  <c r="D295" i="5"/>
  <c r="D294" i="5"/>
  <c r="G284" i="5"/>
  <c r="G303" i="5" s="1"/>
  <c r="D284" i="5"/>
  <c r="D303" i="5" s="1"/>
  <c r="G281" i="5"/>
  <c r="G302" i="5" s="1"/>
  <c r="D281" i="5"/>
  <c r="D302" i="5" s="1"/>
  <c r="G278" i="5"/>
  <c r="G301" i="5" s="1"/>
  <c r="D278" i="5"/>
  <c r="D301" i="5" s="1"/>
  <c r="G274" i="5"/>
  <c r="G300" i="5" s="1"/>
  <c r="D274" i="5"/>
  <c r="D300" i="5" s="1"/>
  <c r="G271" i="5"/>
  <c r="G299" i="5" s="1"/>
  <c r="D271" i="5"/>
  <c r="D299" i="5" s="1"/>
  <c r="G268" i="5"/>
  <c r="G298" i="5" s="1"/>
  <c r="D268" i="5"/>
  <c r="D298" i="5" s="1"/>
  <c r="G265" i="5"/>
  <c r="G297" i="5" s="1"/>
  <c r="D265" i="5"/>
  <c r="D297" i="5" s="1"/>
  <c r="U4" i="6" l="1"/>
  <c r="U8" i="6"/>
  <c r="U49" i="6"/>
  <c r="U21" i="6"/>
  <c r="U51" i="6"/>
  <c r="U44" i="6"/>
  <c r="U26" i="6"/>
  <c r="U14" i="6"/>
  <c r="U16" i="6"/>
  <c r="U6" i="6"/>
  <c r="U30" i="6"/>
  <c r="U12" i="6"/>
  <c r="U47" i="6"/>
  <c r="U23" i="6"/>
  <c r="U3" i="6"/>
  <c r="U28" i="6"/>
  <c r="U46" i="6"/>
  <c r="U39" i="6"/>
  <c r="U24" i="6"/>
  <c r="U34" i="6"/>
  <c r="U38" i="6"/>
  <c r="U36" i="6"/>
  <c r="U10" i="6"/>
  <c r="U52" i="6"/>
  <c r="U7" i="6"/>
  <c r="U32" i="6"/>
  <c r="S10" i="6"/>
  <c r="S46" i="6"/>
  <c r="S6" i="6"/>
  <c r="S51" i="6"/>
  <c r="S4" i="6"/>
  <c r="S8" i="6"/>
  <c r="S30" i="6"/>
  <c r="S12" i="6"/>
  <c r="S14" i="6"/>
  <c r="S16" i="6"/>
  <c r="S21" i="6"/>
  <c r="S24" i="6"/>
  <c r="S26" i="6"/>
  <c r="S3" i="6"/>
  <c r="S28" i="6"/>
  <c r="S36" i="6"/>
  <c r="S7" i="6"/>
  <c r="S32" i="6"/>
  <c r="S23" i="6"/>
  <c r="S34" i="6"/>
  <c r="S38" i="6"/>
  <c r="S39" i="6"/>
  <c r="AA222" i="5"/>
  <c r="AR222" i="5"/>
  <c r="AR219" i="5"/>
  <c r="AY218" i="5"/>
  <c r="AX219" i="5" s="1"/>
  <c r="AY221" i="5"/>
  <c r="AX222" i="5" s="1"/>
  <c r="AD218" i="5"/>
  <c r="AC219" i="5" s="1"/>
  <c r="AD221" i="5"/>
  <c r="AC222" i="5" s="1"/>
  <c r="T218" i="5"/>
  <c r="S219" i="5" s="1"/>
  <c r="V18" i="6" s="1"/>
  <c r="V55" i="6" s="1"/>
  <c r="T221" i="5"/>
  <c r="Y218" i="5"/>
  <c r="Y219" i="5" s="1"/>
  <c r="Y221" i="5"/>
  <c r="Y222" i="5" s="1"/>
  <c r="V221" i="5"/>
  <c r="V218" i="5"/>
  <c r="V211" i="5"/>
  <c r="W218" i="5"/>
  <c r="W221" i="5"/>
  <c r="AW304" i="5"/>
  <c r="AW295" i="5"/>
  <c r="AW294" i="5"/>
  <c r="AW220" i="5"/>
  <c r="AW222" i="5" s="1"/>
  <c r="AW207" i="5"/>
  <c r="AW215" i="5" s="1"/>
  <c r="AW218" i="5" s="1"/>
  <c r="AW202" i="5"/>
  <c r="AW203" i="5" s="1"/>
  <c r="AW284" i="5"/>
  <c r="AW281" i="5"/>
  <c r="AW278" i="5"/>
  <c r="AW274" i="5"/>
  <c r="AW271" i="5"/>
  <c r="AW268" i="5"/>
  <c r="AW265" i="5"/>
  <c r="AW212" i="5"/>
  <c r="AW214" i="5" s="1"/>
  <c r="AW204" i="5"/>
  <c r="AW206" i="5" s="1"/>
  <c r="W51" i="6" l="1"/>
  <c r="W44" i="6"/>
  <c r="W4" i="6"/>
  <c r="W47" i="6"/>
  <c r="W52" i="6"/>
  <c r="W8" i="6"/>
  <c r="W6" i="6"/>
  <c r="W12" i="6"/>
  <c r="W21" i="6"/>
  <c r="W14" i="6"/>
  <c r="W49" i="6"/>
  <c r="W16" i="6"/>
  <c r="W10" i="6"/>
  <c r="W24" i="6"/>
  <c r="W26" i="6"/>
  <c r="W46" i="6"/>
  <c r="W3" i="6"/>
  <c r="W28" i="6"/>
  <c r="W38" i="6"/>
  <c r="W39" i="6"/>
  <c r="W7" i="6"/>
  <c r="W32" i="6"/>
  <c r="W23" i="6"/>
  <c r="W34" i="6"/>
  <c r="W30" i="6"/>
  <c r="W36" i="6"/>
  <c r="V222" i="5"/>
  <c r="V219" i="5"/>
  <c r="AW205" i="5"/>
  <c r="AW219" i="5"/>
  <c r="AW221" i="5"/>
  <c r="AW210" i="5"/>
  <c r="AW211" i="5" s="1"/>
  <c r="AW213" i="5"/>
  <c r="X276" i="5"/>
  <c r="X277" i="5" s="1"/>
  <c r="X308" i="5" l="1"/>
  <c r="X307" i="5"/>
  <c r="X305" i="5"/>
  <c r="X304" i="5"/>
  <c r="X296" i="5"/>
  <c r="X295" i="5"/>
  <c r="X294" i="5"/>
  <c r="X284" i="5"/>
  <c r="X303" i="5" s="1"/>
  <c r="X281" i="5"/>
  <c r="X302" i="5" s="1"/>
  <c r="X278" i="5"/>
  <c r="X301" i="5" s="1"/>
  <c r="X274" i="5"/>
  <c r="X300" i="5" s="1"/>
  <c r="X271" i="5"/>
  <c r="X299" i="5" s="1"/>
  <c r="X268" i="5"/>
  <c r="X298" i="5" s="1"/>
  <c r="X265" i="5"/>
  <c r="X297" i="5" s="1"/>
  <c r="X260" i="5"/>
  <c r="X208" i="5"/>
  <c r="X216" i="5" s="1"/>
  <c r="X220" i="5" s="1"/>
  <c r="X204" i="5"/>
  <c r="X202" i="5"/>
  <c r="X203" i="5" s="1"/>
  <c r="X182" i="5"/>
  <c r="X306" i="5" s="1"/>
  <c r="X205" i="5" l="1"/>
  <c r="X206" i="5" s="1"/>
  <c r="X207" i="5"/>
  <c r="X212" i="5"/>
  <c r="AG294" i="5"/>
  <c r="X213" i="5" l="1"/>
  <c r="X214" i="5" s="1"/>
  <c r="X210" i="5"/>
  <c r="X211" i="5" s="1"/>
  <c r="X215" i="5"/>
  <c r="BA276" i="5"/>
  <c r="BD276" i="5"/>
  <c r="BC276" i="5"/>
  <c r="AZ276" i="5"/>
  <c r="BC308" i="5"/>
  <c r="BC307" i="5"/>
  <c r="BC305" i="5"/>
  <c r="BC304" i="5"/>
  <c r="BD296" i="5"/>
  <c r="BC296" i="5"/>
  <c r="BC295" i="5"/>
  <c r="BC294" i="5"/>
  <c r="BD284" i="5"/>
  <c r="BD303" i="5" s="1"/>
  <c r="BC284" i="5"/>
  <c r="BC303" i="5" s="1"/>
  <c r="BD281" i="5"/>
  <c r="BD302" i="5" s="1"/>
  <c r="BC281" i="5"/>
  <c r="BC302" i="5" s="1"/>
  <c r="BD274" i="5"/>
  <c r="BD300" i="5" s="1"/>
  <c r="BC274" i="5"/>
  <c r="BC300" i="5" s="1"/>
  <c r="BD271" i="5"/>
  <c r="BD299" i="5" s="1"/>
  <c r="BC271" i="5"/>
  <c r="BC299" i="5" s="1"/>
  <c r="BD268" i="5"/>
  <c r="BD298" i="5" s="1"/>
  <c r="BC268" i="5"/>
  <c r="BC298" i="5" s="1"/>
  <c r="BC265" i="5"/>
  <c r="BC297" i="5" s="1"/>
  <c r="BC264" i="5"/>
  <c r="BC260" i="5"/>
  <c r="BD208" i="5"/>
  <c r="BD212" i="5" s="1"/>
  <c r="BC208" i="5"/>
  <c r="BC212" i="5" s="1"/>
  <c r="BD204" i="5"/>
  <c r="BC204" i="5"/>
  <c r="BD199" i="5"/>
  <c r="BD207" i="5" s="1"/>
  <c r="BC199" i="5"/>
  <c r="BC207" i="5" s="1"/>
  <c r="BC182" i="5"/>
  <c r="BC306" i="5" s="1"/>
  <c r="AQ276" i="5"/>
  <c r="AP276" i="5"/>
  <c r="AZ308" i="5"/>
  <c r="AZ307" i="5"/>
  <c r="AZ305" i="5"/>
  <c r="AZ304" i="5"/>
  <c r="BA296" i="5"/>
  <c r="AZ296" i="5"/>
  <c r="AZ295" i="5"/>
  <c r="AZ294" i="5"/>
  <c r="BA284" i="5"/>
  <c r="BA303" i="5" s="1"/>
  <c r="AZ303" i="5"/>
  <c r="BA281" i="5"/>
  <c r="BA302" i="5" s="1"/>
  <c r="AZ281" i="5"/>
  <c r="AZ302" i="5" s="1"/>
  <c r="BA274" i="5"/>
  <c r="BA300" i="5" s="1"/>
  <c r="AZ274" i="5"/>
  <c r="AZ300" i="5" s="1"/>
  <c r="BA271" i="5"/>
  <c r="BA299" i="5" s="1"/>
  <c r="AZ271" i="5"/>
  <c r="AZ299" i="5" s="1"/>
  <c r="BA268" i="5"/>
  <c r="BA298" i="5" s="1"/>
  <c r="AZ268" i="5"/>
  <c r="AZ298" i="5" s="1"/>
  <c r="AZ265" i="5"/>
  <c r="AZ297" i="5" s="1"/>
  <c r="AZ264" i="5"/>
  <c r="AZ260" i="5"/>
  <c r="BA208" i="5"/>
  <c r="BA212" i="5" s="1"/>
  <c r="AZ208" i="5"/>
  <c r="AZ212" i="5" s="1"/>
  <c r="BA204" i="5"/>
  <c r="AZ204" i="5"/>
  <c r="BA199" i="5"/>
  <c r="BA202" i="5" s="1"/>
  <c r="AZ199" i="5"/>
  <c r="AZ202" i="5" s="1"/>
  <c r="AZ182" i="5"/>
  <c r="AZ306" i="5" s="1"/>
  <c r="AM276" i="5"/>
  <c r="AN276" i="5"/>
  <c r="AP308" i="5"/>
  <c r="AP307" i="5"/>
  <c r="AP305" i="5"/>
  <c r="AP304" i="5"/>
  <c r="AQ296" i="5"/>
  <c r="AP296" i="5"/>
  <c r="AP295" i="5"/>
  <c r="AP294" i="5"/>
  <c r="AQ284" i="5"/>
  <c r="AQ303" i="5" s="1"/>
  <c r="AP284" i="5"/>
  <c r="AP303" i="5" s="1"/>
  <c r="AQ281" i="5"/>
  <c r="AQ302" i="5" s="1"/>
  <c r="AP281" i="5"/>
  <c r="AP302" i="5" s="1"/>
  <c r="AQ274" i="5"/>
  <c r="AQ300" i="5" s="1"/>
  <c r="AP274" i="5"/>
  <c r="AP300" i="5" s="1"/>
  <c r="AQ271" i="5"/>
  <c r="AQ299" i="5" s="1"/>
  <c r="AP271" i="5"/>
  <c r="AP299" i="5" s="1"/>
  <c r="AQ268" i="5"/>
  <c r="AQ298" i="5" s="1"/>
  <c r="AP268" i="5"/>
  <c r="AP298" i="5" s="1"/>
  <c r="AP265" i="5"/>
  <c r="AP297" i="5" s="1"/>
  <c r="AP264" i="5"/>
  <c r="AP260" i="5"/>
  <c r="AQ208" i="5"/>
  <c r="AQ212" i="5" s="1"/>
  <c r="AP208" i="5"/>
  <c r="AP212" i="5" s="1"/>
  <c r="AQ204" i="5"/>
  <c r="AP204" i="5"/>
  <c r="AQ199" i="5"/>
  <c r="AQ202" i="5" s="1"/>
  <c r="AP199" i="5"/>
  <c r="AP202" i="5" s="1"/>
  <c r="AP182" i="5"/>
  <c r="AP306" i="5" s="1"/>
  <c r="AP277" i="5" l="1"/>
  <c r="AP278" i="5" s="1"/>
  <c r="AP301" i="5" s="1"/>
  <c r="BC277" i="5"/>
  <c r="BC278" i="5" s="1"/>
  <c r="BC301" i="5" s="1"/>
  <c r="BD216" i="5"/>
  <c r="BD220" i="5" s="1"/>
  <c r="BC216" i="5"/>
  <c r="BC220" i="5" s="1"/>
  <c r="BC221" i="5" s="1"/>
  <c r="AQ205" i="5"/>
  <c r="AP207" i="5"/>
  <c r="AP210" i="5" s="1"/>
  <c r="AQ207" i="5"/>
  <c r="AQ210" i="5" s="1"/>
  <c r="AZ277" i="5"/>
  <c r="AZ278" i="5" s="1"/>
  <c r="AZ301" i="5" s="1"/>
  <c r="X218" i="5"/>
  <c r="X219" i="5" s="1"/>
  <c r="X221" i="5"/>
  <c r="X222" i="5" s="1"/>
  <c r="BA216" i="5"/>
  <c r="BA220" i="5" s="1"/>
  <c r="AP203" i="5"/>
  <c r="AZ216" i="5"/>
  <c r="AZ220" i="5" s="1"/>
  <c r="AQ216" i="5"/>
  <c r="AQ220" i="5" s="1"/>
  <c r="AP216" i="5"/>
  <c r="AP220" i="5" s="1"/>
  <c r="BD213" i="5"/>
  <c r="BC202" i="5"/>
  <c r="BC213" i="5"/>
  <c r="BA207" i="5"/>
  <c r="BA210" i="5" s="1"/>
  <c r="AZ207" i="5"/>
  <c r="AZ215" i="5" s="1"/>
  <c r="AZ218" i="5" s="1"/>
  <c r="AZ205" i="5"/>
  <c r="BA205" i="5"/>
  <c r="BD202" i="5"/>
  <c r="BD205" i="5"/>
  <c r="BC205" i="5"/>
  <c r="BC210" i="5"/>
  <c r="BC215" i="5"/>
  <c r="BC218" i="5" s="1"/>
  <c r="BD210" i="5"/>
  <c r="BD215" i="5"/>
  <c r="BD218" i="5" s="1"/>
  <c r="AZ203" i="5"/>
  <c r="AP205" i="5"/>
  <c r="AM308" i="5"/>
  <c r="AM307" i="5"/>
  <c r="AM306" i="5"/>
  <c r="AM305" i="5"/>
  <c r="AM304" i="5"/>
  <c r="AN296" i="5"/>
  <c r="AM296" i="5"/>
  <c r="AM295" i="5"/>
  <c r="AM294" i="5"/>
  <c r="AN303" i="5"/>
  <c r="AM284" i="5"/>
  <c r="AM303" i="5" s="1"/>
  <c r="AN281" i="5"/>
  <c r="AN302" i="5" s="1"/>
  <c r="AM281" i="5"/>
  <c r="AM302" i="5" s="1"/>
  <c r="AM277" i="5"/>
  <c r="AM278" i="5" s="1"/>
  <c r="AM301" i="5" s="1"/>
  <c r="AN274" i="5"/>
  <c r="AN300" i="5" s="1"/>
  <c r="AM274" i="5"/>
  <c r="AM300" i="5" s="1"/>
  <c r="AN271" i="5"/>
  <c r="AN299" i="5" s="1"/>
  <c r="AM271" i="5"/>
  <c r="AM299" i="5" s="1"/>
  <c r="AN268" i="5"/>
  <c r="AN298" i="5" s="1"/>
  <c r="AM268" i="5"/>
  <c r="AM298" i="5" s="1"/>
  <c r="AM265" i="5"/>
  <c r="AM297" i="5" s="1"/>
  <c r="AM264" i="5"/>
  <c r="AM260" i="5"/>
  <c r="AN208" i="5"/>
  <c r="AM208" i="5"/>
  <c r="AN204" i="5"/>
  <c r="AM204" i="5"/>
  <c r="AN199" i="5"/>
  <c r="AN202" i="5" s="1"/>
  <c r="AM199" i="5"/>
  <c r="AM207" i="5" s="1"/>
  <c r="AM210" i="5" s="1"/>
  <c r="AK276" i="5"/>
  <c r="AL276" i="5"/>
  <c r="AK308" i="5"/>
  <c r="AK307" i="5"/>
  <c r="AK305" i="5"/>
  <c r="AK304" i="5"/>
  <c r="AL296" i="5"/>
  <c r="AK296" i="5"/>
  <c r="AK295" i="5"/>
  <c r="AK294" i="5"/>
  <c r="AL284" i="5"/>
  <c r="AL303" i="5" s="1"/>
  <c r="AK303" i="5"/>
  <c r="AL281" i="5"/>
  <c r="AL302" i="5" s="1"/>
  <c r="AK302" i="5"/>
  <c r="AL274" i="5"/>
  <c r="AL300" i="5" s="1"/>
  <c r="AK274" i="5"/>
  <c r="AK300" i="5" s="1"/>
  <c r="AL271" i="5"/>
  <c r="AL299" i="5" s="1"/>
  <c r="AK271" i="5"/>
  <c r="AK299" i="5" s="1"/>
  <c r="AL268" i="5"/>
  <c r="AL298" i="5" s="1"/>
  <c r="AK268" i="5"/>
  <c r="AK298" i="5" s="1"/>
  <c r="AK265" i="5"/>
  <c r="AK297" i="5" s="1"/>
  <c r="AK264" i="5"/>
  <c r="AK260" i="5"/>
  <c r="AL208" i="5"/>
  <c r="AL212" i="5" s="1"/>
  <c r="AK208" i="5"/>
  <c r="AL204" i="5"/>
  <c r="AK204" i="5"/>
  <c r="AL199" i="5"/>
  <c r="AL207" i="5" s="1"/>
  <c r="AK199" i="5"/>
  <c r="AK202" i="5" s="1"/>
  <c r="AK182" i="5"/>
  <c r="AK306" i="5" s="1"/>
  <c r="AI260" i="5"/>
  <c r="BA213" i="5" l="1"/>
  <c r="AP206" i="5"/>
  <c r="AZ213" i="5"/>
  <c r="AQ215" i="5"/>
  <c r="AQ218" i="5" s="1"/>
  <c r="AP215" i="5"/>
  <c r="AP218" i="5" s="1"/>
  <c r="AQ213" i="5"/>
  <c r="AZ221" i="5"/>
  <c r="AP213" i="5"/>
  <c r="AP211" i="5"/>
  <c r="AZ206" i="5"/>
  <c r="AM212" i="5"/>
  <c r="AM213" i="5" s="1"/>
  <c r="AM216" i="5"/>
  <c r="AM220" i="5" s="1"/>
  <c r="AK216" i="5"/>
  <c r="AK220" i="5" s="1"/>
  <c r="AN212" i="5"/>
  <c r="AN216" i="5"/>
  <c r="AN220" i="5" s="1"/>
  <c r="AL216" i="5"/>
  <c r="AL220" i="5" s="1"/>
  <c r="BC203" i="5"/>
  <c r="BC214" i="5"/>
  <c r="AK212" i="5"/>
  <c r="BA215" i="5"/>
  <c r="BA218" i="5" s="1"/>
  <c r="AZ219" i="5" s="1"/>
  <c r="AZ210" i="5"/>
  <c r="AZ211" i="5" s="1"/>
  <c r="BD221" i="5"/>
  <c r="BC219" i="5"/>
  <c r="BC206" i="5"/>
  <c r="BC211" i="5"/>
  <c r="AN205" i="5"/>
  <c r="AM205" i="5"/>
  <c r="AM202" i="5"/>
  <c r="AM203" i="5" s="1"/>
  <c r="AN207" i="5"/>
  <c r="AM215" i="5"/>
  <c r="AM218" i="5" s="1"/>
  <c r="AK277" i="5"/>
  <c r="AK278" i="5" s="1"/>
  <c r="AK301" i="5" s="1"/>
  <c r="AL215" i="5"/>
  <c r="AL218" i="5" s="1"/>
  <c r="AL210" i="5"/>
  <c r="AL213" i="5"/>
  <c r="AL202" i="5"/>
  <c r="AK203" i="5" s="1"/>
  <c r="AL205" i="5"/>
  <c r="AK207" i="5"/>
  <c r="AK210" i="5" s="1"/>
  <c r="AK205" i="5"/>
  <c r="AI307" i="5"/>
  <c r="AI305" i="5"/>
  <c r="AI304" i="5"/>
  <c r="AJ296" i="5"/>
  <c r="AI296" i="5"/>
  <c r="AI295" i="5"/>
  <c r="AI294" i="5"/>
  <c r="AJ284" i="5"/>
  <c r="AJ303" i="5" s="1"/>
  <c r="AI284" i="5"/>
  <c r="AI303" i="5" s="1"/>
  <c r="AJ281" i="5"/>
  <c r="AJ302" i="5" s="1"/>
  <c r="AI281" i="5"/>
  <c r="AI302" i="5" s="1"/>
  <c r="AI277" i="5"/>
  <c r="AI278" i="5" s="1"/>
  <c r="AI301" i="5" s="1"/>
  <c r="AJ274" i="5"/>
  <c r="AJ300" i="5" s="1"/>
  <c r="AI274" i="5"/>
  <c r="AI300" i="5" s="1"/>
  <c r="AJ271" i="5"/>
  <c r="AJ299" i="5" s="1"/>
  <c r="AI271" i="5"/>
  <c r="AI299" i="5" s="1"/>
  <c r="AJ268" i="5"/>
  <c r="AJ298" i="5" s="1"/>
  <c r="AI268" i="5"/>
  <c r="AI298" i="5" s="1"/>
  <c r="AI265" i="5"/>
  <c r="AI297" i="5" s="1"/>
  <c r="AI264" i="5"/>
  <c r="AJ208" i="5"/>
  <c r="AI208" i="5"/>
  <c r="AJ204" i="5"/>
  <c r="AI204" i="5"/>
  <c r="AJ199" i="5"/>
  <c r="AJ202" i="5" s="1"/>
  <c r="AI199" i="5"/>
  <c r="AI202" i="5" s="1"/>
  <c r="AI182" i="5"/>
  <c r="AI306" i="5" s="1"/>
  <c r="AG276" i="5"/>
  <c r="AH276" i="5"/>
  <c r="AG260" i="5"/>
  <c r="AG182" i="5"/>
  <c r="AG306" i="5" s="1"/>
  <c r="AG308" i="5"/>
  <c r="AG307" i="5"/>
  <c r="AG305" i="5"/>
  <c r="AG304" i="5"/>
  <c r="AH296" i="5"/>
  <c r="AG296" i="5"/>
  <c r="AG295" i="5"/>
  <c r="AH284" i="5"/>
  <c r="AH303" i="5" s="1"/>
  <c r="AG284" i="5"/>
  <c r="AG303" i="5" s="1"/>
  <c r="AH281" i="5"/>
  <c r="AH302" i="5" s="1"/>
  <c r="AG281" i="5"/>
  <c r="AG302" i="5" s="1"/>
  <c r="AH274" i="5"/>
  <c r="AH300" i="5" s="1"/>
  <c r="AG274" i="5"/>
  <c r="AG300" i="5" s="1"/>
  <c r="AH271" i="5"/>
  <c r="AH299" i="5" s="1"/>
  <c r="AG271" i="5"/>
  <c r="AG299" i="5" s="1"/>
  <c r="AH268" i="5"/>
  <c r="AH298" i="5" s="1"/>
  <c r="AG268" i="5"/>
  <c r="AG298" i="5" s="1"/>
  <c r="AG265" i="5"/>
  <c r="AG297" i="5" s="1"/>
  <c r="AG264" i="5"/>
  <c r="AH208" i="5"/>
  <c r="AH212" i="5" s="1"/>
  <c r="AG208" i="5"/>
  <c r="AG216" i="5" s="1"/>
  <c r="AG220" i="5" s="1"/>
  <c r="AH204" i="5"/>
  <c r="AG204" i="5"/>
  <c r="AH199" i="5"/>
  <c r="AH202" i="5" s="1"/>
  <c r="AG199" i="5"/>
  <c r="AG207" i="5" s="1"/>
  <c r="AG215" i="5" s="1"/>
  <c r="AG218" i="5" s="1"/>
  <c r="AF276" i="5"/>
  <c r="AE276" i="5"/>
  <c r="AE260" i="5"/>
  <c r="AE182" i="5"/>
  <c r="AP221" i="5" l="1"/>
  <c r="AZ214" i="5"/>
  <c r="AP214" i="5"/>
  <c r="AG277" i="5"/>
  <c r="AG278" i="5" s="1"/>
  <c r="AG301" i="5" s="1"/>
  <c r="AP219" i="5"/>
  <c r="AQ221" i="5"/>
  <c r="AP222" i="5" s="1"/>
  <c r="AH205" i="5"/>
  <c r="AJ216" i="5"/>
  <c r="AJ220" i="5" s="1"/>
  <c r="AK206" i="5"/>
  <c r="AI216" i="5"/>
  <c r="AI220" i="5" s="1"/>
  <c r="BC222" i="5"/>
  <c r="AG212" i="5"/>
  <c r="AG213" i="5" s="1"/>
  <c r="BA221" i="5"/>
  <c r="AZ222" i="5" s="1"/>
  <c r="AI205" i="5"/>
  <c r="AJ207" i="5"/>
  <c r="AJ210" i="5" s="1"/>
  <c r="AI212" i="5"/>
  <c r="AJ212" i="5"/>
  <c r="AM206" i="5"/>
  <c r="AM221" i="5"/>
  <c r="AN210" i="5"/>
  <c r="AM211" i="5" s="1"/>
  <c r="AN215" i="5"/>
  <c r="AN218" i="5" s="1"/>
  <c r="AM219" i="5" s="1"/>
  <c r="AN213" i="5"/>
  <c r="AM214" i="5" s="1"/>
  <c r="AL221" i="5"/>
  <c r="AK211" i="5"/>
  <c r="AK215" i="5"/>
  <c r="AK218" i="5" s="1"/>
  <c r="AK219" i="5" s="1"/>
  <c r="AK213" i="5"/>
  <c r="AK214" i="5" s="1"/>
  <c r="AJ205" i="5"/>
  <c r="AI203" i="5"/>
  <c r="AI207" i="5"/>
  <c r="AH207" i="5"/>
  <c r="AH210" i="5" s="1"/>
  <c r="AG202" i="5"/>
  <c r="AG203" i="5" s="1"/>
  <c r="AG205" i="5"/>
  <c r="AG221" i="5"/>
  <c r="AH216" i="5"/>
  <c r="AH220" i="5" s="1"/>
  <c r="AG210" i="5"/>
  <c r="AE308" i="5"/>
  <c r="AE307" i="5"/>
  <c r="AE306" i="5"/>
  <c r="AE305" i="5"/>
  <c r="AE304" i="5"/>
  <c r="AF296" i="5"/>
  <c r="AE296" i="5"/>
  <c r="AE295" i="5"/>
  <c r="AF284" i="5"/>
  <c r="AF303" i="5" s="1"/>
  <c r="AE284" i="5"/>
  <c r="AE303" i="5" s="1"/>
  <c r="AF281" i="5"/>
  <c r="AF302" i="5" s="1"/>
  <c r="AE281" i="5"/>
  <c r="AE302" i="5" s="1"/>
  <c r="AE277" i="5"/>
  <c r="AE278" i="5" s="1"/>
  <c r="AE301" i="5" s="1"/>
  <c r="AF274" i="5"/>
  <c r="AF300" i="5" s="1"/>
  <c r="AE274" i="5"/>
  <c r="AE300" i="5" s="1"/>
  <c r="AF271" i="5"/>
  <c r="AF299" i="5" s="1"/>
  <c r="AE271" i="5"/>
  <c r="AE299" i="5" s="1"/>
  <c r="AF268" i="5"/>
  <c r="AF298" i="5" s="1"/>
  <c r="AE268" i="5"/>
  <c r="AE298" i="5" s="1"/>
  <c r="AE265" i="5"/>
  <c r="AE297" i="5" s="1"/>
  <c r="AE264" i="5"/>
  <c r="AF208" i="5"/>
  <c r="AF212" i="5" s="1"/>
  <c r="AE208" i="5"/>
  <c r="AE212" i="5" s="1"/>
  <c r="AF204" i="5"/>
  <c r="AE204" i="5"/>
  <c r="AF199" i="5"/>
  <c r="AF207" i="5" s="1"/>
  <c r="AE199" i="5"/>
  <c r="AG206" i="5" l="1"/>
  <c r="AJ215" i="5"/>
  <c r="AJ218" i="5" s="1"/>
  <c r="AJ213" i="5"/>
  <c r="AI206" i="5"/>
  <c r="AI213" i="5"/>
  <c r="AE205" i="5"/>
  <c r="AK221" i="5"/>
  <c r="AK222" i="5" s="1"/>
  <c r="AN221" i="5"/>
  <c r="AM222" i="5" s="1"/>
  <c r="AI210" i="5"/>
  <c r="AI211" i="5" s="1"/>
  <c r="AI215" i="5"/>
  <c r="AH213" i="5"/>
  <c r="AG214" i="5" s="1"/>
  <c r="AH215" i="5"/>
  <c r="AH218" i="5" s="1"/>
  <c r="AG219" i="5" s="1"/>
  <c r="AG211" i="5"/>
  <c r="AF205" i="5"/>
  <c r="AF213" i="5"/>
  <c r="AF215" i="5"/>
  <c r="AF218" i="5" s="1"/>
  <c r="AF210" i="5"/>
  <c r="AE216" i="5"/>
  <c r="AE220" i="5" s="1"/>
  <c r="AF216" i="5"/>
  <c r="AF220" i="5" s="1"/>
  <c r="AE202" i="5"/>
  <c r="AE207" i="5"/>
  <c r="AE213" i="5" s="1"/>
  <c r="AF202" i="5"/>
  <c r="AI214" i="5" l="1"/>
  <c r="AJ221" i="5"/>
  <c r="AH221" i="5"/>
  <c r="AG222" i="5" s="1"/>
  <c r="AE206" i="5"/>
  <c r="AE214" i="5"/>
  <c r="AF221" i="5"/>
  <c r="AI218" i="5"/>
  <c r="AI219" i="5" s="1"/>
  <c r="AI221" i="5"/>
  <c r="AE210" i="5"/>
  <c r="AE211" i="5" s="1"/>
  <c r="AE215" i="5"/>
  <c r="AE218" i="5" s="1"/>
  <c r="AE219" i="5" s="1"/>
  <c r="AE203" i="5"/>
  <c r="AI222" i="5" l="1"/>
  <c r="AE221" i="5"/>
  <c r="AE222" i="5" s="1"/>
  <c r="N55" i="6" l="1"/>
  <c r="O8" i="6" s="1"/>
  <c r="Z8" i="6" s="1"/>
  <c r="O52" i="6" l="1"/>
  <c r="Z52" i="6" s="1"/>
  <c r="O24" i="6"/>
  <c r="Z24" i="6" s="1"/>
  <c r="O32" i="6"/>
  <c r="Z32" i="6" s="1"/>
  <c r="O10" i="6"/>
  <c r="Z10" i="6" s="1"/>
  <c r="O16" i="6"/>
  <c r="Z16" i="6" s="1"/>
  <c r="O28" i="6"/>
  <c r="Z28" i="6" s="1"/>
  <c r="O39" i="6"/>
  <c r="Z39" i="6" s="1"/>
  <c r="O12" i="6"/>
  <c r="Z12" i="6" s="1"/>
  <c r="O49" i="6"/>
  <c r="Z49" i="6" s="1"/>
  <c r="O44" i="6"/>
  <c r="Z44" i="6" s="1"/>
  <c r="O38" i="6"/>
  <c r="Z38" i="6" s="1"/>
  <c r="O7" i="6"/>
  <c r="Z7" i="6" s="1"/>
  <c r="O30" i="6"/>
  <c r="Z30" i="6" s="1"/>
  <c r="O26" i="6"/>
  <c r="Z26" i="6" s="1"/>
  <c r="O14" i="6"/>
  <c r="Z14" i="6" s="1"/>
  <c r="O21" i="6"/>
  <c r="Z21" i="6" s="1"/>
  <c r="O3" i="6"/>
  <c r="Z3" i="6" s="1"/>
  <c r="O34" i="6"/>
  <c r="Z34" i="6" s="1"/>
  <c r="O46" i="6"/>
  <c r="Z46" i="6" s="1"/>
  <c r="O51" i="6"/>
  <c r="Z51" i="6" s="1"/>
  <c r="O6" i="6"/>
  <c r="Z6" i="6" s="1"/>
  <c r="O47" i="6"/>
  <c r="Z47" i="6" s="1"/>
  <c r="O36" i="6"/>
  <c r="Z36" i="6" s="1"/>
  <c r="O23" i="6"/>
  <c r="Z23" i="6" s="1"/>
  <c r="O4" i="6"/>
  <c r="Z4"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59" authorId="0" shapeId="0" xr:uid="{00000000-0006-0000-0000-000001000000}">
      <text>
        <r>
          <rPr>
            <b/>
            <sz val="9"/>
            <color indexed="81"/>
            <rFont val="Tahoma"/>
            <family val="2"/>
          </rPr>
          <t>User:</t>
        </r>
        <r>
          <rPr>
            <sz val="9"/>
            <color indexed="81"/>
            <rFont val="Tahoma"/>
            <family val="2"/>
          </rPr>
          <t xml:space="preserve">
NO MAYOR A 30 DIAS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9268D813-3F39-441E-9017-01A20473A575}">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AD3DE174-2A7C-4457-9C0C-8E58DF55BDDE}">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BC0CAAEC-3896-4B47-A7F8-A14272F89571}">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9C275B7C-4B3D-4C5C-95D1-915FACC5B198}">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6C714FA2-0FDF-4E2C-840F-5D0FAF4E769B}">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F7E9A5D3-A426-44B5-82EE-35109DFA3757}">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A1EED9BA-9D61-4F0A-827F-2D0E726F584D}">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74061AA4-7463-4902-94FC-43A8436E3310}">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7C826DD6-5946-4482-AE3B-C3E2C0AD9656}">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EF7BC19F-DA01-45AF-9274-D397E4AC69AF}">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BCF76561-1715-43CE-913F-7C3704460B12}">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801BB3C9-21FE-4CAB-B2D1-431A14836585}">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0D81092A-94AD-49B0-B0CF-BAE82A72B09F}">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B0975D4B-D7BF-4FBC-94A6-4DE421820B86}">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F9D2F56C-59CF-416E-8DC7-5E0574716084}">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A9998A74-97DF-487C-99A6-D41B204B01DF}">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CDDC77A5-0480-4BE5-BE48-8E8E9FC0CFA3}">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3EB90987-6D78-4D84-9808-661EA121DE53}">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66AFEA89-B351-40D7-B6E1-866BBBC1145E}">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9B5B89F4-7227-4E3E-8E1C-00B28E1F1FE8}">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E3F530D3-2B7C-4834-9466-0159371AE0DE}">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Nelson Augusto Ochoa Casas</author>
  </authors>
  <commentList>
    <comment ref="C22" authorId="0" shapeId="0" xr:uid="{ED7011B4-4922-454D-BDD5-D755CF3F614F}">
      <text>
        <r>
          <rPr>
            <b/>
            <sz val="9"/>
            <color indexed="81"/>
            <rFont val="Tahoma"/>
            <family val="2"/>
          </rPr>
          <t>Nelson Augusto Ochoa Casas:</t>
        </r>
        <r>
          <rPr>
            <sz val="9"/>
            <color indexed="81"/>
            <rFont val="Tahoma"/>
            <family val="2"/>
          </rPr>
          <t xml:space="preserve">
el valor mensual es el mismo durante toda la ejecucion del contrato</t>
        </r>
      </text>
    </comment>
  </commentList>
</comments>
</file>

<file path=xl/sharedStrings.xml><?xml version="1.0" encoding="utf-8"?>
<sst xmlns="http://schemas.openxmlformats.org/spreadsheetml/2006/main" count="9522" uniqueCount="1800">
  <si>
    <t>OBSERVACIONES:</t>
  </si>
  <si>
    <t>FIRMADO POR:</t>
  </si>
  <si>
    <t>PORCENTAJE DE PARTICIPACIÓN:</t>
  </si>
  <si>
    <t>DURACIÓN DE LA FIGURA ASOCIATIVA:</t>
  </si>
  <si>
    <t>NOMBRE REPRESENTANTE LEGAL:</t>
  </si>
  <si>
    <t>LABORES A REALIZAR EN UNION TEMPORAL:</t>
  </si>
  <si>
    <t>NOMBRE:</t>
  </si>
  <si>
    <t xml:space="preserve">OBJETIVO ESPECIFICO: </t>
  </si>
  <si>
    <t>REGISTRO UNICO DE PROPONENTES RUP</t>
  </si>
  <si>
    <t>No. DE POLIZA:</t>
  </si>
  <si>
    <t>ASEGURADORA:</t>
  </si>
  <si>
    <t>NIT ASEGURADO:</t>
  </si>
  <si>
    <t>VIGENCIA:</t>
  </si>
  <si>
    <t>QUE CERTIFICAN:</t>
  </si>
  <si>
    <t>FECHA DE CERTIFICACION DEL CUMPLIMIENTO:</t>
  </si>
  <si>
    <t>REGISTRO UNICO TRIBUTARIO RUT</t>
  </si>
  <si>
    <t>REGIMEN:</t>
  </si>
  <si>
    <t>10</t>
  </si>
  <si>
    <t>VALOR:</t>
  </si>
  <si>
    <t>PORCENTAJE INDICE DE LIQUIDEZ:</t>
  </si>
  <si>
    <t>CUMPLE O NO CUMPLE:</t>
  </si>
  <si>
    <t>CAPITAL DE TRABAJO:</t>
  </si>
  <si>
    <t>EXPERIENCIA DEL OFERENTE</t>
  </si>
  <si>
    <t>OBSERVACIONES CERTIFICACION N. 1</t>
  </si>
  <si>
    <t>NOMBRE DE LA ENTIDAD CONTRATANTE:</t>
  </si>
  <si>
    <t>CONSTANCIA DE CUMPLIMIENTO DE APORTES LEY 789 DE 2002</t>
  </si>
  <si>
    <t>3,2,2,1</t>
  </si>
  <si>
    <t>3,2,2,2</t>
  </si>
  <si>
    <t>3,2,2,3</t>
  </si>
  <si>
    <t>3,2,2,4</t>
  </si>
  <si>
    <t>INDICE DE ENDEUDAMIENTO (igual o inferior a 60%</t>
  </si>
  <si>
    <t>TIENE LIMITACION (SI O NO)</t>
  </si>
  <si>
    <t>ACTIVIDAD DE INSCRIPCIÓN: 921215, 921217</t>
  </si>
  <si>
    <t>APORTADO (SI O NO)</t>
  </si>
  <si>
    <t>OBSERVACIONES</t>
  </si>
  <si>
    <t>LICENCIA DE FUNCIONAMIENTO</t>
  </si>
  <si>
    <t>1</t>
  </si>
  <si>
    <t>FECHA DE VENCIMIENTO:</t>
  </si>
  <si>
    <t>No DE RESOLUCIÓN Y FECHA:</t>
  </si>
  <si>
    <t>COMPROMISO DE RENOVACION EN CASO DE VENCIMIENTO DURANTE LA EJECUCION DEL CONTRATO</t>
  </si>
  <si>
    <t>CERTIFICACION DE ARL</t>
  </si>
  <si>
    <t>VIGENTES:</t>
  </si>
  <si>
    <t>MULTAS Y SANCIONES:</t>
  </si>
  <si>
    <t>CREDENCIAL DE SUPERVISOR VIGENTE:</t>
  </si>
  <si>
    <t>FECHA DE CERTIFICACION:</t>
  </si>
  <si>
    <t>PUNTOS EXPERIENCIA: (20)</t>
  </si>
  <si>
    <t>CERTIFICACION DE REENTRENAMIENTO:</t>
  </si>
  <si>
    <t>INSTITUCION:</t>
  </si>
  <si>
    <t>ESPECIALIZACION EN SUPERVISOR EN ENTIDADES OFICIALES:</t>
  </si>
  <si>
    <t>INSTITUCIÓN:</t>
  </si>
  <si>
    <t>HOJA DE VIDA DEL COORDINADOR U OPERADOR DE MEDIOS TECNOLOGICOS:</t>
  </si>
  <si>
    <t>CONSULTOR / ASESOR:</t>
  </si>
  <si>
    <t>PUNTOS CONSULTOR O ASESOR: (20)</t>
  </si>
  <si>
    <t>MODALIDAD:</t>
  </si>
  <si>
    <t>PERIODICIDAD AL DIA:</t>
  </si>
  <si>
    <t>EVALUACION REQUISITOS HABILITANTES</t>
  </si>
  <si>
    <t>FACTORES DE PONDERACION</t>
  </si>
  <si>
    <t>FOTOCOPIA DOCUMENTO DE IDENTIDAD (figuras asociativas documento c/u de los integrantes)</t>
  </si>
  <si>
    <t>ACTA DE AUTORIZACION DEL ÓRGANO SOCIETARIO AL REPRESENTANTE LEGAL, EN CASO DE LIMITACION A LA CONTRATACION</t>
  </si>
  <si>
    <t xml:space="preserve">FECHA DE EXPEDICION </t>
  </si>
  <si>
    <t>CERTIFICACION BANCARIA</t>
  </si>
  <si>
    <t>16</t>
  </si>
  <si>
    <t>17</t>
  </si>
  <si>
    <t>18</t>
  </si>
  <si>
    <t>19</t>
  </si>
  <si>
    <t>20</t>
  </si>
  <si>
    <t>21</t>
  </si>
  <si>
    <t>22</t>
  </si>
  <si>
    <t>NUMERO DE SALVO CONDUCTOS</t>
  </si>
  <si>
    <t>23</t>
  </si>
  <si>
    <t>FECHA DE EXPEDICION:</t>
  </si>
  <si>
    <t>24</t>
  </si>
  <si>
    <t>25</t>
  </si>
  <si>
    <t>26</t>
  </si>
  <si>
    <t>27</t>
  </si>
  <si>
    <t>28</t>
  </si>
  <si>
    <t>2,2,5,3</t>
  </si>
  <si>
    <t xml:space="preserve">Ninguna </t>
  </si>
  <si>
    <t>APORTA</t>
  </si>
  <si>
    <t xml:space="preserve">SUPERVISOR 1 </t>
  </si>
  <si>
    <t xml:space="preserve">HOJA DE VIDA SUPERVISORES </t>
  </si>
  <si>
    <t xml:space="preserve">PUNTAJE APOYO INDUSTRIA NACIONAL </t>
  </si>
  <si>
    <t xml:space="preserve">CERTIFICACIÓN 1, </t>
  </si>
  <si>
    <t xml:space="preserve">MANIFESTACION DE SISTEMA DE COMUNICACIÓN EFICIENTE DE TECNOLOGIA DE PUNTA </t>
  </si>
  <si>
    <t xml:space="preserve">SUPERVISOR 2 </t>
  </si>
  <si>
    <t>ALLEGA SEGURIDAD SOCIAL</t>
  </si>
  <si>
    <t>TOTAL PUNTOS SUPERVISOR 1</t>
  </si>
  <si>
    <t>DOCUMENTO DE CONFORMACIÓN DE CONSORCIO Y/O UNION TEMPORAL (ANEXO 2)</t>
  </si>
  <si>
    <t>CARTA DE PRESENTACION DE LA PROPUESTA (ANEXO 1)</t>
  </si>
  <si>
    <t>COMPROMISO CON EL MEDIO AMBIENTE            ( ANEXO )</t>
  </si>
  <si>
    <t>ANTECEDENTES FISCALES (CONTRALORIA)</t>
  </si>
  <si>
    <t xml:space="preserve">ANTECEDENTES PENALES (POLICIA) </t>
  </si>
  <si>
    <t xml:space="preserve">ANTECEDENTES DISCIPLINARIOS (PROCURADURIA) </t>
  </si>
  <si>
    <t>FORMATO BENEFICIARIO CUENTA (ANEXO)</t>
  </si>
  <si>
    <t>CARTA DE MANIFESTACIÓN DE CUMPLIMIENTO DE COMPROMISO ANTICORRUPCIÓN (ANEXO)</t>
  </si>
  <si>
    <t xml:space="preserve">LICENCIA DE COMUNICACIONES </t>
  </si>
  <si>
    <t>29</t>
  </si>
  <si>
    <t>DOCUMENTO EXPEDIDO POR EL REPRESENTANTE LEGAL DE LA EMPRESA EN EL CUAL SE INFORME QUE LA MISMA TIENE IMPLEMENTADO EL SISTEMA DE ATENCIÓN AL CLIENTE Y/O CONSUMIDOR</t>
  </si>
  <si>
    <t>30</t>
  </si>
  <si>
    <t>31</t>
  </si>
  <si>
    <t>32</t>
  </si>
  <si>
    <t>SALVOCONDUCTO DE PORTE O TENENCIA (30)</t>
  </si>
  <si>
    <t>CARTA DE COMPROMISO DE LAS ESPECIFICACIONES TÉCNICAS ESTABLECIDAS EN EL NUMERAL 6.3.3. INDICANDO QUE CUENTA CON ELLOS EN CORRECTO FUNCIONAMIENTO Y SE COMPROMETE A MANTENERLOS EN ESTE ESTADO DURANTE LA EJECUCIÓN DEL CONTRATO</t>
  </si>
  <si>
    <t>APORTA SI/NO</t>
  </si>
  <si>
    <t>TOTAL SUPERVISORES</t>
  </si>
  <si>
    <t>PUNTOS ESPECIALIZACION: (30)</t>
  </si>
  <si>
    <t>3.2.7</t>
  </si>
  <si>
    <t>3,2,2,5</t>
  </si>
  <si>
    <t>RAZÓN DE COBERTURA DE INTERESES (Cobertura de Intereses igual o superior a 3 veces)</t>
  </si>
  <si>
    <t>INDICE DE ENDEUDAMIENTO</t>
  </si>
  <si>
    <t>COBERTURA DE INTERESES</t>
  </si>
  <si>
    <t>REQUISITO / NOMBRE OFERENTE</t>
  </si>
  <si>
    <t>RENTABILIDAD SOBRE ACTIVOS</t>
  </si>
  <si>
    <t>RENTABILIDAD DEL PATRIMONIO</t>
  </si>
  <si>
    <t xml:space="preserve">3.2.2.6 </t>
  </si>
  <si>
    <t xml:space="preserve">3.2.2.7 </t>
  </si>
  <si>
    <t>EVALUACIÓN CAPACIDAD JURIDICA: (cumple/no cumple/subsana)</t>
  </si>
  <si>
    <t>FIRMA</t>
  </si>
  <si>
    <t>OBERVACIONES:</t>
  </si>
  <si>
    <t>NOMBRE DEL PROPONENTE</t>
  </si>
  <si>
    <t>EXPERIENCIA COMO SUPERVISOR (8 AÑOS)</t>
  </si>
  <si>
    <t xml:space="preserve">2.2.5.1 DOCUMENTOS QUE ACREDITEN LA CAPACIDAD JURIDICA </t>
  </si>
  <si>
    <t xml:space="preserve">2.2.5.2 DOCUMENTOS QUE ACREDITEN LA CAPACIDAD TECNICA </t>
  </si>
  <si>
    <t>2.2.5.3 DOCUMENTOS QUE ACREDITAN EXPERIENCIA</t>
  </si>
  <si>
    <t>3.2.2 CAPACIDAD FINANCIERA Y ORGANIZACIONAL</t>
  </si>
  <si>
    <t>3.2.6 APOYO A LA INDUSTRIA NACIONAL (200 PUNTOS)</t>
  </si>
  <si>
    <t>3.2 FORMA DE EVALUACION</t>
  </si>
  <si>
    <t>RENTABILIDAD DEL PATRIMONIO (CUMPLE la propuesta que presente una rentabilidad sobre el patrimonio igual o superior al 15%.)</t>
  </si>
  <si>
    <t>RENTABILIDAD SOBRE ACTIVOS (CUMPLE la propuesta que presente una rentabilidad sobre los activos igual o superior al 10%)</t>
  </si>
  <si>
    <t>PUNTOS CREDENCIAL: (20 PUNTOS)</t>
  </si>
  <si>
    <t>PUNTOS EXPERIENCIA: (20 PUNTOS)</t>
  </si>
  <si>
    <t>PUNTOS REENTRENAMIENTO: (20 PUNTOS)</t>
  </si>
  <si>
    <t>PUNTOS ESPECIALIZACION:(20 PUNTOS)</t>
  </si>
  <si>
    <t>PUNTOS CAPACITACIÓN: (20 PUNTOS)</t>
  </si>
  <si>
    <t>3.2.4 EVALUACIÓN CRITERIOS TÉCNICOS – CALIDAD DEL SUPERVISOR (100 PUNTOS)</t>
  </si>
  <si>
    <t>3.2.5 EVALUACIÓN CRITERIOS TÉCNICOS – CALIDAD DEL COORDINADOR U OPERADOR DE MEDIOS TECNOLÓGICOS U COORDINADOR O DIRECTOR DE PROYECTOS (100 PUNTOS).</t>
  </si>
  <si>
    <t>3.2.7 VINCULACIÓN DE TRABAJADORES CON DISCAPACIDAD  (10 PUNTOS)</t>
  </si>
  <si>
    <t xml:space="preserve">3.2.1 EVALUACIÓN SOBRE LA CAPACIDAD JURÍDICA </t>
  </si>
  <si>
    <t xml:space="preserve">3.2.2. EVALUACIÓN SOBRE LA CAPACIDAD FINANCIERA Y ORGANIZACIONAL </t>
  </si>
  <si>
    <t xml:space="preserve">3.2.2.6 RENTABILIDAD DEL PATRIMONIO </t>
  </si>
  <si>
    <t xml:space="preserve">3.2.2.5 CAPITAL DE TRABAJO </t>
  </si>
  <si>
    <t xml:space="preserve">3.2.2.4 INDICE DE ENDEUDAMIENTO </t>
  </si>
  <si>
    <t>3.2.2.3 RAZÓN DE COBERTURA DE INTERESES</t>
  </si>
  <si>
    <t>3.2.2.7 RENTABILIDAD SOBRE ACTIVOS</t>
  </si>
  <si>
    <t>3.2.3 EVALUACION DE EXPERIENCIA</t>
  </si>
  <si>
    <t>VINCULACIÓN DE TRABAJADORES CON DISCAPACIDAD  (10 PUNTOS)</t>
  </si>
  <si>
    <t>CARGO</t>
  </si>
  <si>
    <t xml:space="preserve">3.2.2.1 PATRIMONIO  </t>
  </si>
  <si>
    <t xml:space="preserve">3.2.2.2 INDICE DE LIQUIDEZ    </t>
  </si>
  <si>
    <t>EVALUACION CAPACIDAD TECNICA (cumple/no cumple/subsana)</t>
  </si>
  <si>
    <t>EVALUACIÓN EXPERIENCIA (cumple/no cumple/subsana)</t>
  </si>
  <si>
    <t>EVALUACIÓN SOBRE LA CAPACIDAD TECNICA</t>
  </si>
  <si>
    <t>FORMA DE PARTICIPACION</t>
  </si>
  <si>
    <t>PORCENTAJE DE PARTICIPACION</t>
  </si>
  <si>
    <t>No. CONSECUTIVO ESTABLECIDO EN EL RUP, DEL REPORTE DEL CONTRATO EJECUTADO</t>
  </si>
  <si>
    <t>VALOR A TENER EN CUENTA COMO EXPERIENCIA SEGÚN % DE PARTICIPACION</t>
  </si>
  <si>
    <t>CUBRIMIENTO</t>
  </si>
  <si>
    <t>EXPERIENCIA MÍNIMA COMO COORDINADOR, OPERADOR Y/O DIRECTOR DE MEDIOS TECNOLÓGICOS U COORDINADOR O DIRECTOS DE PROYECTOS DE MÍNIMO 3 AÑOS</t>
  </si>
  <si>
    <t>QUE CUENTE CON UNA ESPECIALIZACIÓN O ACREDITE CAPACITACIÓN IGUAL O SUPERIOR A 40 HORAS, EN ÁREAS AFINES CON VIGILANCIA ELECTRÓNICA, SISTEMAS DE MONITOREO Y SEGURIDAD O REDES DE ÁREA LOCAL</t>
  </si>
  <si>
    <t>OBSERVACIONES CERTIFICACION N. 2</t>
  </si>
  <si>
    <t>33</t>
  </si>
  <si>
    <t>11</t>
  </si>
  <si>
    <t>12</t>
  </si>
  <si>
    <t>34</t>
  </si>
  <si>
    <t>35</t>
  </si>
  <si>
    <t>CERTIFICACION EXPEDIDA POR EL REPRESENTANTE LEGAL DONDE DETERMINE LA VIGENCIA FISCAL QUE LA ENTIDAD DEBE VERIFICAR PARA LOS INDICADORES FINANCIEROS</t>
  </si>
  <si>
    <t>AÑO A VERIFICAR</t>
  </si>
  <si>
    <t>CERTIFICACION SUSCRITA POR ARL O POR EL REPRESENTANTE LEGAL  EN EL QUE CONSTE QUE LA EMPRESA CUENTA CON UN SISTEMA DE GESTION DE SEGURIDAD Y SALUD EN EL TRABAJO (SI O NO)</t>
  </si>
  <si>
    <t>MANIFESTACION DE QUE DICHO SISTEMA SE ENCUENTRA EN IMPLEMENTACION ( SI O NO)</t>
  </si>
  <si>
    <t>FIRMA REPRESENTANTE LEGAL DE LA EMPRESA OFERENTE Y REPRESENTANTE O DELEGADO DE LA ARL</t>
  </si>
  <si>
    <t>ESTADO DE LOS SERVICIOS DE VIGILANCIA Y SEGURIDAD PRIVADA, RESPECTO DE MULTAS Y SANCIONES (90 DIAS )</t>
  </si>
  <si>
    <t>PAZ Y SALVO (SI O NO)</t>
  </si>
  <si>
    <t>INDICE DE LIQUIDEZ         (Igual o superior a 1,5)</t>
  </si>
  <si>
    <t>PUNTAJE TOTAL CALIDAD COORDINADOR U OPERADOR DE MEDIOS TECNOLOGICOS: PUNTAJE MAXIMO 100 PUNTOS</t>
  </si>
  <si>
    <t>SUMATORIA DE LOS VALORES DE LAS CERTIFICACIONES: (igual Mayor o Superior a 2,268 SMMLV)</t>
  </si>
  <si>
    <t>SI</t>
  </si>
  <si>
    <t>MANIFESTACION EXPRESA DE NO ENCONTARSE INCURSO EN INHABILIDADES E INCOMPATIBILIDADES</t>
  </si>
  <si>
    <t>NO</t>
  </si>
  <si>
    <t>NO APLICA</t>
  </si>
  <si>
    <t>CUMPLE</t>
  </si>
  <si>
    <t>No. DE RESOLUCION Y FECHA</t>
  </si>
  <si>
    <t xml:space="preserve">MANIFESTACIÓN EXPRESA DE MODALIDAD Y PERIODICIDAD DE SUPERVISIÓN - FIRMADA POR EL REPRESENTANTE LEGAL DE LA EMPRESA </t>
  </si>
  <si>
    <t>MANIFESTACION - FIRMADA POR EL REPRESENTANTE LEGAL DE LA EMPRESA  DONDE INDIQUE EL ORIGEN DE LOS RECURSOS OFRECIDOS, EMPRESA NACIONAL  SERVICIOS NACIONALES (200)</t>
  </si>
  <si>
    <t xml:space="preserve">CERTIFICACIÓN 3 </t>
  </si>
  <si>
    <t xml:space="preserve">CERTIFICACIÓN 2 </t>
  </si>
  <si>
    <t>VALOR TOTAL</t>
  </si>
  <si>
    <t>CAPITAL DE TRABAJO TOTAL</t>
  </si>
  <si>
    <t>OBSERVACIONES CERTIFICACION N.3</t>
  </si>
  <si>
    <t>CERTIFICACION REPRESENTANTE LEGAL O REVISOR FISCAL</t>
  </si>
  <si>
    <t>CERTIFICACION MINISTERIO DE TRABAJO</t>
  </si>
  <si>
    <t>FECHA</t>
  </si>
  <si>
    <t>BOYACA Y CASANARE</t>
  </si>
  <si>
    <t>REPRESENTANTE LEGAL</t>
  </si>
  <si>
    <t>LICITACION PÚBLICA No. DESAJTU - LP - 001 DE 2022 - SERVICIO DE VIGILANCIA Y SEGURIDAD PRIVADA</t>
  </si>
  <si>
    <t>DIRECCION EJECUTIVA SECCIONAL DE ADMINISTRACION JUDICIAL - TUNJA</t>
  </si>
  <si>
    <t xml:space="preserve">Representante Legal: </t>
  </si>
  <si>
    <t>NOMBRE DE QUIEN FIRMA</t>
  </si>
  <si>
    <t>No. Cedula de ciudadania</t>
  </si>
  <si>
    <t>FECHA DE EXPEDICIÓN DEL CERTIFICADO:</t>
  </si>
  <si>
    <t xml:space="preserve">FECHA DE CONSTITUCIÓN: (apertura del proceso 21/10/2022) </t>
  </si>
  <si>
    <t>CERTIFICADO DE EXISTENCIA Y REPRESENTACIÓN LEGAL DEL PROPONENTE y DE C/U MIEMBROS CONSORCIO O UT  (constituida por lo menos cinco años antes de la fecha de apertura del presnte proceso)</t>
  </si>
  <si>
    <t>DURACIÓN DE LA SOCIEDAD: (No sera inferior a la del plazo del contrato y un año mas)</t>
  </si>
  <si>
    <t>FACULTADES DEL REPRESENTANTE LEGAL PARA CONTRATAR: (con limite o sin limite de cuantia)</t>
  </si>
  <si>
    <t>FECHA DE EXPEDICIÓN: (no mayor a treinta dias calendario anteriores a la fecha de cierre)</t>
  </si>
  <si>
    <t>GARANTIA DE SERIEDAD DE LA OFERTA:                    (17.085.468,03)</t>
  </si>
  <si>
    <t>FIRMA REVISOR FISCAL:</t>
  </si>
  <si>
    <t>FIRMA REPRESENTANTE LEGAL</t>
  </si>
  <si>
    <t>ANTECEDENTES DISCIPLINARIOS VIGENTES REVISOR FISCAL- EXPEDIDO JUNTA DE CONTADORES</t>
  </si>
  <si>
    <t>COPIA DE LA TARJETA PROFESIONAL DE CONTADOR PUBLICO</t>
  </si>
  <si>
    <t>FIRMADO POR REPRESENTANTE LEGAL:</t>
  </si>
  <si>
    <t xml:space="preserve">FECHA DE EXPEDICION NO MAYOR A TREINTA DIAS A LA FECHA DE CIERRE DEL PROCESO </t>
  </si>
  <si>
    <t>COMPROMISO DE APORTAR DICHA CERTIFICACION EN CASO DE SER SELECCIONADO PARA FIGURAS ASOCIATIVAS</t>
  </si>
  <si>
    <t>NOMBRE ENTIDAD BANCARIA</t>
  </si>
  <si>
    <t>QUIEN FIRMA: REPRESENTANTE LEGAL</t>
  </si>
  <si>
    <t>PÓLIZA SOBRE EL SEGURO DE VIDA COLECTIVO DE QUE TRATA EL ARTÍCULO 5 DE LA LEY 1920 DE 2018 Y EL DECRETO 1588 DEL 26 DE NOVIEMBRE DE 2021</t>
  </si>
  <si>
    <t>No. POLIZA</t>
  </si>
  <si>
    <t xml:space="preserve">COMPROMISO SUSCRITO POR REPRESENTANTE LEGAL DONDE MANIFIESTE QUE DE SER ADJUDICADO EL CONTRATO, INCLUIRÁ DE MANERA INMEDIATA AL PERSONAL DE VIGILANCIA QUE PRESTARA EL SERVICIO DURANTE EL TERMINO DE EJECUCIÓN DEL CONTRATO. </t>
  </si>
  <si>
    <t xml:space="preserve">DOCUMENTOS PARA DIRIMIR DESEMPATES: EN EL CIERRE DEL PROCESO, CADA OFERENTE ANEXARA ADICIONALMENTE EN UNA CARPETA .ZIP LOS DOCUMENTOS QUE VALIDEN CADA PUNTO DE DESEMPATE EN EL PUNTO 3.7.6 CRITERIOS PARA DESEMPATE. </t>
  </si>
  <si>
    <t>FECHA DE VENCIMIENTO: DEBE CUBRIR LA EJECUCION DEL CONTRATO Y 4 MESES MAS</t>
  </si>
  <si>
    <t>RADICADO DE LA SOLICITUD DE RENOVACION DE LA LICENCIA DE FUNCIONAMIENTO ANTE LA SUPERINTENDENCIA DE VIGILANCIA MINIMO 60 DIAS DE ANTELACION AL VENCIMIENTO</t>
  </si>
  <si>
    <t xml:space="preserve">USO DE MEDIOS TECNOLOGICOS </t>
  </si>
  <si>
    <t>PARA EL CASO EN EL CUAL LOS OFERENTES TENGAN VENCIDA ESTA LICENCIA AL MOMENTO DE PRESENTACIÓN DE LA PROPUESTA Y CON FUNDAMENTO EN EL ARTÍCULO 35 DEL DECRETO 019 DE 2012, SE DEBE ANEXAR A LA LICENCIA DE COMUNICACIONES VENCIDA, APORTA (SI/NO)</t>
  </si>
  <si>
    <t>SOLICITUD DE RENOVACIÓN DEBIDAMENTE RADICADA ANTE EL MINISTERIO DE LAS TIC, LA CUAL DEBERÁ TENER FECHA COMO MÍNIMO DE CINCO (5) DÍAS DE ANTELACIÓN A LA FECHA DE VENCIMIENTO DE LA MENCIONADA LICENCIA. APORTA (SI/NO)</t>
  </si>
  <si>
    <t>LICENCIA O CONTRATO - SI NO SE CUENTA CON LA MENCIONADA LICENCIA, SE DEBERÁN PROPONER MEDIOS ALTERNOS DE COMUNICACIÓN EFECTIVOS CON DESCRIPCIÓN DEL SISTEMA, CASO EN EL CUAL EL PROPONENTE DEBERÁ ACREDITAR UN CONTRATO QUE GARANTICE LA COBERTURA DE LAS COMUNICACIONES POR CUALQUIER OTRO MEDIO YA SEA CELULARES, AVANTEL, ETC.</t>
  </si>
  <si>
    <t>FECHA DE CERTIFICACION- NO MAYOR A TREINTA DIAS DIAS CALENDARIO CONTADOS AL CIERRE DE LA FECHA DEL PRESENTE CONTRATO</t>
  </si>
  <si>
    <t>ESTADO DE LOS SERVICIOS DE VIGILANCIA, PAZ Y SALVO DE MULTAS Y CONTRIBUCIONES (90 DIAS)</t>
  </si>
  <si>
    <t>FIRMADA POR: REPRESENTANTE LEGAL</t>
  </si>
  <si>
    <t>EL OFERENTE CERTIFICARÁ QUE ALLEGARÁ A CADA UNO DE LOS SERVICIOS CONTRATADOS Y PERSONAL DE APOYO LOS ELEMENTOS DE BIOSEGURIDAD Y PROTECCIÓN NECESARIOS, EN LAS CANTIDADES QUE SE REQUIERAN Y DE MANERA OPORTUNA.</t>
  </si>
  <si>
    <t>37</t>
  </si>
  <si>
    <t>38</t>
  </si>
  <si>
    <t>PATRIMONIO (Igual o superior a 1.708.546.803)</t>
  </si>
  <si>
    <t>CAPITAL DE TRABAJO                                                 (Igual o superior a 854.273.401)</t>
  </si>
  <si>
    <t>VALOR TOTAL DEL CONTRATO</t>
  </si>
  <si>
    <t>CAPACITACIÓN DE ATENCION Y PREVENCION DE DESASTRES O BRIGADAS DE EMERGENCIA INTENSIDAD HORARIA MINIMA DE 30 HORAS</t>
  </si>
  <si>
    <t>PROFESIÓN: PROFESIONAL, TECNÓLOGO O TÉCNICO EN ÁREAS AFINES DE SISTEMAS, TELECOMUNICACIONES, ELECTRÓNICA Y ELÉCTRICA.</t>
  </si>
  <si>
    <t>PUNTOS: (30)</t>
  </si>
  <si>
    <t>3.2.9 PUNTAJE POR DECRETO 1860 DE 2021 EN OCASIÓN ARTÍCULO 2.2.1.2.4.2.14.  (02 PUNTOS)</t>
  </si>
  <si>
    <t>3.2.10 PUNTAJE POR DECRETO 1860 DE 2021 EN OCASIÓN ARTÍCULO 2.2.1.2.4.2.18.  (02 PUNTOS)</t>
  </si>
  <si>
    <t>EVALUACIÓN CAPACIDAD FINANCIERA Y ORGANIZACIONAL (CUMPLE NO CUMPLE)</t>
  </si>
  <si>
    <t>PUNTAJE VINCULACION DE TRABAJADORES CON DISCAPACIDAD (10 PUNTOS)</t>
  </si>
  <si>
    <t>UT RAMA JUDICIAL 2023</t>
  </si>
  <si>
    <t>ZONA DE SEGURIDAD LTDA</t>
  </si>
  <si>
    <t>SEGURIDAD MONTEVIDEO LTDA</t>
  </si>
  <si>
    <t>SI APORTA</t>
  </si>
  <si>
    <t>FABIO AMADO AYALA</t>
  </si>
  <si>
    <t>TERMINIO DE EJECUCION DEL CONTRATO Y UN AÑO MAS</t>
  </si>
  <si>
    <t>PRESTAR EL SERVICIO DE VIGILANCIA Y SEGURIDAD PRIVADA CONMEDIO HUMANO ARMADO, SIN ARMA Y APOYO CON MEDIOS TECNOLOGICOS EN DESPACHOS JUDICIALES DE OS DISTRITOS JUDICIALES DE TUNJA, SANTA ROSA DE VITERBO Y YOPAL.</t>
  </si>
  <si>
    <t>JHON JAIRO NEIRA BEJARANO</t>
  </si>
  <si>
    <t>PRESTAR SERVICIOS DE VIGILANCIA PRIVADA, PROTECCION DE BIENES MUEBLES, INMUEBLES, MODALIDAD FIJA Y MOVIL, ARMADO, SIN ARMAS, CANINO</t>
  </si>
  <si>
    <t>SIN LIMITE DE CUANTIA</t>
  </si>
  <si>
    <t>0,19</t>
  </si>
  <si>
    <t>15-44-101270203</t>
  </si>
  <si>
    <t>SEGUROS DEL ESTADO</t>
  </si>
  <si>
    <t>04/11/2022 A 14/02/2023</t>
  </si>
  <si>
    <t>VALOR ASEGURADO: (10% del valor estimado 170.854.680)</t>
  </si>
  <si>
    <t xml:space="preserve">NO TIENE INCURSO EN INHABILIDADES E INCOMPATIBILIDADES </t>
  </si>
  <si>
    <t>CERTICA QUE HA CUMPLIDO CON LOS PAGOS DE SEGURIDAD SOCIAL Y APOTES PARAFISCALES  DURNATE LOS ULTIMOS SEIS MESES</t>
  </si>
  <si>
    <t>FERNEY CONGORA SALAS</t>
  </si>
  <si>
    <t>INSCRITO</t>
  </si>
  <si>
    <t>SIN ANTECEDENTES</t>
  </si>
  <si>
    <t>ANGELA YANETH RAMIREZ FORERO</t>
  </si>
  <si>
    <t>RESPONSABLE DE IMPUESTOA LAS VENTAS</t>
  </si>
  <si>
    <t>FIRMADO POR REPRESENTANTE LEGAL</t>
  </si>
  <si>
    <t>ALLEGA EMPRESA Y REPRESENTANTE LEGAL</t>
  </si>
  <si>
    <t xml:space="preserve">SI </t>
  </si>
  <si>
    <t>15-85-1000000244</t>
  </si>
  <si>
    <t>15-85-1000000250</t>
  </si>
  <si>
    <t xml:space="preserve">APORTA COMPROMISO DE INCLUSION AL PERSONAL DE SEGURIDAD A LA POLIZA </t>
  </si>
  <si>
    <t>ANEXA CARPETA DE DESEMPATE</t>
  </si>
  <si>
    <t>20204100016027 DE 23/04/2020</t>
  </si>
  <si>
    <t>AUTORIZA MEDIOS TECNOLOGICOS</t>
  </si>
  <si>
    <t>NNGUNA</t>
  </si>
  <si>
    <t>VENCE EN 2029</t>
  </si>
  <si>
    <t>20194100114627 DE 09/12/2019</t>
  </si>
  <si>
    <t>VENCE 2029</t>
  </si>
  <si>
    <t>2454 DE 2013</t>
  </si>
  <si>
    <t>Boyaca y casanare</t>
  </si>
  <si>
    <t>NO ESTA VENCIDA</t>
  </si>
  <si>
    <t>SOLICITUD DE RENOVACION POR 20 AÑOS</t>
  </si>
  <si>
    <t>ALLEGA COMPROMISO</t>
  </si>
  <si>
    <t>SOLO ALLEGA POR EL OFERENTEZONA DE SEGURIDAD</t>
  </si>
  <si>
    <t>APORTA COMPROMISO DE MANTENR VIGENTE LOS SALVOCONDUCTOS</t>
  </si>
  <si>
    <t>ALLEGA LOS 30 SALVOCONDUCTOS ENTRE LAS DS EMPRESAS</t>
  </si>
  <si>
    <t>NO TIENE MULTAS Y SANCIONES</t>
  </si>
  <si>
    <t>ESTA A PAZ Y SALVO</t>
  </si>
  <si>
    <t>JAMEL VALERO LEON</t>
  </si>
  <si>
    <t>VIGENTE</t>
  </si>
  <si>
    <t>10 años</t>
  </si>
  <si>
    <t>si allega seguridad social</t>
  </si>
  <si>
    <t>director de talento humano</t>
  </si>
  <si>
    <t>COLOMBIAN SECURITY ACADEMY</t>
  </si>
  <si>
    <t>COSECAD</t>
  </si>
  <si>
    <t>MARIA FERNANDA CUENCA ECHEVERRI</t>
  </si>
  <si>
    <t>TOTAL PUNTOS SUPERVISOR 2</t>
  </si>
  <si>
    <t>ELSA AMDO AYALA</t>
  </si>
  <si>
    <t>INGENIERO DE SISTEMAS</t>
  </si>
  <si>
    <t>ESPECIALISTA EN TELEMATICA</t>
  </si>
  <si>
    <t>CONSULTOR</t>
  </si>
  <si>
    <t>DIRECTORA DE TAENTO HUMANO</t>
  </si>
  <si>
    <t>PRESENCIAL  POR MEDIOS DE TELECOMUNICACION CON VISITA DIARIA A PUESTOS DE SERVICIOS</t>
  </si>
  <si>
    <t>UNA VEZ EN EL DIA Y UNA VEZ EN LA NOCHE</t>
  </si>
  <si>
    <t>TOTAL PERSONAL VINCULADO</t>
  </si>
  <si>
    <t>TOTAL PERSONAL VINCULADO MAYORA 45 AÑOS</t>
  </si>
  <si>
    <t>PONDERADO ABSOLUTO</t>
  </si>
  <si>
    <t>TOTAL ABSOLUTO UNION TEMPORAL</t>
  </si>
  <si>
    <t>% PARTICIPACION MAYORES A 45 AÑOS</t>
  </si>
  <si>
    <t>PODERADO RELATIVO</t>
  </si>
  <si>
    <t>TOTAL % PARTICIPACION MAYORES 45 AÑOS</t>
  </si>
  <si>
    <t>(DOCUMENTOS OPCIONALES) PERSONAL MAYOR A 45 AÑOS</t>
  </si>
  <si>
    <t>36.1</t>
  </si>
  <si>
    <t>36.2</t>
  </si>
  <si>
    <t>TOTAL MUJERES VINCULADAS</t>
  </si>
  <si>
    <t>% PARTICIPACION MUJERES</t>
  </si>
  <si>
    <t>(DOCUMENTOS OPCIONALES) MUJERES CONTRATADAS</t>
  </si>
  <si>
    <t>TOTAL PERSONAS EN DISCAPACIDAD VINCULADAS</t>
  </si>
  <si>
    <t>% PARTICIPACION PERSONAL EN DISCAPACIDAD</t>
  </si>
  <si>
    <t>36.3</t>
  </si>
  <si>
    <t>(DOCUMENTOS OPCIONALES) PERSONAL EN DISCAPACIDAD</t>
  </si>
  <si>
    <t>CERTIFICACION BAJO GRAVEDAD DE JURAMENTO DE REVISOR FISCAL DONDE MANIFIESTA QUE EL 50 % DE PERTENECE A MUJERES</t>
  </si>
  <si>
    <t>CERTIFICACION Y DOCUMENTOS ANEXOS DONDE EL REPRESENTANTE LEGAL Y EL REVISOR FISCAL DEMUESTRE 50% PERSONAL FEMENINO EN CARGOS DIRECTIVOS</t>
  </si>
  <si>
    <t>CERTIFICACION DE COOPERATIVAS DONDE EL 50% DE ASOCIADOS SEAN MUJERES</t>
  </si>
  <si>
    <t>PUNTAJE</t>
  </si>
  <si>
    <t>EMPRENDIMIENTO Y EMPRESAS DE MUJERES (2 PUNTOS)</t>
  </si>
  <si>
    <t>CERTIFICACION DE REVISOR FISCAL DE TAMAÑO DE EMPRESA</t>
  </si>
  <si>
    <t>TIPO DE EMPRESA</t>
  </si>
  <si>
    <t>INGRESOS OPERACIONALES DE 2021</t>
  </si>
  <si>
    <t>MIPYMES (2 PUNTOS)</t>
  </si>
  <si>
    <t>CERTIFICADO DE INSCRIPCION REVISOR FISCAL CERTIFICADO EXISTENCIA Y REPRESENTACION LEGAL</t>
  </si>
  <si>
    <t>UNIÓN TEMPORAL C&amp;C 2022</t>
  </si>
  <si>
    <t>COMPAÑÍA DE SERVICIOS DE VIGILANCIA PRIVADA PORTILLA Y PORTILLA LTDA. COSERVIPP LTDA</t>
  </si>
  <si>
    <t>CENTINELAS LTDA</t>
  </si>
  <si>
    <t xml:space="preserve">Representante Legal: FABIO HERNANDO PORTILLA SANCHEZ </t>
  </si>
  <si>
    <t>Representante Legal: FABIO HERNANDO PORTILLA SANCHEZ</t>
  </si>
  <si>
    <t>Representante Legal: DANIEL ANDRÉS HORMAZA PORTILLA</t>
  </si>
  <si>
    <t>La duración de esta Unión Temporal será igual al del término de ejecución y liquidación del contrato y un año más.</t>
  </si>
  <si>
    <t>Elaboración de la propuesta y en la ejecución del contrato: “prestación del servicio de vigilancia y seguridad privada con medio humano armado, sin arma y apoyo con medios tecnológicos, en algunas sedes donde funcionan Corporaciones y Despachos Judiciales de los Distritos de Tunja, Santa Rosa de Viterbo y Yopal.”.</t>
  </si>
  <si>
    <t>C.C. 9.528.882 de Sogamoso</t>
  </si>
  <si>
    <t>C.C. 1.032.472.747 de Bogotá</t>
  </si>
  <si>
    <t>El objeto exclusivo de esta sociedad será el de prestar, mediante
remuneración, el servicio de vigilancia privada y celaduría a
personas jurídicas y naturales que lo soliciten</t>
  </si>
  <si>
    <t>11 de mayo de 1.992</t>
  </si>
  <si>
    <t>10 de octubre de 2022</t>
  </si>
  <si>
    <t>10 de abril de 2060.</t>
  </si>
  <si>
    <t>12 de mayo de 1992</t>
  </si>
  <si>
    <t>2 de noviembre de 2022</t>
  </si>
  <si>
    <t>12 de mayo de 2032</t>
  </si>
  <si>
    <t>Sin limite de cuantia</t>
  </si>
  <si>
    <t>N/A</t>
  </si>
  <si>
    <t>2 DE NOVIEMBRE DE 2022</t>
  </si>
  <si>
    <t>10 DE OCTUBRE DE 2022</t>
  </si>
  <si>
    <t>921215 - 921217</t>
  </si>
  <si>
    <t>SEGUROS MUNDIAL</t>
  </si>
  <si>
    <t>BCH-100022479</t>
  </si>
  <si>
    <t>800165804-5</t>
  </si>
  <si>
    <t>Certifica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
Estos pagos, corresponden a los montos contabilizados y pagados por la compañía durante dichos 6 meses. Lo anterior, en cumplimiento de lo dispuesto en el Artículo 50 de la Ley 789 de 2002.</t>
  </si>
  <si>
    <t>JAIRO ALBERTO RODRIGUEZ RIVERA</t>
  </si>
  <si>
    <t>(04) días del mes de noviembre de 2022</t>
  </si>
  <si>
    <t>DANIEL ANDRES HORMAZA PORTILLA</t>
  </si>
  <si>
    <t>(04) días del mes de noviembre de 2022.</t>
  </si>
  <si>
    <t>FABIO HERNANDO PORTILLA SANCHEZ</t>
  </si>
  <si>
    <t>01 de
noviembre de 2022</t>
  </si>
  <si>
    <t>SUBSANAR</t>
  </si>
  <si>
    <t>SUBSANAR SEGÚN NUMERAL 2,2,5,1 ITEM 17.</t>
  </si>
  <si>
    <t>BCH 2000261519</t>
  </si>
  <si>
    <t>Manifiesta que, en caso de ser adjudicatarios del presente proceso, nos comprometemos a incluir de manera inmediata al personal de vigilancia que prestara el servicio durante el termino de ejecución del contrato en nuestra Póliza de seguro de vida colectivo.</t>
  </si>
  <si>
    <t>BCH 2000276435</t>
  </si>
  <si>
    <t>Manifiesto que, en caso de ser adjudicatarios del presente proceso, nos comprometemos a incluir de manera inmediata al personal de vigilancia que prestara el servicio durante el termino de ejecución del contrato en nuestra Póliza de seguro de vida colectivo.</t>
  </si>
  <si>
    <t>20204100099977 DE 30/12/2020</t>
  </si>
  <si>
    <t>21 de diciembre de 2028</t>
  </si>
  <si>
    <t>0000348 DE 12/01/2018</t>
  </si>
  <si>
    <t>NACIONAL</t>
  </si>
  <si>
    <t>COMUNICACIÓN CELULAR S.A COMCEL S.A. (que identifica sus productos y servicios bajo la marca CLARO) certifica que la empresa CENTINELAS LTDA
identificada con Nit No. 800162521, tiene vínculos comerciales vigentes con COMUNICACIÓN CELULAR S.A COMCEL S.A con relación a la prestación de servicios de tecnología y comunicaciones.</t>
  </si>
  <si>
    <t>Declaro bajo la gravedad de juramento que se compromete a que, en caso de vencimiento de la Licencia de Comunicaciones, procederemos a la renovación oportuna y en los términos señalados y que por lo tanto mantendremos vigente la licencia durante todo el plazo de ejecución del contrato.</t>
  </si>
  <si>
    <t>SUBSANAR SEGÚN NUMERAL 2,2,5,2 ITEM 24</t>
  </si>
  <si>
    <t>Angela Marcela Baquero - Profesional de Prevención y servicio - ARL Axa Colpatria</t>
  </si>
  <si>
    <t>No registra multas ni
sanciones</t>
  </si>
  <si>
    <t>SE
ENCUENTRA A PAZ Y SALVO</t>
  </si>
  <si>
    <t>ARMANDO VARELA VARGAS</t>
  </si>
  <si>
    <t>12 años</t>
  </si>
  <si>
    <t>4 días del mes de noviembre de 2022</t>
  </si>
  <si>
    <t>FABIO HERNANDO PORTILLA SÁNCHEZ</t>
  </si>
  <si>
    <t>ECOLVIP LTDA</t>
  </si>
  <si>
    <t>CUERPO DE BOMBEROS DE ITAGUI</t>
  </si>
  <si>
    <t>VICTOR HENRY SANTILLAN VILLARREAL</t>
  </si>
  <si>
    <t>4 días del mes de noviembre de 2022.</t>
  </si>
  <si>
    <t>SERVICIOS INTEGRALES</t>
  </si>
  <si>
    <t>TORRES BERNAL PEDRO RAÚL</t>
  </si>
  <si>
    <t>TÉCNICO EN ANÁLISIS Y PROGRAMACIÓN DE SISTEMAS</t>
  </si>
  <si>
    <t xml:space="preserve">LA ESPECIALIZACION ES DE NATALIA  PAOLA SANTANA CASTILLO   </t>
  </si>
  <si>
    <t>COORDINADOR DE PROYECTOS</t>
  </si>
  <si>
    <t>FIRMADO POR: REPRESENTANTE LEGAL</t>
  </si>
  <si>
    <t>realizaremos la supervisión presencial y por medios de comunicación y periodicidad diaria. Como mínimo la supervisión se realizará sobre todos los puestos de servicio a diario con visita o monitoreo en el día y en la noche.</t>
  </si>
  <si>
    <t>FIRMA POR REPRESENTANTE LEGAL</t>
  </si>
  <si>
    <t>EDIFICIO ACOCENTRO 94 PH</t>
  </si>
  <si>
    <t>INDIVIDUAL</t>
  </si>
  <si>
    <t>NINGUNA</t>
  </si>
  <si>
    <t>SERVICIO GEOLÓGICO
COLOMBIANO</t>
  </si>
  <si>
    <t>UNION TEMPORAL</t>
  </si>
  <si>
    <t xml:space="preserve">REPRESENTANTE LEGAL </t>
  </si>
  <si>
    <t>22 de septiembre de 2022</t>
  </si>
  <si>
    <t>UNIÓN TEMPORALTUNJA SC</t>
  </si>
  <si>
    <t>COMPAÑÍA DE VIGILANCIA COVISUR DE COLOMBIA LTDA</t>
  </si>
  <si>
    <t>SEGURITEL LTDA</t>
  </si>
  <si>
    <t>Representante Legal: CARLOS ALFONSO ESPINOSA CASTILLO</t>
  </si>
  <si>
    <t>Representante Legal: CAROL ANDREA GRANADA GOMEZ</t>
  </si>
  <si>
    <t>será igual al del término de ejecución y liquidación del contrato y un año más.</t>
  </si>
  <si>
    <t>CONSECUCIÓN DE LOS DOCUMENTOS PARA LA ELABORACIÓN DE LA PROPUESTA. EN LA EJECUCION DEL CONTRATO: PRESTACIÓN DEL SERVICIO DE VIGILANCIA EN LA MODALIDAD FIJA, MOVIL CON Y SIN ARMA. PRESTACIÓN DEL SERVICIO DE MEDIOS TECNOLOGICOS. REALIZARA EL PROCESO DE SELECCIÓN Y VINCULACIÓN DEL PERSONAL DE ACUERDO AL PERFIL REQUERIDO POR LA ENTIDAD. PRESTACIÓN DEL SERVICIO DE SUPERVISION. TENDRÁ A SU CARGO EL MANEJO ADMINISTRATIVO Y CONTABLE.</t>
  </si>
  <si>
    <t>C.C. 1.012.351.021 DE BOGOTÁ</t>
  </si>
  <si>
    <t>C.C. 52.828.346 DE BOGOTÁ</t>
  </si>
  <si>
    <t>26 de mayo de 1993</t>
  </si>
  <si>
    <t>13 de octubre de 2022</t>
  </si>
  <si>
    <t>14 de septiembre de 2037</t>
  </si>
  <si>
    <t>La prestación de servicios de
vigilancia y seguridad privada de conformidad con el Decreto 356 de
11 de febrero de 1994, por el cual se expide el estatuto de
vigilancia y seguridad privada, que comprende las actividades que en
forma remunerada desarrolla esta entidad tendientes a prevenir o
detener perturbaciones a la seguridad y tranquilidad individual en lo
relacionado con la vida y los bienes</t>
  </si>
  <si>
    <t>25 de septiembre de 1984</t>
  </si>
  <si>
    <t>25 de septiembre de 2034</t>
  </si>
  <si>
    <t>la presentación de servicios
de vigilancia y seguridad privada de conformidad con el decreto 356
de 1 de febrero de 1994, por el cual se expide el estatuto de
vigilancia y seguridad privada</t>
  </si>
  <si>
    <t>13 DE OCTUBRE DE 2022</t>
  </si>
  <si>
    <t>14-44-101166030</t>
  </si>
  <si>
    <t>170,854,680.30</t>
  </si>
  <si>
    <t>800.165.804-5</t>
  </si>
  <si>
    <t>04/11/2022 A 20/02/2023</t>
  </si>
  <si>
    <t>04/11/2022 A 10/02/2023</t>
  </si>
  <si>
    <t>CARLOS ALFONSO ESPINOSA CASTILLO</t>
  </si>
  <si>
    <t>Que he efectuado el pago por concepto de mis aportes y el de mis empleados (En caso de tener empleados a cargo) a temas de salud, pensiones, riesgos laborales, cajas de compensación familiar, Instituto Colombiano de Bienestar familiar (ICBF) y Servicio Nacional de Aprendizaje (SENA), durante los últimos seis (6) meses calendario legalmente exigibles a la fecha de presentación de nuestra propuesta para el presente proceso de selección</t>
  </si>
  <si>
    <t>Certifica el pago de los aportes realizados por la compañía durante los últimos seis (6) meses calendario legalmente exigibles a la fecha de presentación de nuestra propuesta para el presente proceso de selección, por los conceptos de salud, pensiones, riesgos laborales, cajas de compensación familiar, Caja de Retiro de las Fuerzas Militares (CREMIL) y Servicio Nacional de Aprendizaje (SENA).</t>
  </si>
  <si>
    <t>LUCILA GUAVITA CRISTANCHO</t>
  </si>
  <si>
    <t>INSCRITA</t>
  </si>
  <si>
    <t>NO REGISTRA ANTECEDENTES DISCIPLINARIOS</t>
  </si>
  <si>
    <t>(04) días del mes de Noviembre de dos mil veintidós (2022).</t>
  </si>
  <si>
    <t>Que he efectuado el pago por concepto de mis aportes y el de mis empleados (En caso de tener
empleados a cargo) a temas de salud, pensiones, riesgos laborales, cajas de compensación familiar, Instituto
Colombiano de Bienestar familiar (ICBF) y Servicio Nacional de Aprendizaje (SENA), durante los últimos seis
(6) meses calendario legalmente exigibles a la fecha de presentación de nuestra propuesta para el presente
proceso de selección</t>
  </si>
  <si>
    <t>JOHANNA MAYERLY PEÑA HERNANDEZ</t>
  </si>
  <si>
    <t>CAROL ANDREA GRANADA GOMEZ</t>
  </si>
  <si>
    <t>31 de
octubre de 2022</t>
  </si>
  <si>
    <t>CSC 2000232587</t>
  </si>
  <si>
    <t>CSC 2000255017</t>
  </si>
  <si>
    <t>Manifiesta que teniendo en cuenta que
la Póliza sobre el Seguro de Vida Colectivo de que trata el artículo 5 de la Ley 1920 de 2018 y el Decreto 1588 del 26 de noviembre de 2021, su Obligatoriedad y reporte de cumplimiento, me comprometo y manifiesto que de ser adjudicado el contrato a la UNIÓN TEMPORAL TUNJA SC, incluiremos de manera
inmediata al personal de vigilancia que prestara el servicio durante el termino de ejecución del contrato.</t>
  </si>
  <si>
    <t>Manifiesta que teniendo en cuenta que la Póliza sobre el Seguro de Vida Colectivo de que trata el artículo 5 de la Ley 1920 de 2018 y el Decreto 1588 del 26 de noviembre de 2021, su Obligatoriedad y reporte de cumplimiento, me comprometo y manifiesto que de ser adjudicado el contrato a la UNIÓN TEMPORAL TUNJA SC, incluiremos de manera inmediata al personal de vigilancia que prestara el servicio durante el termino de ejecución del contrato.</t>
  </si>
  <si>
    <t>05 de marzo de 2029</t>
  </si>
  <si>
    <t>20204100016117 DE 23/04/2020</t>
  </si>
  <si>
    <t>27 de junio de 2029</t>
  </si>
  <si>
    <t>20204100016137  DE 23/04/2020</t>
  </si>
  <si>
    <t>03949 de 31/12/2021</t>
  </si>
  <si>
    <t>Manifiesto que la Licencia de
Comunicaciones se encuentra vigente a la fecha de cierre del presente proceso en referencia, así mismo me comprometo a mantenerla vigente por el termino de ejecución del contrato.</t>
  </si>
  <si>
    <t>Noviembre 4 de 2022</t>
  </si>
  <si>
    <t>APORTA COMPROMISO DE MANTENR VIGENTE EL PORTE Y TENENCIA DE ARMAS</t>
  </si>
  <si>
    <t>TORRES LOPEZ JUAN NORBERTO</t>
  </si>
  <si>
    <t>3 de Noviembre de 2022.</t>
  </si>
  <si>
    <t>MARÍA NANCY RODRÍGUEZ GUERRERO
DIRECTORA DE TALENTO HUMANO</t>
  </si>
  <si>
    <t>DELTA</t>
  </si>
  <si>
    <t>CUERPO DE BOMBEROS VOLUNTARIOS DE SAN ANTONIO DEL TEQUENDAMA</t>
  </si>
  <si>
    <t>OSCAR EDUARDO VELASCO GUZMAN</t>
  </si>
  <si>
    <t>3 días del mes de noviembre de 2022.</t>
  </si>
  <si>
    <t>JUAN PABLO SEQUERA ESPAÑA</t>
  </si>
  <si>
    <t>ESPECIALIZACION COORDINADOR MEDIOS TECNOLOGICOS</t>
  </si>
  <si>
    <t>tendrá una periodicidad de dos visitas diarias en el día y en la noche respectivamente y, por medios de comunicación a través del departamento de radio operaciones las 24 horas al día, todos los días de la semana, sobre todos los puestos de servicio.</t>
  </si>
  <si>
    <t>FROG PACK S.A.S</t>
  </si>
  <si>
    <t>DIRECCION CENTRO REHABILITACION INCLUSIVA "DCRI”</t>
  </si>
  <si>
    <t>04 días del mes de Noviembre de 2022.</t>
  </si>
  <si>
    <t>REVISOR FISCAL</t>
  </si>
  <si>
    <t>UNION TEMPORAL SERVILAOS 2022</t>
  </si>
  <si>
    <t>EMPRESA DE SEGURIDAD Y VIGILANCIA PRIVADA SERVICONFOR LTDA</t>
  </si>
  <si>
    <t>LAOS SEGURIDAD LTDA</t>
  </si>
  <si>
    <t>Representante Legal: MARTA LILIANA SAMBONI SEMANATE</t>
  </si>
  <si>
    <t>Representante Legal: ALVARO ORDOÑEZ ORTIZ</t>
  </si>
  <si>
    <t>La prestación del servicio de vigilancia y seguridad privada con medio humano armado, sin arma y apoyo con medios tecnológicos, en algunas sedes donde funcionan Corporaciones y Despachos Judiciales de los Distritos de Tunja, Santa Rosa de Viterbo y Yopal.</t>
  </si>
  <si>
    <t>C.C. 1.082.772.851 BTA</t>
  </si>
  <si>
    <t>C.C. 19.244.864</t>
  </si>
  <si>
    <t>22 de febrero de 1.984</t>
  </si>
  <si>
    <t xml:space="preserve">
22 de febrero de 2034.</t>
  </si>
  <si>
    <t>la prestación remunerada de servicios de vigilancia y seguridad privada en todas las modalidades autorizadas por las normas que regulan este tipo de servicio, incluyendo los conexos como los de asesoría, consultoría,
investigación en seguridad y capacitación e investigación a nivel
nacional e internacional</t>
  </si>
  <si>
    <t>31 de diciembre de 2030</t>
  </si>
  <si>
    <t>05 de diciembre de 1994</t>
  </si>
  <si>
    <t>la prestación de
servicio de vigilancia y seguridad privada a nivel nacional, en la modalidad de fija, móvil,
escolta personas, vehículos y mercancías, con y sin armas de fuego, y medios tecnológicos a
través de monitoreo de alarmas, detectores manuales de metales, vapores explosivos, armas no letales, con los recursos humanos</t>
  </si>
  <si>
    <t>BERKLEY INTERNATIONAL SEGUROS COLOMBIA</t>
  </si>
  <si>
    <t>04/11/2022 A 12/02/2023</t>
  </si>
  <si>
    <t>Certifica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t>
  </si>
  <si>
    <t>DIEGO OMAR CAMPOS PENAGOS</t>
  </si>
  <si>
    <t>LEONARDO LOZANO LOZANO</t>
  </si>
  <si>
    <t>(03) días del mes de noviembre de 2022.</t>
  </si>
  <si>
    <t>(01) días del mes de noviembre de 2022.</t>
  </si>
  <si>
    <t>MARTA LILIANA SAMBONI SEMANATE</t>
  </si>
  <si>
    <t>COMPAÑÍA MUNDIAL DE SEGUROS S.A.</t>
  </si>
  <si>
    <t>CERTIFICO bajo la gravedad de juramento de ser adjudicatarios del contrato que resulte del presente proceso, incluiremos de manera inmediata al personal de vigilancia que prestará el servicio durante el termino de ejecución del contrato.</t>
  </si>
  <si>
    <t>Manifiesto bajo la gravedad de juramento que ser el futuro adjudicatario incluiremos de manera inmediata al personal de vigilancia que prestará el servicio durante el término de ejecución del contrato</t>
  </si>
  <si>
    <t>20201310035167 DE 13/07/2020</t>
  </si>
  <si>
    <t>05 de junio de 2028</t>
  </si>
  <si>
    <t>20204100089847  DE 14/12/2020</t>
  </si>
  <si>
    <t>02505 DEL 1 DE DICIEMBRE DE 2020</t>
  </si>
  <si>
    <t>03506 DE 14 DE DICIEMBRE DEL 2021</t>
  </si>
  <si>
    <t>Maanifesta bajo la gravedad del juramento que nos comprometemos a renovar las diferentes licencias si las mismas vencen durante el plazo de ejecución e informar a la entidad y presentar el debido radicado</t>
  </si>
  <si>
    <t>04 de noviembre de 2022</t>
  </si>
  <si>
    <t>PROFESIONAL DE PREVENCIÓN Y SERVICIOS
AXA COLPATRIA SEGUROS DE VIDA S.A</t>
  </si>
  <si>
    <t>02 de noviembre de 2022</t>
  </si>
  <si>
    <t>ALEXANDER RINCON HOLAYA</t>
  </si>
  <si>
    <t>CADEVIP</t>
  </si>
  <si>
    <t>ANSA</t>
  </si>
  <si>
    <t>HERMEREGILDO RINCON PAON</t>
  </si>
  <si>
    <t>HENRY ALBERTO VILLAREAL GOMEZ</t>
  </si>
  <si>
    <t>ESPECIALIZACION SUPERVISOR MEDIOS TECNOLOGICOS</t>
  </si>
  <si>
    <t>COORDINADOR, CONSULTOR Y SUPERVISOR DE CONTRATOS DE VIGILANCIA.</t>
  </si>
  <si>
    <t>Forma presencial y por medio de comunicación (radio y/o celular) en todos los puestos de servicio.</t>
  </si>
  <si>
    <t>Periodicidad de supervisión: diaria (una visita en el día y una en la noche)</t>
  </si>
  <si>
    <t>EMPRESA DE SEGURIDAD Y VIGILANCIA SERVICONFOR LTDA</t>
  </si>
  <si>
    <t>ALCALDIA TUNJA</t>
  </si>
  <si>
    <t>UNION TEMPORAL FS TUNJA</t>
  </si>
  <si>
    <t>FIDELITY SECURITY COMPANY LTDA</t>
  </si>
  <si>
    <t>SEGURIDAD Y VIGILANCIA SERVICONCEL LTDA.</t>
  </si>
  <si>
    <t>Representante Legal: GUILLERMO MAYORGA VALENZUELA</t>
  </si>
  <si>
    <t>Contratar en nombre de la NACION – CONSEJO
SUPERIOR DE LA JUDICATURA – DIRECCION EJECUTIVA SECCIONAL DE ADMINISTRACION JUDICIAL DE TUNJA, la prestación del servicio de vigilancia y seguridad privada con medio humano armado, sin arma y apoyo con medios tecnológicos, en algunas sedes donde funcionan Corporaciones y Despachos Judiciales de los Distritos de Tunja, Santa Rosa de Viterbo y Yopal</t>
  </si>
  <si>
    <t>Representante Legal:GUILLERMO MAYORGA VALENZUELA</t>
  </si>
  <si>
    <t>Representante Legal: JAIME LUIS MAHECHA PARADA</t>
  </si>
  <si>
    <t>C.C. 79,433,863</t>
  </si>
  <si>
    <t>C.C. No.: 79.051.295 DE ENGATIVÁ</t>
  </si>
  <si>
    <t>12 DE OCTUBRE DE 2022</t>
  </si>
  <si>
    <t xml:space="preserve">
8 DE SEPTIEMBRE DE 2040</t>
  </si>
  <si>
    <t>8 DE SEPTIEMBRE DE 1998</t>
  </si>
  <si>
    <t>PRESTACIÓN REMUNERADA DE SERVICIOS DE VIGILANCIA Y
SEGURIDAD PRIVADA</t>
  </si>
  <si>
    <t>PRESTACIÓN REMUNERADA DE SERVICIOS DE VIGILANCIA Y SEGURIDAD PRIVADA IMPLEMENTADA CON SERVICIOS DE EQUIPOS TECNOLÓGICOS, PRESTACIÓN DE SERVICIOS DE TELECOMUNICACIONES Y OTROS CONEXOS A LAS ACTIVIDADES DE LA VIGILANCIA PRIVADA EN LAS MODALIDADES AUTORIZADAS
POR LA. SUPERINTENDENCIA DE VIGILANCIA Y SEGURIDAD PRIVADA</t>
  </si>
  <si>
    <t>14 DE OCTUBRE DE 2022</t>
  </si>
  <si>
    <t>14-44-101166107</t>
  </si>
  <si>
    <t>04/11/2022 A 15/02/2023</t>
  </si>
  <si>
    <t>certificar que la mencionada sociedad ha realizado los pagos de sistemas de salud, riesgos laborales, pensión y aportes a las Cajas de Compensación Familiar, Instituto Colombiano de Bienestar Familiar y Servicio Nacional de Aprendizaje, correspondientes a las nóminas de los últimos seis (6) meses anteriores a la fecha de presentación de la propuesta.</t>
  </si>
  <si>
    <t>JOSE NORBERTO GONZALEZ GONZALEZ</t>
  </si>
  <si>
    <t>LUIS FERNANDO MALAGÓN ROCHA</t>
  </si>
  <si>
    <t>bajo la gravedad de juramento, certifico el pago de los aportes de salud, riesgos profesionales,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presente procedimiento de selección</t>
  </si>
  <si>
    <t>GUILLERMO MAYORGA VALENZUELA</t>
  </si>
  <si>
    <t>AXA COLPATRIA</t>
  </si>
  <si>
    <t>CSC 2000202745</t>
  </si>
  <si>
    <t>manifiesto que, de ser adjudicado el contrato, incluirá de manera inmediata al personal de vigilancia que prestará el servicio durante el
termino de ejecución del contrato</t>
  </si>
  <si>
    <t>20194100069567 DE 19/07/2019</t>
  </si>
  <si>
    <t>20204100009617 DE 26/02/2020</t>
  </si>
  <si>
    <t>01199 DE 24 DE MAYO DEL 2021</t>
  </si>
  <si>
    <t>002086 DE 22 AGOSTO DE 2019</t>
  </si>
  <si>
    <t>ELIANA CAUCALI RIAÑO Líder de Prevención y Servicio - ARL Axa Colpatria</t>
  </si>
  <si>
    <t>12 de octubre 2022.</t>
  </si>
  <si>
    <t>MIGUEL ANGEL ASTROS GARZON</t>
  </si>
  <si>
    <t>CRYSTIAN ANDRES MAYORGA MARTIN</t>
  </si>
  <si>
    <t>COGNO SEGURIDAD LTDA</t>
  </si>
  <si>
    <t>DEFENSA CIVIL COLOMBIANA - SECCIONAL BOLIVAR</t>
  </si>
  <si>
    <t>PILAR LUZ ENITH MURCIA RODRIGUEZ</t>
  </si>
  <si>
    <t>INGENIERA DE SISTEMAS</t>
  </si>
  <si>
    <t>DIRECTOR DE PROYECTOS Y GESTION HUMANA</t>
  </si>
  <si>
    <t>VIGILANCIA ELECTRONICA</t>
  </si>
  <si>
    <t>Certifica que dispondré de una supervisión presencial y/o por medios de comunicación, sobre
todos los puestos de servicio a diario con visita o monitoreo en el día y en la noche</t>
  </si>
  <si>
    <t>GRAN COLOMBIA GOLD SEGOVIA SUCURSAL COLOMBIA</t>
  </si>
  <si>
    <t xml:space="preserve">REPRESENTANTEN LEGAL - REVISOR FISCAL </t>
  </si>
  <si>
    <t>JAIME LUIS MAHECHA PARADA - LUIS FERNANDO MALAGÓN ROCHA</t>
  </si>
  <si>
    <t>31 de mayo de 2022</t>
  </si>
  <si>
    <t>TP-PROTECCIÓN UNIÓN TEMPORAL</t>
  </si>
  <si>
    <t>SEGURIDAD EL
PROGRESO LTDA</t>
  </si>
  <si>
    <t>será igual al del término de ejecución y liquidación del contrato y un año más</t>
  </si>
  <si>
    <t>Representante Legal: HECTOR BAEZ MEDINA</t>
  </si>
  <si>
    <t>Representante Legal: MARIA MONICA GONZALES RUIZ</t>
  </si>
  <si>
    <t>Representante Legal:  MARIA MONICA GONZALEZ RUIZ</t>
  </si>
  <si>
    <t>“CONTRATAR EN NOMBRE DE LA NACION –
CONSEJO SUPERIOR DE LA JUDICATURA –
DIRECCIÓN EJECUTIVA SECCIONAL DE
ADMINISTRACION JUDICIAL DE TUNJA, LA
PRESTACIÓN DEL SERVICIO DE VIGILANCIA Y
SEGURIDAD PRIVADA CON MEDIO HUMANO
ARMADO, SIN ARMA Y APOYO CON MEDIOS
TECNOLÓGICOS, EN ALGUNAS SEDES DONDE
FUNCIONAN CORPORACIONES Y DESPACHOS
JUDICIALES DE LOS DISTRITOS DE TUNJA,
SANTA ROSA DE VITERBO Y YOPAL”.</t>
  </si>
  <si>
    <t>C.C. 79.396.115 Bogotá D.C</t>
  </si>
  <si>
    <t>C.C. 36.165.333 de Neiva.</t>
  </si>
  <si>
    <t>24 de octubre de 2022</t>
  </si>
  <si>
    <t>La prestación remunerada de servicios de vigilancia para operar en las modalidades de vigilancia fija, vigilancia móvil, escolta de personal, vehículos y mercancía con utilización de armas
de fuego, sin armas, y medio tecnológico, de conformidad con lo establecido en el acto administrativo incorporado en la resolución
emitida por la Superintendencia de Vigilancia y Seguridad Privada</t>
  </si>
  <si>
    <t>14 de febrero de 2060</t>
  </si>
  <si>
    <t>13 de noviembre de 2001</t>
  </si>
  <si>
    <t>05 de agosto de 1994</t>
  </si>
  <si>
    <t>31 de diciembre de 2050.</t>
  </si>
  <si>
    <t>La sociedad tiene como objeto principal: A. Prestar servicios remunerados de vigilancia fija, móvil, escolta a personas, escolta a vehículos, con o sin la utilización de armas de fuego y medios tecnológicos</t>
  </si>
  <si>
    <t>cuando las propuestas o
contratos a celebrar en su cuantía excedan de cien mil (100.000) Salarios mínimos mensuales</t>
  </si>
  <si>
    <t>Limitacion</t>
  </si>
  <si>
    <t>ACTA No 026 de 2022</t>
  </si>
  <si>
    <t>Ningua</t>
  </si>
  <si>
    <t>NO APORTA</t>
  </si>
  <si>
    <t>CSC-100026197</t>
  </si>
  <si>
    <t>certifico el pago de los aportes de salud, riesgos laborales,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presente procedimiento de selección. Lo anterior, en cumplimiento de lo dispuesto en el artículo 50 de la Ley 789 de 2002.</t>
  </si>
  <si>
    <t>JUSTO PASTOR CHIPATECUA ESTRADA</t>
  </si>
  <si>
    <t>certifico el pago de los aportes de seguridad social (pensión, salud y riesgos profesionales) y de los aportes parafiscales (Instituto Colombiano de Bienestar familiar ICBF, Servicio Nacional de Aprendizaje SENA y Caja de Compensación Familiar) pagados por la compañía durante los últimos seis (6) meses calendario legalmente exigibles a la fecha de presentación de la propuesta, dichos pagos corresponden a los montos contabilizados y cancelados por la compañía durante dichos 6 meses. Lo anterior, en cumplimiento de lo dispuesto en el artículo 50 de la Ley 789 de 2002.</t>
  </si>
  <si>
    <t>MARIO CASANOVA DÍAZ</t>
  </si>
  <si>
    <t>(4) días del mes de noviembre del 2022</t>
  </si>
  <si>
    <t>MARÍA MÓNICA GONZÁLEZ RUIZ</t>
  </si>
  <si>
    <t>C 2000245051</t>
  </si>
  <si>
    <t>SEGUROS DE VIDA DEL ESTADO</t>
  </si>
  <si>
    <t>15-85-1000000231</t>
  </si>
  <si>
    <t>Se comprometo bajo la gravedad de juramento que, de ser adjudicado el contrato, incluirá de manera inmediata al personal de vigilancia que prestará el servicio durante el termino de ejecución del contrato</t>
  </si>
  <si>
    <t>Se comprometo bajo la gravedad de juramento que, de ser adjudicado el contrato, incluirá de manera inmediata al personal de vigilancia que prestará el servicio durante el termino de
ejecución del contrato</t>
  </si>
  <si>
    <t>20194100124557 DE 27/12/2019</t>
  </si>
  <si>
    <t>20204100015577 DE 23/04/2020</t>
  </si>
  <si>
    <t>2401 DE 24/07/2013</t>
  </si>
  <si>
    <t>CERTIFICACION DE COMCEL</t>
  </si>
  <si>
    <t>2074 DE 21/08/2019</t>
  </si>
  <si>
    <t>COMUNICACIÓN CELULAR S.A COMCEL S.A. (que identifica sus productos y servicios bajo la marca CLARO) certifica que la Compañía SEGURIDAD EL PROGRESO LTDA, identificada con Nit No. 830.094.607-4, tiene vínculos comerciales vigentes con COMUNICACIÓN CELULAR S.A COMCEL S.A con relación a la prestación de servicios de tecnología y comunicaciones. A la fecha tiene activa 60 líneas móviles que se relación en el reporte corporativo adjunto.</t>
  </si>
  <si>
    <t>LEYDI JOHANNA RODRIGUEZ M.
Profesional de prevención y servicio
Axa Colpatria Seguros de Vida – ARL</t>
  </si>
  <si>
    <t>TELEVIGILANCIA
LTDA  "PROTECCION Y
SEGURIDAD"</t>
  </si>
  <si>
    <t>(7) días de octubre de 2022.</t>
  </si>
  <si>
    <t>LIZETH LORENA LOPEZ                                                   Profesional de prevención y servicio
Axa Colpatria Seguros de Vida – ARL</t>
  </si>
  <si>
    <t>(26) días de octubre de 2022.</t>
  </si>
  <si>
    <t>ARTURO CARLOS MORENO ESCOBAR</t>
  </si>
  <si>
    <t>LUIS ENRIQUE CORTEZ TIQUE</t>
  </si>
  <si>
    <t>DENVER LTDA</t>
  </si>
  <si>
    <t>DEFENSA CIVIL COLOMBIANA
JUNTA PATIO BONITO DC</t>
  </si>
  <si>
    <t>PABLO JAIR SALAZAR PINZON</t>
  </si>
  <si>
    <t>INGENIERO ELECTRONICO</t>
  </si>
  <si>
    <t>COORDINADOR OPERATIVO DE MEDIOS
TECNOLÓGICOS</t>
  </si>
  <si>
    <t>ESPECIALISTA DE MEDIOS TECNOLOGICOS COORINADOR</t>
  </si>
  <si>
    <t xml:space="preserve">Sera de forma presencial  y por medios de comunicación </t>
  </si>
  <si>
    <t>dos veces al dia - dia y noche  mediante visita y monitoreo las 24 horas</t>
  </si>
  <si>
    <t>MULTIFAMILIAR EDIFICIO DIVIDI</t>
  </si>
  <si>
    <t>SEGURIDAD EL PROGRESO LTDA</t>
  </si>
  <si>
    <t>25 de agosto de 2022</t>
  </si>
  <si>
    <t>UNIÓN TEMPORAL CODEL 2022</t>
  </si>
  <si>
    <t>DELTHAC 1 SEGURIDAD LTDA</t>
  </si>
  <si>
    <t>COSEQUIN LTDA</t>
  </si>
  <si>
    <t>Representante Legal: ANGELICA BULLA CASTILLO</t>
  </si>
  <si>
    <t>Representante Legal: PEDRO ELIAS SANCHEZ ANGARITA</t>
  </si>
  <si>
    <t>Contratar en nombre de la NACION – CONSEJO SUPERIOR DE LA JUDICATURA – DIRECCION EJECUTIVA SECCIONAL DE ADMINISTRACION JUDICIAL DE TUNJA, la prestación del servicio de vigilancia y seguridad privada con medio humano armado, sin arma y apoyo con medios tecnológicos, en algunas sedes donde funcionan Corporaciones y Despachos Judiciales de los Distritos de Tunja, Santa Rosa de Viterbo y Yopal.”</t>
  </si>
  <si>
    <t>C.C 13.823.484 de Bucaramanga</t>
  </si>
  <si>
    <t>C.C: 41.929.812 de Armenia</t>
  </si>
  <si>
    <t>24 de febrero de 1995</t>
  </si>
  <si>
    <t>25 de octubre de 2130</t>
  </si>
  <si>
    <t>La prestacion del servicio de vigilancia y seguridad privada en forma remunerada con arma y sin arma, en la modalidad fija móvil y/o escolta, así como también cualquier medio humano, animal, material o tecnológico distinto a las armas de fuego</t>
  </si>
  <si>
    <t>28 de abril de 1977</t>
  </si>
  <si>
    <t>28 de abril de 2057</t>
  </si>
  <si>
    <t xml:space="preserve"> La prestación remunerada de los servicios de vigilancia y seguridad privada, fija con arma y sin arma, móvil con arma y sin arma, escolta
a personas naturales o jurídicas con arma y sin arma, escolta a vehículos y mercancías con arma y sin arma, vigilancia canina en sus diferentes modalidades.</t>
  </si>
  <si>
    <t>15-44-101270207</t>
  </si>
  <si>
    <t>certifico el pago de los aportes de seguridad social (pensión, salud y riesgos profesionales) y de los aportes parafiscales (Instituto Colombiano de Bienestar familiar ICBF, Servicio Nacional de Aprendizaje SENA y Caja de Compensación Familiar) pagados por la compañía durante los últimos seis (6) meses calendario legalmente exigibles a la fecha de presentación de la propuesta</t>
  </si>
  <si>
    <t>JINNA MARCELA CARREÑO</t>
  </si>
  <si>
    <t>HUGO HUSSEIN GOMEZ CASTRO</t>
  </si>
  <si>
    <t>ANGELICA BULLA CASTILLO</t>
  </si>
  <si>
    <t>NB 2000235619</t>
  </si>
  <si>
    <t>Manifiesta bajo gravedad de juramento que de ser adjudicado el contrato a la Unión Temporal que represento, se incluirá de manera inmediata al personal de vigilancia que prestará el servicio durante el termino de ejecución del contrato.</t>
  </si>
  <si>
    <t>NB 2000235615</t>
  </si>
  <si>
    <t>20204100055427  DE 09/09/2020</t>
  </si>
  <si>
    <t>17 de mayo de 2028</t>
  </si>
  <si>
    <t>20203700020537 DE 24/12/2021</t>
  </si>
  <si>
    <t>04 de marzo DE 2029</t>
  </si>
  <si>
    <t>5287 DE 27/12/2013</t>
  </si>
  <si>
    <t>3980 DE 31/12/2021</t>
  </si>
  <si>
    <t>ADRIANA HERNÁNDEZ MORALES
Asesora de Gestión del Riesgo
ARL de Seguros Bolívar</t>
  </si>
  <si>
    <t>10) días del mes de Octubre de
2022.</t>
  </si>
  <si>
    <t>(5) días del mes de octubre del año 2022.</t>
  </si>
  <si>
    <t>LILIAN SOLANYI SANCHEZ LOZANO                                   Líder de Prevención y Servicio                                           ARL Axa Colpatria</t>
  </si>
  <si>
    <t>(4) días del mes de noviembre del 2022.</t>
  </si>
  <si>
    <t>ACADEMIA DE ESTUDIOS TECNICOS EN SEGURIDAD</t>
  </si>
  <si>
    <t>AVIPS LTDA</t>
  </si>
  <si>
    <t>CUERPO DE BOMBEROS DE PIEDE CUESTA</t>
  </si>
  <si>
    <t>ISMAEL SIERRA CAMACHO</t>
  </si>
  <si>
    <t>PEDRO EDINSON PEÑA SANCHEZ</t>
  </si>
  <si>
    <t>IDAR AUGUSTO GÓMEZ RODRÍGUEZ</t>
  </si>
  <si>
    <t>Ingeniero en Electrónica</t>
  </si>
  <si>
    <t>COORDINADOR Y SUPERVISOR DE CONTRATOS</t>
  </si>
  <si>
    <t>SEMINARIO COORDINADORES DE MEDIOS TECNOLOGICOS</t>
  </si>
  <si>
    <t>Presencial con apoyo de medios de comunicación y como mínimo la periocidad de la supervisión será diaria para todos los puestos de servicio con visita y monitoreo en el día y la noche.</t>
  </si>
  <si>
    <t>Gobernación de Santander</t>
  </si>
  <si>
    <t>9 de agosto de 2022</t>
  </si>
  <si>
    <t>SEGURIDAD ONCOR LTDA</t>
  </si>
  <si>
    <t>COMPAÑIA DE SEGURIDAD Y VIGILANCIA PRIVADA SIMON BOLIVAR LTDA EN REORGANIZACIÓN</t>
  </si>
  <si>
    <t>Representante Legal: GERMAN HERNANDO PERILLA MEDRANO</t>
  </si>
  <si>
    <t>Prestación del servicio de vigilancia y seguridad privada con medio humano armado, sin arma y apoyo con medios tecnológicos, en algunas sedes donde funcionan Corporaciones y Despachos Judiciales de los Distritos de Tunja, Santa Rosa de Viterbo y Yopal.</t>
  </si>
  <si>
    <t>Representante Legal:  GERMAN HERNANDO PERILLA MEDRANO</t>
  </si>
  <si>
    <t>Representante Legal: WILLIAM RESTREPO ESPINOSA</t>
  </si>
  <si>
    <t>C.C. No. 79.285.464 de Bogotá D.C</t>
  </si>
  <si>
    <t>C.C. No. 13.465.086 de Cúcuta</t>
  </si>
  <si>
    <t>1 de noviembre de 2022</t>
  </si>
  <si>
    <t>23 de julio de 1.993</t>
  </si>
  <si>
    <t>16 de julio de 2033</t>
  </si>
  <si>
    <t>hasta por 30.000 salarios mínimos mensuales
legales vigentes</t>
  </si>
  <si>
    <t>la empresa de vigilancia y seguridad privada,
denominada SEGURIDAD ONCOR de conformidad con el Decreto 356 del 11 de enero de 1994 en la modalidad de vigilancia y seguridad privada exclusivamente. Sera la prestación remunerada de servicios de vigilancia y seguridad privada,</t>
  </si>
  <si>
    <t>6 de junio de 2000</t>
  </si>
  <si>
    <t>24 de mayo de 2049</t>
  </si>
  <si>
    <t>la prestación remunerada de servicios de vigilancia y seguridad privada en las modalidades de vigilancia fija móvil y esscolta a personas, vehículos y mercancías con y sin armas de fuego, recursos humanos, medio canino, medios tecnológicos</t>
  </si>
  <si>
    <t>28 DE OCTUBRE DE 2022</t>
  </si>
  <si>
    <t>14-44-101166132</t>
  </si>
  <si>
    <t>certifico el pago de los aportes de salud, administradora de riesgos laborales,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presente procedimiento de selección.</t>
  </si>
  <si>
    <t>FERNEY GONGORA SALAS</t>
  </si>
  <si>
    <t>EDITH ESPERANZACASTELLANOSBAUTISTA</t>
  </si>
  <si>
    <t>GERMAN HERNANDO PERILLA MEDRANO</t>
  </si>
  <si>
    <t>CSC 2000256589</t>
  </si>
  <si>
    <t>Manifiesta compromiso que, de ser seleccionados en el presente proceso, procederemos a incluir de manera inmediata al personal de vigilancia que prestara el servicio durante el termino de ejecución del contrato.</t>
  </si>
  <si>
    <t>BCH 2000262077</t>
  </si>
  <si>
    <t>20204100017917 DE 29/2020</t>
  </si>
  <si>
    <t>20204100009297 DE 26/02/2020</t>
  </si>
  <si>
    <t>03843 DE 29 DE DICIEMBRE DEL 2021</t>
  </si>
  <si>
    <t>03862 DEL 30 DE DICIEMBRE DE 2021</t>
  </si>
  <si>
    <t>Gerencia Técnica Arl Sura</t>
  </si>
  <si>
    <t>26/10/2022.</t>
  </si>
  <si>
    <t>Mónica María López
Coordinadora Riesgos Laborales Distrito 1
La Equidad Seguros de Vida O.C</t>
  </si>
  <si>
    <t>(1) día del mes de noviembre de 2022</t>
  </si>
  <si>
    <t>UNION TEMPORAL 2022 OB</t>
  </si>
  <si>
    <t>BENAVIDES LIEVANO FRANCISCO JAVIER,</t>
  </si>
  <si>
    <t>3 días del mes de noviembre de 2022</t>
  </si>
  <si>
    <t>DEFENSA CIVIL PATIO BONITO</t>
  </si>
  <si>
    <t>ORTIZ MERCADO LUIS FERNANDO</t>
  </si>
  <si>
    <t>MARIA CRISTINA MORALES PERDOMO                      Talento Humano</t>
  </si>
  <si>
    <t>INSIGNIA</t>
  </si>
  <si>
    <t>MAURICIO RAMIREZ CORREA</t>
  </si>
  <si>
    <t>DIRECTOR DE PROYECTOS</t>
  </si>
  <si>
    <t>SEMINARIO  - SEGURIDAD ELECTRONICA Y SISTEMAS DE MONITOREO EN REDES SOCIALES</t>
  </si>
  <si>
    <t>Presencial y por medios de comunicación con una periodicidad diaria. Como mínimo la supervisión se realizará sobre todos los puestos de servicio a diario con visita o monitoreo en el día y en la noche</t>
  </si>
  <si>
    <t xml:space="preserve"> GERMAN HERNANDO PERILLA MEDRANO</t>
  </si>
  <si>
    <t>2 de agosto de 2022</t>
  </si>
  <si>
    <t>INSTITUTO COLOMBIANO DE CREDITO EDUCATIVO Y ESTUDIOS TECNICOS EN EL EXTERIOR - ICETEX</t>
  </si>
  <si>
    <t>UNION TEMPORAL A1V 2022</t>
  </si>
  <si>
    <t>ATALAYA 1 SECURITY GROUP LTDA EN REORGANIZACIÓN</t>
  </si>
  <si>
    <t>COMPAÑIA DE VIGILANCIA PRIVADA VIGILISTA LTDA</t>
  </si>
  <si>
    <t>Representante Legal: BERSELI MATEUS RUIZ</t>
  </si>
  <si>
    <t>Representante Legal: ALFREDO REYES SANCHEZ</t>
  </si>
  <si>
    <t>4.280.650 de Togui</t>
  </si>
  <si>
    <t>19.110.478 de Bogotá</t>
  </si>
  <si>
    <t>Prestación de servicios de vigilancia privada, seguridad y protección, tanto a personas naturales como jurídicas en todas las
modalidades, ya sea en el sector industrial, comercial o residencial</t>
  </si>
  <si>
    <t>28 de febrero de 1.972</t>
  </si>
  <si>
    <t>31 de diciembre de 2050</t>
  </si>
  <si>
    <t>la prestación remunerada de servicio
de vigilancia y seguridad privada, empleando para ello cualquier medio humano, animal; armas de fuego, tecnológico tales como centrales de monitoreo y alarmas, circuitos cerrados, equipos de visión o escucha remotos, equipo de detección, como rayos x o scanner, controles de acceso perimétricos y similares</t>
  </si>
  <si>
    <t>10 de junio de 1988</t>
  </si>
  <si>
    <t>10 de junio de 2060.</t>
  </si>
  <si>
    <t>Prestación remunerada de servicios de vigilancia y seguridad privada de protección de bienes muebles e inmuebles de personas naturales o jurídicas de derecho publico o privado y demás entidades o personas que requieran el servicio, para operar con los medios y en las modalidades previamente autorizadas por la superintendencia de vigilancia y seguridad privada dentro del territorio nacional</t>
  </si>
  <si>
    <t>6 DE OCTUBRE DE 2022</t>
  </si>
  <si>
    <t>11-44-101193250</t>
  </si>
  <si>
    <t xml:space="preserve"> BERSELI MATEUS RUIZ</t>
  </si>
  <si>
    <t>incluiremos de manera inmediata al personal de vigilantes que prestara el servicio durante el termino de ejecución del contrato a la Póliza sobre el Seguro de Vida Colectivo de que trata el artículo 5 de la Ley 1920 de 2018 y el Decreto 1588 del 26 de noviembre de 2021, así mismo garantizaré su Obligatoriedad y reporte de cumplimiento</t>
  </si>
  <si>
    <t>BCH 2000257768</t>
  </si>
  <si>
    <t>certificar mi compromiso y manifiesto que, de ser
adjudicado el contrato, incluiré de manera inmediata al personal de vigilancia que prestara el servicio durante el termino de ejecución del contrato, a la Póliza sobre el Seguro de Vida Colectivo de que trata el artículo 5 de la Ley 1920 de 2018 y el Decreto 1588 del 26 de noviembre de 2021, así mismo garantizaré su Obligatoriedad
y reporte de cumplimiento.</t>
  </si>
  <si>
    <t>310·15·994000000185</t>
  </si>
  <si>
    <t>ASEGURADORA SOLIDARIA</t>
  </si>
  <si>
    <t xml:space="preserve">me comprometo a mantener vigente la
licencia de funcionamiento, renovada y vigente por el término de duración del contrato y cinco (5) años más. </t>
  </si>
  <si>
    <t>19 de julio de 2029</t>
  </si>
  <si>
    <t>20204100016707 DE 24/04/2020</t>
  </si>
  <si>
    <t>13 de junio de 2029</t>
  </si>
  <si>
    <t>20204100019147  DE 04/05/2020</t>
  </si>
  <si>
    <t>3180 DE 3 DE DICIEMBRE DE 2019</t>
  </si>
  <si>
    <t>CERTIFICACION DE SERVICIOS EICOM   CERTIFICACION DE SERVICIOS MOVIESTAR</t>
  </si>
  <si>
    <t>BERSELI MATEUS RUIZ</t>
  </si>
  <si>
    <t>JULIETD MARGARITA TRISTANCHO
Asesor de Prevención y Servicio
ARL Axa Colpatria</t>
  </si>
  <si>
    <t>16 de octubre 2022</t>
  </si>
  <si>
    <t>MANUEL RICARDO GONZALEZ DIANA PATRICIA CALLE VALDERRAMA
Profesional en Prevención y servicio Líder de Prevención y Servicio alCliente
AXA COLPATRIA SEGUROS DE VIDA-ARL</t>
  </si>
  <si>
    <t>(20) días del mes de octubre del 2022.</t>
  </si>
  <si>
    <t>afirmo bajo la gravedad del juramento y me comprometo a mantener vigente los
permisos de porte o tenencias de armas y a renovarlos con su debido tiempo antes de
su vencimiento, lo anterior de conformidad con el Derecho 2535 de 1993 y en especial
el decreto 0155 del 1 de febrero de 2016</t>
  </si>
  <si>
    <t>RICHARD CAMILO REYES SÁNCHEZ</t>
  </si>
  <si>
    <t>MARIA ANTONIA MUNEVAR BARRETO
JEFE DE RECURSOS HUMANOS</t>
  </si>
  <si>
    <t>(03) días del mes de noviembre de 2022</t>
  </si>
  <si>
    <t xml:space="preserve">EL CUERPO DE BOMBEROS VOLUNTARIOS DE SIBATE </t>
  </si>
  <si>
    <t>RONALD GREGORIO GALVIS QUINTERO</t>
  </si>
  <si>
    <t>3 de noviembre del 2022</t>
  </si>
  <si>
    <t>LORENA MATEUS - TALENTO HUMANO</t>
  </si>
  <si>
    <t>EL PENTAGONO</t>
  </si>
  <si>
    <t>CUERPO DE BOMBEROS VOLUNTARIOS DE TIBU</t>
  </si>
  <si>
    <t>JOSE HOMERO JIMENEZ BARRERA</t>
  </si>
  <si>
    <t>Ingeniero Electrónico.</t>
  </si>
  <si>
    <t>Director de proyectos de Medios Tecnologicos</t>
  </si>
  <si>
    <t>ESPECIALISTA EN INSTRUMENTACION ELECTRONICA</t>
  </si>
  <si>
    <t>manifiesto bajo la gravedad de juramento mi compromiso a que la supervisión del contrato se realizará por Medios de Comunicación a diario, las 24 horas con un intervalo 2 horas y de forma presencial sobre todos los puestos de servicio a diario con visita en el día y en la noche</t>
  </si>
  <si>
    <t>Atalaya 1
Security Group
Ltda en
Reorganización</t>
  </si>
  <si>
    <t>MINISTERIO
DE VIVIENDA</t>
  </si>
  <si>
    <t>03 de junio de 2022</t>
  </si>
  <si>
    <t xml:space="preserve">NELSON MIGUEL BAUTISTA NARANJO
</t>
  </si>
  <si>
    <t>certifico bajo la gravedad de juramento que mi representada se encuentra al
día en el cumplimiento de las obligaciones laborales, pago de aportes al Sistema de
Seguridad Social Integral y parafiscales, así como los aportes del Sena, ICBF y Cajas de
compensación familiar, durante los últimos 6 meses anteriores a la fecha de
cierre del proceso, de conformidad con lo señalado en el artículo 23 de la ley
1150 de 2007, artículo 50 de la Ley 789 de 2002.</t>
  </si>
  <si>
    <t>MARITZA PIEDAD ACEVEDO GONZALEZ</t>
  </si>
  <si>
    <t>manifiesto que la COMPAÑÍA DE VIGILANCIA PRIVADA VIGILISTA LTDA. ha cumplido, durante los seis (6) meses anteriores a la fecha de cierre del
presente proceso, con los pagos al sistema de seguridad social en salud, pensiones y riesgos profesionales y con el pago de los aportes parafiscales de todos sus empleados vinculados por contrato de trabajo, a las Empresas  Promotoras de Salud -EPS-, Fondos de Pensiones, Administradoras de Riesgos Laborales -ARL-, Caja de Compensación Familiar, Instituto Colombiano de Bienestar Familiar -ICBF- y Servicio Nacional de Aprendizaje -SENA</t>
  </si>
  <si>
    <t>(03) días del mes de noviembre del 2022</t>
  </si>
  <si>
    <t>NELSON MIGUEL BAUTISTA NARANJO</t>
  </si>
  <si>
    <t>1 de noviembre de 2021</t>
  </si>
  <si>
    <t>ÁGUILA DE ORO DE COLOMBIA LTDA.</t>
  </si>
  <si>
    <t>Representante Legal:HERIBERTO LOAIZA MARIN</t>
  </si>
  <si>
    <t>19272775 DE PACORA</t>
  </si>
  <si>
    <t>31 de octubre de 2022</t>
  </si>
  <si>
    <t>30 de mayo de 1.994</t>
  </si>
  <si>
    <t>30 de mayo de 2034</t>
  </si>
  <si>
    <t>la prestación remunerada de
servicios de vigilancia privada, en la modalidad de vigilancia fija, móvil y/o escoltas, mediante la utilización de cualquiera de los medios como armas de fuego o sin armas</t>
  </si>
  <si>
    <t>31 DE OCTUBRE DE 2022</t>
  </si>
  <si>
    <t>21-44-101397625</t>
  </si>
  <si>
    <t>04/11/2022 A 04/02/2023</t>
  </si>
  <si>
    <t>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t>
  </si>
  <si>
    <t>ORLANDO MAYOR DOMINGUEZ</t>
  </si>
  <si>
    <t>(04) cuatro días del mes de noviembre de 2022</t>
  </si>
  <si>
    <t>ALLEGA EMPRESA - SE CONSULTA EL DEL REPRESENTANTE LEGAL 08/11/20222</t>
  </si>
  <si>
    <t>BBVA</t>
  </si>
  <si>
    <t>CSC2000234386</t>
  </si>
  <si>
    <t>15 de enero de 2029</t>
  </si>
  <si>
    <t>20204100016197  DE 23/04/2020</t>
  </si>
  <si>
    <t>733 DE 2 DE MAYO DE 2016</t>
  </si>
  <si>
    <t>ERICA TATIANA FORERO MORA IVONNE MARTINEZ BERNAL Profesional de Prevención y Servicio Líder de Prevención y Servicio ARL AXA COLPATRIA – Bogotá ARL AXA COLPATRIA – Bogotá</t>
  </si>
  <si>
    <t>11 de octubre 2022</t>
  </si>
  <si>
    <t>YEBRAIL DIAZ HERNANDEZ</t>
  </si>
  <si>
    <t>EL CONDOR</t>
  </si>
  <si>
    <t>CUERPO DE BOMBEROS DE TOCANCIPA</t>
  </si>
  <si>
    <t>WILSON MORANTES</t>
  </si>
  <si>
    <t>JOSUEY ISNMAEL SAAVEDRA ESPEJO</t>
  </si>
  <si>
    <t>ESPECIALIZACION COORINADOR DE MEDIOS TECNOLOGICOS</t>
  </si>
  <si>
    <t>COORDINADOR DE MEDIOS
TECNOLÓGICOS</t>
  </si>
  <si>
    <t>16 de septiembre de 2022</t>
  </si>
  <si>
    <t>HERIBERTO LOAIZA MARIN</t>
  </si>
  <si>
    <t>Representante Legal</t>
  </si>
  <si>
    <t>AGUILA DE ORO DE
COLOMBIA LTDA</t>
  </si>
  <si>
    <t>CENTRALES
ELÉCTRICAS DE
NARIÑO S.A. E.S.P.</t>
  </si>
  <si>
    <t>SEGURIDAD TREBOL LTDA</t>
  </si>
  <si>
    <t>YEIMI ALEXANDRA ZANGUÑA BARON</t>
  </si>
  <si>
    <t>DECLARA NO ESTAR INCURSO EN INHABULIDADES E INCOMPATIBILIDADES</t>
  </si>
  <si>
    <t>1,053,607,431</t>
  </si>
  <si>
    <t>921015,921215,921217</t>
  </si>
  <si>
    <t>600-47-994000066236</t>
  </si>
  <si>
    <t>ASEGURADORA SOLIDARIA DE COLOMBIA</t>
  </si>
  <si>
    <t>4/11/2022 A 10/02/2023</t>
  </si>
  <si>
    <r>
      <t>170,854,680,</t>
    </r>
    <r>
      <rPr>
        <sz val="6"/>
        <rFont val="Arial"/>
        <family val="2"/>
      </rPr>
      <t>30</t>
    </r>
  </si>
  <si>
    <t>CERTIFICA QUE HA CUMPLIDO CON LOS PAGOS DE SEGURIDAD SOCIAL Y APOTES PARAFISCALES  DURNATE LOS ULTIMOS SEIS MESES</t>
  </si>
  <si>
    <t>JUAN CARLOS ACOSTA GUALTERO</t>
  </si>
  <si>
    <t>RESPONSABLE IMPUESTO A LAS VENTAS IVA</t>
  </si>
  <si>
    <t>BANCO DE BOGOTÁ</t>
  </si>
  <si>
    <t>POSITIVA COMPAÑÍA DE SEGUROS</t>
  </si>
  <si>
    <t>3400004318-0</t>
  </si>
  <si>
    <t>20184100016907 DE 9/03/2018</t>
  </si>
  <si>
    <t>VENCE 2028</t>
  </si>
  <si>
    <t>AUTORIZA MEDIOS TECNOLÓGICOS</t>
  </si>
  <si>
    <t>01531 DE 29/06/2021</t>
  </si>
  <si>
    <t>MANUEL RICARDO GONZALEZ - PROFESIONAL EN PREVENCION Y SERVICIO AXA COLPATRIA SEGUROS DE VIDA S.A</t>
  </si>
  <si>
    <t>REPRESENTANTE ARL</t>
  </si>
  <si>
    <t>VENCEN 2030</t>
  </si>
  <si>
    <t>SIN MULTAS NI SANCIONES</t>
  </si>
  <si>
    <t>A PAZ Y SALVO</t>
  </si>
  <si>
    <t>DANIEL ALBA ALBA</t>
  </si>
  <si>
    <t>8 AÑOS</t>
  </si>
  <si>
    <t>ALLEGA PLANILLA AL DÍA</t>
  </si>
  <si>
    <t>M&amp;S CAPACITACION EN SEGURIDAD LTDA</t>
  </si>
  <si>
    <t>DEFENSA CIVIL COLOMBIANA SUBDIRECCIÓN DE CAPACITACIÓN Y ENTRENAMIENTO DIRECCIÓN SECCIONAL TOLIMA</t>
  </si>
  <si>
    <t>JOHN JAIRO CORTEZ HERNANDEZ</t>
  </si>
  <si>
    <t>ACADEMIA GIG MS LTDA</t>
  </si>
  <si>
    <t>YECID FREDDY HIGUERA BECERRA</t>
  </si>
  <si>
    <t>ESPECIALISTA EN SEGURIDAD DE LA INFORMACIÓN</t>
  </si>
  <si>
    <t>REPRESENTANTE LEGAL SEGURIDAD TREBOL LTDA</t>
  </si>
  <si>
    <t>supervisión presencial y por medios de comunicación y periodicidad diaria. Como mínimo la supervisión se realizará sobre todos los puestos de servicio a diario con visita o monitoreo en el día y en la noche.</t>
  </si>
  <si>
    <t>cumple</t>
  </si>
  <si>
    <t>DIRECCIÓN EJECUTIVA DE ADMINISTRACIÓN JUDICIAL TOLIMA</t>
  </si>
  <si>
    <t>523,224,171</t>
  </si>
  <si>
    <t>RAMA JUDICIAL CONSEJO SUPERIOR DE LA JUDICATURA</t>
  </si>
  <si>
    <t>920,654,140</t>
  </si>
  <si>
    <t>ALCALDIA DE FUNZA</t>
  </si>
  <si>
    <t xml:space="preserve">UNIÓN TEMPORAL </t>
  </si>
  <si>
    <t>3,095,490,900</t>
  </si>
  <si>
    <t>4,539,369,211</t>
  </si>
  <si>
    <t>4,384,926,710</t>
  </si>
  <si>
    <t xml:space="preserve"> CUMPLE</t>
  </si>
  <si>
    <t>FIRMADO POR REVISOR FISCAL Y REPRESENTANTE LEGAL</t>
  </si>
  <si>
    <t>REVISOR FISCAL Y REPRESENTANTE LEGAL</t>
  </si>
  <si>
    <t>SEGURIDAD JANO LTDA</t>
  </si>
  <si>
    <t>SEGURIDAD DIGITAL LTDA</t>
  </si>
  <si>
    <t>R.LEGAL. LUIS FERNANDO SERRANO TASCON</t>
  </si>
  <si>
    <t>R. LEGAL. DENICE GARZON MALPICA</t>
  </si>
  <si>
    <t xml:space="preserve">NIguna </t>
  </si>
  <si>
    <t>LUIS FERNANDO SERRANO TASCON</t>
  </si>
  <si>
    <t>DENICE GARZON MALPICA</t>
  </si>
  <si>
    <t>LA PRESTACION REMUNERADA DE SERVICIOS DE VIGILANCIA Y SEGURIDAD PRIVADA EN MODALIDAD FIJA, MOVIL Y ESCOLTA A PERSONAS VEHICULOS Y MERCANCIAS CON LA UTILIZACION DE ARMAS DE FUEGO SIN ARMA Y MEDIOS TECNOLOGICOS.</t>
  </si>
  <si>
    <t>2/11/222</t>
  </si>
  <si>
    <t>921215, 921217</t>
  </si>
  <si>
    <t>CV-100026770</t>
  </si>
  <si>
    <t>CSC-100026287</t>
  </si>
  <si>
    <t>28/10/2022 A 04/02/2023</t>
  </si>
  <si>
    <t>CERTIFICA QUE HA REALIZADO PAGOS DURANTE LOS ULTIMOS SEIS MESES POR CONCEPTO DE SALUD, PENSIONES, RIESGOS LABORALES, CAJAS DE COMPENSACION FAMILIAR, ICBF Y SENA</t>
  </si>
  <si>
    <t>JESUS JAIRO MORA GOMEZ</t>
  </si>
  <si>
    <t>MERY JOHANNA CRISTANCHO CASTRO</t>
  </si>
  <si>
    <t>IMPUESTOS SOBRE LAS VENTAS</t>
  </si>
  <si>
    <t>BANCOLOMBIA</t>
  </si>
  <si>
    <t>AV VILLAS</t>
  </si>
  <si>
    <t>CV-2000257022</t>
  </si>
  <si>
    <t>5-582489</t>
  </si>
  <si>
    <t>20204100020507 DE 11/05/2020</t>
  </si>
  <si>
    <t>201994100091637 DE 27/09/2019</t>
  </si>
  <si>
    <t>VENCE 24/04/2027</t>
  </si>
  <si>
    <t>03863 DEL 30/12/2021</t>
  </si>
  <si>
    <t>01785 DEL 26/05/2022</t>
  </si>
  <si>
    <t>LILIAN SANCHEZ- AXA COLPATRIA</t>
  </si>
  <si>
    <t xml:space="preserve">APORTA </t>
  </si>
  <si>
    <t>NO TIENE MULTAS NI SANCIONES</t>
  </si>
  <si>
    <t>JESSICA VIVIANA AGUDELO MARIN</t>
  </si>
  <si>
    <t>ADELMO BAUTISTA RODRIGUEZ</t>
  </si>
  <si>
    <t>9 AÑOS</t>
  </si>
  <si>
    <t>12 AÑOS</t>
  </si>
  <si>
    <t>APORTES EN LINEA</t>
  </si>
  <si>
    <t>CENTAURO LTDA</t>
  </si>
  <si>
    <t>DEFENSA CIVIL DE CALDAS</t>
  </si>
  <si>
    <t>Ninguna</t>
  </si>
  <si>
    <t>JOSE MAURICIO ALZA ALVAREZ</t>
  </si>
  <si>
    <t>JAIME GABRIEL ARCOS NEGRET</t>
  </si>
  <si>
    <t>18 AÑOS</t>
  </si>
  <si>
    <t>10 AÑOS</t>
  </si>
  <si>
    <t>CFORVIG</t>
  </si>
  <si>
    <t>YEIVER ARCENIO PRADA FIERRO</t>
  </si>
  <si>
    <t>CARLOS AUGUSTO RAMIREZ GOMEZ</t>
  </si>
  <si>
    <t>INGENIERO ELECTRICISTA</t>
  </si>
  <si>
    <t>ESPECIALISTA EN COORDINADOR E INSTALADOR DE MEDIOS TECNOLOGICOS</t>
  </si>
  <si>
    <t>ERIKA MARCELA REMOLINA-DIR.ADM.</t>
  </si>
  <si>
    <t>ADRIANA PAOLA LUGO RAMOS DIR. GESTION HUMANA</t>
  </si>
  <si>
    <t xml:space="preserve">PRESENCIAL O POR MEDIOS DE COMUNICACIÓN </t>
  </si>
  <si>
    <t>PRESENCIAL</t>
  </si>
  <si>
    <t>A DIARIO EN DIA Y NOCHE</t>
  </si>
  <si>
    <t>DIURNO Y NOCTURNO</t>
  </si>
  <si>
    <t>MEDIANA</t>
  </si>
  <si>
    <t>MIPYME</t>
  </si>
  <si>
    <t>15,305,260,527</t>
  </si>
  <si>
    <t>DEPARTAMENTO DEL META</t>
  </si>
  <si>
    <t>UPTC</t>
  </si>
  <si>
    <t>9993 SMLMV</t>
  </si>
  <si>
    <t>4038,18 SMLMV</t>
  </si>
  <si>
    <t xml:space="preserve">R.LEGAL. LUIS FERNANDO SERRANO TASCON </t>
  </si>
  <si>
    <t>SEGURIDAD NAPOLES</t>
  </si>
  <si>
    <t>Representante Legal: SONIA PATRICIA ANGARITA ABAUNZA</t>
  </si>
  <si>
    <t>63.368.762 de Bucaramanga</t>
  </si>
  <si>
    <t>5 DE DICIEMBRE DE 1.984</t>
  </si>
  <si>
    <t>12 DE MARZO DE 2050</t>
  </si>
  <si>
    <t>14-44-101166056</t>
  </si>
  <si>
    <t>certifico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t>
  </si>
  <si>
    <t>CARLOS ANDRES ALVAREZ LUNA</t>
  </si>
  <si>
    <t>376-80-994000000117</t>
  </si>
  <si>
    <t>manifiesto bajo la gravedad de juramento queencaso de ser adjudicado el contrato, me comprometo a incluir de manera inmediata al personal devigilancia que prestara el servicio durante el termino de ejecución del contrato</t>
  </si>
  <si>
    <t>2836 DE 24 DE OCTUBRE DE 2019</t>
  </si>
  <si>
    <t>01/012030</t>
  </si>
  <si>
    <t>ANGELICA MONTAÑA LOZADA</t>
  </si>
  <si>
    <t>BOMBEROS VOLUNTARIOS DE TUMACO</t>
  </si>
  <si>
    <t>MELVA ROSA GIRALDO PEREZ</t>
  </si>
  <si>
    <t>JAVIER MAURICIO URIBE HENAO</t>
  </si>
  <si>
    <t>COO RDINADOR DE MEDIOS TECNOLOGICOS DE SERVICIOS DE VIGILANCIA Y
SEGURIDAD PRIVADA Y/O DIRECTOR DE MEDIOS TECNOLOGICOS</t>
  </si>
  <si>
    <t>SEMINARIO SEGURIDAD ELECTRONICA Y REDES LOCALES</t>
  </si>
  <si>
    <t>ESPECIALIZACION COORDINADOR DE MEDIOS TECNOLOGICOS</t>
  </si>
  <si>
    <t>Se realizará la supervisión de forma (presencial y/o por medios de comunicación) y la periodicidad
se establece que como mínimo la supervisión se realizará sobre todos los puestos de servicio a
diario con visita o monitoreo en el día y en la noche</t>
  </si>
  <si>
    <t>DIANA FORERO MONTENEGRO
Asesora de prevención y servicio
AXA COLPATRIA SEGUROS DE VIDA S.A.</t>
  </si>
  <si>
    <t>03 días de octubre de 2022</t>
  </si>
  <si>
    <t>SEGURIDAD
NAPOLES
LTDA</t>
  </si>
  <si>
    <t>MUNICIPIO DE
PALMIRA</t>
  </si>
  <si>
    <t>24 de junio de 2022</t>
  </si>
  <si>
    <t>UNION TEMPORAL C&amp;T SEGURIDAD 741</t>
  </si>
  <si>
    <t xml:space="preserve">TOP GUARD LTDA </t>
  </si>
  <si>
    <t>CUSTODIAR LTDA</t>
  </si>
  <si>
    <t xml:space="preserve">Representante Legal: JOSE LUIS MEJIA SARMIENTO </t>
  </si>
  <si>
    <t xml:space="preserve">Representante Legal: SEBASTIAN ALEJANDRO MORENO TRUJILLO </t>
  </si>
  <si>
    <t xml:space="preserve">Representante Legal: HERNEY GALLEGO GALLEGO </t>
  </si>
  <si>
    <t>TERMINO DE EJECUCION DEL CONTRATO Y UN AÑO MAS</t>
  </si>
  <si>
    <t xml:space="preserve">JOSE LUIS MEJIA SARMIENTO </t>
  </si>
  <si>
    <t>Contratar en nombre de la NACION – CONSEJO SUPERIOR DE LA JUDICATURA – DIRECCION EJECUTIVA SECCIONAL DE ADMINISTRACION JUDICIAL DE TUNJA, la prestación del servicio de vigilancia y seguridad privada con medio humano armado, sin arma y apoyo con medios tecnológicos, en algunas sedes donde funcionan Corporaciones y Despachos Judiciales de los Distritos de Tunja, Santa Rosa de Viterbo y Yopal.</t>
  </si>
  <si>
    <t>Contratar en 
nombre de la NACION – CONSEJO SUPERIOR DE LA JUDICATURA – DIRECCION 
EJECUTIVA SECCIONAL DE ADMINISTRACION JUDICIAL DE TUNJA, la prestación 
del servicio de vigilancia y seguridad privada con medio humano armado, sin arma y 
apoyo con medios tecnológicos, en algunas sedes donde funcionan Corporaciones 
y Despachos Judiciales de los Distritos de Tunja, Santa Rosa de Viterbo y Yopal.</t>
  </si>
  <si>
    <t>SEBASTIAN ALEJANDRO MORENO TRUJILLO</t>
  </si>
  <si>
    <t xml:space="preserve">HERNEY GALLEGO GALLEGO </t>
  </si>
  <si>
    <t>prestación remunerada de servicios de vigilancia y seguridad privada en las modalidades de vigilancia fija, movil con o sin arma.</t>
  </si>
  <si>
    <t xml:space="preserve">prestacion remunerada del servicio de vigilancia y seguridad privada en la modalidad e vigilancia fija, movil y/o escolta. </t>
  </si>
  <si>
    <t>NA</t>
  </si>
  <si>
    <t>9221215, 921217</t>
  </si>
  <si>
    <t xml:space="preserve">BERKLEY COLOMBIA SEGUROS </t>
  </si>
  <si>
    <t xml:space="preserve">CERTICA QUE HA CUMPLIDO CON LOS PAGOS DE SEGURIDAD SOCIAL Y APOTES PARAFISCALES  DURANTE LOS ULTIMOS SEIS MESES. </t>
  </si>
  <si>
    <t>DIANA MARCELA CIFUENTES LINARES</t>
  </si>
  <si>
    <t xml:space="preserve">EDILBERTO ZAMORA ESPEJO </t>
  </si>
  <si>
    <t>RESPONSABLE DE IMPUESTO A LAS VENTAS</t>
  </si>
  <si>
    <t>NO APLICA - APORTA</t>
  </si>
  <si>
    <t xml:space="preserve">NO APORTA </t>
  </si>
  <si>
    <t xml:space="preserve">SI, POR CADA EMPRESA </t>
  </si>
  <si>
    <t xml:space="preserve">BANCO CAJA SOCIAL - BANCOLOMBIA </t>
  </si>
  <si>
    <t xml:space="preserve">NO APORTA COMPROMISO </t>
  </si>
  <si>
    <t xml:space="preserve">SEGUROS MUNDIAL </t>
  </si>
  <si>
    <t xml:space="preserve">SEGUROS DE VIDA DEL ESTADO </t>
  </si>
  <si>
    <t>CSC 2000248102</t>
  </si>
  <si>
    <t>21-85-1000000556</t>
  </si>
  <si>
    <t>20204100005457 DE 10/02/2020</t>
  </si>
  <si>
    <t>20184100109487 DE 20/12/2018</t>
  </si>
  <si>
    <t>VENCE EN 2030</t>
  </si>
  <si>
    <t>VENCE 19/12/2023</t>
  </si>
  <si>
    <t>00202 DE 2019</t>
  </si>
  <si>
    <t xml:space="preserve">Boyaca y Casanare </t>
  </si>
  <si>
    <t xml:space="preserve">NO ALLEGA </t>
  </si>
  <si>
    <t xml:space="preserve">NO ESTA VENCIDA </t>
  </si>
  <si>
    <t xml:space="preserve">N.A </t>
  </si>
  <si>
    <t xml:space="preserve">MONICA MARIA LOPEZ - COORDINADORA RIESGOS LABORALES EQUIDAD SEGUROS DE VIDA </t>
  </si>
  <si>
    <t xml:space="preserve">DELEGADO ARL </t>
  </si>
  <si>
    <t>NO ALLEGA TODOS ESTAN VIGENTES</t>
  </si>
  <si>
    <t xml:space="preserve">ALEJANDRO TELLEZ CARRILLO </t>
  </si>
  <si>
    <t xml:space="preserve">VIGENTE </t>
  </si>
  <si>
    <t xml:space="preserve">16 años </t>
  </si>
  <si>
    <t xml:space="preserve">si allega seguridad social </t>
  </si>
  <si>
    <t xml:space="preserve">ESCUELA COLOMBIANA DE CAPACITACION EN VIGILANCIA PROVADA ECOLVIT LTDA </t>
  </si>
  <si>
    <t xml:space="preserve">DENVER LTDA </t>
  </si>
  <si>
    <t>SERVICIOS INTEGRALES AIEXSAS</t>
  </si>
  <si>
    <t>LUIS ARMANDO LEON RODRIGUEZ</t>
  </si>
  <si>
    <t xml:space="preserve">17 AÑOS </t>
  </si>
  <si>
    <t xml:space="preserve">SI ALLEGA SEGURIDAD SOVIAL </t>
  </si>
  <si>
    <t xml:space="preserve">ACADESA LTDA </t>
  </si>
  <si>
    <t xml:space="preserve">FABIAN ANDRES BERMUDEZ GARZON </t>
  </si>
  <si>
    <t xml:space="preserve">INGENIERO ELECTRONICO </t>
  </si>
  <si>
    <t xml:space="preserve">ESPECIALISTA EN MEDIOS TECNOLOGICOS </t>
  </si>
  <si>
    <t xml:space="preserve">CONSULTOR </t>
  </si>
  <si>
    <t xml:space="preserve">PRESENCIAL O MEDIOS DE COMUNICACIÓN </t>
  </si>
  <si>
    <t xml:space="preserve">DIARIA CON VISITA MONITOREO DE DIA Y DE NOCHE </t>
  </si>
  <si>
    <t xml:space="preserve">FIRMADO POR REPRESENTANTE LEGAL SEBASTIAN ALEJANDRO MORENO T. </t>
  </si>
  <si>
    <t xml:space="preserve">FIRMADO POR REPRESENTANTE LEGAL HERNEY GALLEGO GALLEGO </t>
  </si>
  <si>
    <t xml:space="preserve">FIRMADO POR REPRESENTANTE LEGAL JOSE LUIS MEJIA </t>
  </si>
  <si>
    <t>MEDIANA EMPRESA</t>
  </si>
  <si>
    <t xml:space="preserve">234.051,69 UVTS </t>
  </si>
  <si>
    <t xml:space="preserve">CENTRO DE ENFERMEDADES MAMARIAS LTDA </t>
  </si>
  <si>
    <t xml:space="preserve">INDIVIDUAL </t>
  </si>
  <si>
    <t>2.651.984.494</t>
  </si>
  <si>
    <t xml:space="preserve">SEGURIDAD SUPERIOR LTDA </t>
  </si>
  <si>
    <t xml:space="preserve">DEFENSORIA DEL PUEBLO </t>
  </si>
  <si>
    <t xml:space="preserve">FONDO DE BIENESTAR SOCIAL DE LA CONTRALORIA </t>
  </si>
  <si>
    <t xml:space="preserve">INDEPENDIENTE </t>
  </si>
  <si>
    <t>3.884.193.322</t>
  </si>
  <si>
    <t>328.906.100</t>
  </si>
  <si>
    <t>4,00</t>
  </si>
  <si>
    <t>3,11</t>
  </si>
  <si>
    <t>48,00</t>
  </si>
  <si>
    <t>81,17</t>
  </si>
  <si>
    <t>0,33</t>
  </si>
  <si>
    <t xml:space="preserve">CUMPLE </t>
  </si>
  <si>
    <t>0,67</t>
  </si>
  <si>
    <t xml:space="preserve">0,30 </t>
  </si>
  <si>
    <t>REP. LEGAL y REVISOR FISCAL</t>
  </si>
  <si>
    <t>6 DE JUNIO DE 2022</t>
  </si>
  <si>
    <t>5 DE MAYO DE 2022</t>
  </si>
  <si>
    <t xml:space="preserve">SEGURIDAD NUEVA ERA </t>
  </si>
  <si>
    <t xml:space="preserve">Representante Legal: NUBIA CONSUELO CASTRO SUESCA </t>
  </si>
  <si>
    <t xml:space="preserve">NO INCURSO EN INHABILIDADES E INCOMPATIBILIDADES </t>
  </si>
  <si>
    <t>N.A</t>
  </si>
  <si>
    <t xml:space="preserve">NUBIA CONSUELO CASTRO SUESCA </t>
  </si>
  <si>
    <t xml:space="preserve">Prestación remunerada de servicios de vigilancia y seguridad privada para operar en las modalidades de vigilancia fija, movil y escolta a personas. </t>
  </si>
  <si>
    <t>N.A.</t>
  </si>
  <si>
    <t>15-44-101270452</t>
  </si>
  <si>
    <t>04/11/2022 A 14/02/2022</t>
  </si>
  <si>
    <t xml:space="preserve">MARIA VICTORIA CRUZ TORRES </t>
  </si>
  <si>
    <t xml:space="preserve">INSCRITO </t>
  </si>
  <si>
    <t xml:space="preserve">SIN ANTECEDENTES </t>
  </si>
  <si>
    <t xml:space="preserve">RESPONSABLE DE IMPUESTO A LAS VENTAS </t>
  </si>
  <si>
    <t xml:space="preserve">FIRMADO REPRESENTANTE LEGAL </t>
  </si>
  <si>
    <t xml:space="preserve">ALLEGA EMPRESA Y REPRESENTANTE LEGAL </t>
  </si>
  <si>
    <t xml:space="preserve">NO APLICA </t>
  </si>
  <si>
    <t xml:space="preserve">BANCO AV VILLAS </t>
  </si>
  <si>
    <t xml:space="preserve">NIO APLICA </t>
  </si>
  <si>
    <t xml:space="preserve">R.P. NUBIA CONSUELO CASTRO SUESCA </t>
  </si>
  <si>
    <t>15-85-1000000237</t>
  </si>
  <si>
    <t>20194100081417 DE 22/08/2019</t>
  </si>
  <si>
    <t>VENCE EN 2023</t>
  </si>
  <si>
    <t xml:space="preserve">AUTORIZA MEDIOS TECNOLOGICOS </t>
  </si>
  <si>
    <t>01467 de 24 DE JUNIO DE 2021</t>
  </si>
  <si>
    <t xml:space="preserve">PEDRO ANDRES MEDINA LOPEZ- PROFESIONAL DE SERVICIO AXXA COLPATRIA </t>
  </si>
  <si>
    <t xml:space="preserve">DELEGADO COLPATRIA </t>
  </si>
  <si>
    <t xml:space="preserve">TODOS VIGENTES </t>
  </si>
  <si>
    <t xml:space="preserve">NO </t>
  </si>
  <si>
    <t xml:space="preserve">UBANER RAMIREZ FERNANDEZ </t>
  </si>
  <si>
    <t xml:space="preserve">R.P NUBIA CONSUELO CASTRO SUESCA </t>
  </si>
  <si>
    <t xml:space="preserve">BOMBEROS VOLUNTARIOS ARAUCA </t>
  </si>
  <si>
    <t xml:space="preserve">GLORIA ISABEL MORENO DE HERNANDEZ </t>
  </si>
  <si>
    <t xml:space="preserve">15 AÑOS </t>
  </si>
  <si>
    <t>JULIAN ARMANDO CALLE COMETA</t>
  </si>
  <si>
    <t xml:space="preserve">INGENIERO DE SISTEMAS </t>
  </si>
  <si>
    <t xml:space="preserve">ESPECIALISTA EN SEGURIDAD FISICA Y DE LA INFORMATICA </t>
  </si>
  <si>
    <t xml:space="preserve">DIARIA </t>
  </si>
  <si>
    <t xml:space="preserve">DOS REVISTAS EN EL DIA Y 2 EN LA NOCHE </t>
  </si>
  <si>
    <t xml:space="preserve">SEGURIDAD NUEVA ERA LTDA </t>
  </si>
  <si>
    <t xml:space="preserve">IDEAM </t>
  </si>
  <si>
    <t>1.780.346.573.18</t>
  </si>
  <si>
    <t>ESCUELA TALLER CARTAGENA DE INDIAS ETCAR</t>
  </si>
  <si>
    <t>1.460.241.415</t>
  </si>
  <si>
    <t>4,02</t>
  </si>
  <si>
    <t>13.160,82</t>
  </si>
  <si>
    <t>0,24</t>
  </si>
  <si>
    <t>0,27</t>
  </si>
  <si>
    <t xml:space="preserve">UNO POR CADA UNO </t>
  </si>
  <si>
    <t xml:space="preserve">UNION TEMPORAL MEGAMETRO </t>
  </si>
  <si>
    <t xml:space="preserve">MEGASEGURIDAD LTDA </t>
  </si>
  <si>
    <t xml:space="preserve">METROPOLITAN SECURITY CORPORATION LTDA </t>
  </si>
  <si>
    <t xml:space="preserve">Representante Legal: CARLOS A. VELANDIA D. </t>
  </si>
  <si>
    <t xml:space="preserve">Representante Legal: JULIAN ANDRES RODRIGUEZ C.  </t>
  </si>
  <si>
    <t xml:space="preserve">CARLOS A. VELANDIA D. </t>
  </si>
  <si>
    <t xml:space="preserve">CARLOS ARTURO VELANDIA DIAZ </t>
  </si>
  <si>
    <t xml:space="preserve">JULIAN ANDRES RODRIGUEZ CORAL </t>
  </si>
  <si>
    <t xml:space="preserve">Prestación remunerada de servicios de vigilancia y seguridad privada en las modalidades de vigilancia fija, movil y escolta a personas vehiculos y mercancias. </t>
  </si>
  <si>
    <t xml:space="preserve">Prestación remunerada del servicio de vigilancia y seguridad privada en la modalidad de vigilancia fija, movil y/o escolta. </t>
  </si>
  <si>
    <t>21-44-101397570</t>
  </si>
  <si>
    <t xml:space="preserve">SEGUROS DEL ESTADO </t>
  </si>
  <si>
    <t>04/11/2022 A 28/02/2023</t>
  </si>
  <si>
    <t>170.854.680,30</t>
  </si>
  <si>
    <t xml:space="preserve">JAIME HOMERO CORREDOR DUQUE </t>
  </si>
  <si>
    <t xml:space="preserve">APORTA POR CADA EMPRESA </t>
  </si>
  <si>
    <t xml:space="preserve">DAVIVIENDA </t>
  </si>
  <si>
    <t xml:space="preserve">SEGUROS  DE VIDA DEL ESTADO </t>
  </si>
  <si>
    <t>21-85-1000000548</t>
  </si>
  <si>
    <t>21-85-1000000550</t>
  </si>
  <si>
    <t xml:space="preserve">SUBSANAR </t>
  </si>
  <si>
    <t>20211300004737 DE 3/2/2021</t>
  </si>
  <si>
    <t>20201300073727 DE 30/10/2020</t>
  </si>
  <si>
    <t>VENCE EN 2031</t>
  </si>
  <si>
    <t>VENCE 2030</t>
  </si>
  <si>
    <t xml:space="preserve">NO SEÑALA </t>
  </si>
  <si>
    <t>02040 DE 10 JUNIO DE 2022</t>
  </si>
  <si>
    <t>02872 DE 25 DE OCTUBRE DE 2021</t>
  </si>
  <si>
    <t xml:space="preserve">BOYACA Y CASANARE </t>
  </si>
  <si>
    <t xml:space="preserve">NINGUNA </t>
  </si>
  <si>
    <t xml:space="preserve">CLAUDIA HELENA PALACINO LEMUS </t>
  </si>
  <si>
    <t xml:space="preserve">12 años </t>
  </si>
  <si>
    <t xml:space="preserve">R.P CARLOS ARTURO VELANDIA DIAZ </t>
  </si>
  <si>
    <t xml:space="preserve">BOMBEROS COLOMBIA </t>
  </si>
  <si>
    <t xml:space="preserve">RAFAEL ANDRES SILVA RIOS </t>
  </si>
  <si>
    <t>15/03/20232</t>
  </si>
  <si>
    <t xml:space="preserve">JOSE LUIS GOMEZ VILLAMIL </t>
  </si>
  <si>
    <t xml:space="preserve">DIRECTA Y PRESENCIAL </t>
  </si>
  <si>
    <t xml:space="preserve">DIARIA CON UNA VISITA EN EL DIA Y UNA EN LA NOCHE </t>
  </si>
  <si>
    <t xml:space="preserve">R.P JULIAN ANDRES RODRIGUEZ </t>
  </si>
  <si>
    <t xml:space="preserve">MICRO EMPRESA </t>
  </si>
  <si>
    <t>$16.443.778.000</t>
  </si>
  <si>
    <t>$517.388.924.000</t>
  </si>
  <si>
    <t>UNION TEMPORAL MTC</t>
  </si>
  <si>
    <t xml:space="preserve">SERVICIO GEOLOGICO COLOMBIANO </t>
  </si>
  <si>
    <t>1.453.357.671</t>
  </si>
  <si>
    <t xml:space="preserve">METROSECURITY </t>
  </si>
  <si>
    <t xml:space="preserve">QUALITY SISTEMS C SAS </t>
  </si>
  <si>
    <t>1.461.403.084</t>
  </si>
  <si>
    <t>3,69</t>
  </si>
  <si>
    <t>5,45</t>
  </si>
  <si>
    <t xml:space="preserve">INDETERMINADO </t>
  </si>
  <si>
    <t xml:space="preserve">indeterminado </t>
  </si>
  <si>
    <t>0,16</t>
  </si>
  <si>
    <t>0,21</t>
  </si>
  <si>
    <t>0,14</t>
  </si>
  <si>
    <t>29 DE SEPTIEMBRE DE 2022</t>
  </si>
  <si>
    <t>UNION TEMPORAL UT AM SEGURIDAD</t>
  </si>
  <si>
    <t xml:space="preserve">AVIZOR SEGURIDAD LTDA </t>
  </si>
  <si>
    <t xml:space="preserve">MAGAL VIGILANCIA Y SEGURIDAD PRIVADA LTDA </t>
  </si>
  <si>
    <t xml:space="preserve">Representante Legal: SULMA SORAIDA RICO MORALES </t>
  </si>
  <si>
    <t xml:space="preserve">Representante Legal:   ERIKA JOHANNA RODRIGUEZ UMBACIA </t>
  </si>
  <si>
    <t>SIETE MESES Y VEINTICINCO DIAS Y UN AÑO MAS</t>
  </si>
  <si>
    <t xml:space="preserve">SULMA SORAIDA RICO MORALES </t>
  </si>
  <si>
    <t xml:space="preserve">ERIKA JOHANNA RODRIGUEZ UMBACIA </t>
  </si>
  <si>
    <t xml:space="preserve">Prestación remunerada de servicios de vigilancia y seguridad privada en las modalidades de vigilancia fija, movil y escolta a personas. </t>
  </si>
  <si>
    <t xml:space="preserve">Prestación de servicios remunerados de seguridad y protección tales ocmo vigilancia de bienes inmuebles, de personas naturales y juridicas, escolta y otras actividades afines. </t>
  </si>
  <si>
    <t xml:space="preserve">AUTORIZACION MAS DE 2000 MILLONES </t>
  </si>
  <si>
    <t xml:space="preserve">REQUIERE SI CUESTA MAS DE 100  MILLONES </t>
  </si>
  <si>
    <t xml:space="preserve">SI MAS DE 100 MILLONES </t>
  </si>
  <si>
    <t>30-44-101049579</t>
  </si>
  <si>
    <t>04/11/2022 A 04/03/2023</t>
  </si>
  <si>
    <t xml:space="preserve">RAMON OCTAVIO COLINA </t>
  </si>
  <si>
    <t>FIRMADO POR REPRESENTANTE LEGAL SULMA SORAIDA RICO</t>
  </si>
  <si>
    <t>FIRMADO POR REPRESENTANTE LEGAL ERIKA JOHANNA RODRIGUEZ UMBACIA</t>
  </si>
  <si>
    <t xml:space="preserve">BANCO DE BOGOTA </t>
  </si>
  <si>
    <t xml:space="preserve">AXXA COLPATRIA </t>
  </si>
  <si>
    <t>20194100027407 DE 21/03/2019</t>
  </si>
  <si>
    <t>20184100106387 DE 12/12/2018</t>
  </si>
  <si>
    <t xml:space="preserve">20 AÑOS </t>
  </si>
  <si>
    <t>16 DE JUNIO DE 2028</t>
  </si>
  <si>
    <t>00224 DE 2/02/2021</t>
  </si>
  <si>
    <t>01231 DE 26/5/2021</t>
  </si>
  <si>
    <t xml:space="preserve">POSITIVA COMPAÑÍA DE SEGUROS </t>
  </si>
  <si>
    <t>EDWIN ARSENIO GIL PACHECO</t>
  </si>
  <si>
    <t xml:space="preserve">PROFESIONAL DE PREVENCION DE AXXA COLPATRIA </t>
  </si>
  <si>
    <t xml:space="preserve">LUIS URIEL GACHA MORALES </t>
  </si>
  <si>
    <t xml:space="preserve">13 años </t>
  </si>
  <si>
    <t xml:space="preserve">R.P. SULMA SORAIDA RICO MORALES </t>
  </si>
  <si>
    <t xml:space="preserve">CENTRO DE APRENDIZAJE EN SEGURIDAD PRIVADA LTDA </t>
  </si>
  <si>
    <t xml:space="preserve">INSTITUCION DE EDUCACION PARA EL TRABAJO Y DESARROLLO HUMANO </t>
  </si>
  <si>
    <t xml:space="preserve">JULIETA BARBOSA </t>
  </si>
  <si>
    <t xml:space="preserve">13 AÑOS </t>
  </si>
  <si>
    <t xml:space="preserve">CRUZ ROJA COLOMBIANA SECCIONAL META </t>
  </si>
  <si>
    <t>RONAL DANILO ALDANA</t>
  </si>
  <si>
    <t>PEQUEÑA EMPRESA</t>
  </si>
  <si>
    <t>1.515.884,772</t>
  </si>
  <si>
    <t xml:space="preserve">UNIDAD ADMINISTRATIVA ESPECIAL DIAN </t>
  </si>
  <si>
    <t>8.296.487.396,00</t>
  </si>
  <si>
    <t xml:space="preserve">MAGAL VIGILANCIAY SEGURIDAD PRIVADA LTDA </t>
  </si>
  <si>
    <t xml:space="preserve">INVERSIONES ADVANTAGE </t>
  </si>
  <si>
    <t>4.652.562.947,00</t>
  </si>
  <si>
    <t>4,10</t>
  </si>
  <si>
    <t>3,33</t>
  </si>
  <si>
    <t>188,35</t>
  </si>
  <si>
    <t>26,98</t>
  </si>
  <si>
    <t>0,38</t>
  </si>
  <si>
    <t>0,53</t>
  </si>
  <si>
    <t>0,40</t>
  </si>
  <si>
    <t>26 DE MAYO DE 2022</t>
  </si>
  <si>
    <t>UNION TEMPORAL TUNJA 2022</t>
  </si>
  <si>
    <t>COMPAÑÍA ANDINA DE SEGURIDAD PRIVADA BIC LTDA</t>
  </si>
  <si>
    <t xml:space="preserve">SEGURIDAD SAN CARLOS LTDA </t>
  </si>
  <si>
    <t xml:space="preserve">Representante Legal: MIGUEL ANGEL DIAZ GARCIA </t>
  </si>
  <si>
    <t xml:space="preserve">Representante Legal: JAVIER AUGUSTO BARON </t>
  </si>
  <si>
    <t>TERMINO DE EJECUCION DEL CONTRATO Y CINCO AÑOS MAS</t>
  </si>
  <si>
    <t xml:space="preserve">MIGUEL ANGEL DÍAZ GARCIA </t>
  </si>
  <si>
    <t xml:space="preserve">JAVIER AUGUSTO BARON </t>
  </si>
  <si>
    <t xml:space="preserve">PRESTACION REMUNERADA DE SERVICIOS DE VIGILANCIA Y SEGURIDAD PRIVADA INTEGRAL , LA PROTECCIÓN DE BIENES, VIGILANCIA Y ESCOLTA A BIENES MUEBLES E INMUEBLES, PERSONAS, VEHICULOS Y MERCANCIA, EL SERVICIO DE VIGILANCIA CON MEDIO CANINO Y MEDIOS TECONOLOGICOS. </t>
  </si>
  <si>
    <t xml:space="preserve">PRESTACION REMUNERADA DE SERVICIOS DE VIGILANCIA Y SEGURIDAD PRIVADA CON ARMAS, PROTECCIÓN DE BIENES MUEBLES E INMUEBLES, PERSONAS NATURALES O JURIDICAS Y ACTIVIDADES AFINES. </t>
  </si>
  <si>
    <t>14-44-101166178</t>
  </si>
  <si>
    <t xml:space="preserve">170.854.680,30 </t>
  </si>
  <si>
    <t>CERTICA QUE HA CUMPLIDO CON LOS PAGOS DE SEGURIDAD SOCIAL Y APORTES PARAFISCALES  DURNATE LOS ULTIMOS SEIS MESES</t>
  </si>
  <si>
    <t xml:space="preserve">REVISOR FISCAL </t>
  </si>
  <si>
    <t xml:space="preserve">LIRIS GIOMAR ALARCON PEREZ </t>
  </si>
  <si>
    <t xml:space="preserve">JOSE EDUARDO RODRIGUEZ VALERO </t>
  </si>
  <si>
    <t>SI POR CADA EMPRESA</t>
  </si>
  <si>
    <t>APORTA POR CADA EMPRESA</t>
  </si>
  <si>
    <t xml:space="preserve">FIRMADO POR REPRESENTANTE LEGAL MIGUEL ANGEL DIAZ GARCIA </t>
  </si>
  <si>
    <t>EQUIDAD SEGUROS</t>
  </si>
  <si>
    <t>AA074303</t>
  </si>
  <si>
    <t>CSC 20000235674</t>
  </si>
  <si>
    <t>20184100000157  DE 23/02/2018</t>
  </si>
  <si>
    <t>20204100009857 DE 26/02/2020</t>
  </si>
  <si>
    <t>2023 (5 AÑOS)</t>
  </si>
  <si>
    <t>00333 de 2021</t>
  </si>
  <si>
    <t>01744 DE 2022</t>
  </si>
  <si>
    <t xml:space="preserve">Boyaca y casanare </t>
  </si>
  <si>
    <t xml:space="preserve">SIN OBSERVACIONES </t>
  </si>
  <si>
    <t>MONICA MARIA LOPEZ - LA EQUIDAD SEGUROS</t>
  </si>
  <si>
    <t xml:space="preserve">PEDRO ANDRES MEDINA - ARL AXA COLPATRIA </t>
  </si>
  <si>
    <t>COORDINADORA RIESGOS LABORALES DISTRITO 1</t>
  </si>
  <si>
    <t xml:space="preserve">PROFESIONAL DE PREVENCION  Y SERVICIO ARL AXA COLPATRIA </t>
  </si>
  <si>
    <t>APORTA COMPROMISO DE MANTENER VIGENTE LOS SALVOCONDUCTOS</t>
  </si>
  <si>
    <t>ALLEGA LOS 30 SALVOCONDUCTOS ENTRE LAS DOS EMPRESAS</t>
  </si>
  <si>
    <t xml:space="preserve">NO TIENE MULTAS Y SANCIONES </t>
  </si>
  <si>
    <t xml:space="preserve">NELSON ALFONSO VIASUS GARCIA </t>
  </si>
  <si>
    <t>9 años</t>
  </si>
  <si>
    <t xml:space="preserve">ESCUELA COLOMBIANA DE CAPACITACION EN VIGILANCIA PRIVADA ECOLVIP LTDA </t>
  </si>
  <si>
    <t xml:space="preserve">ACADEMIA TECNICA EMPRESARIAL ATS </t>
  </si>
  <si>
    <t xml:space="preserve">MIGUEL ANGEL MAYORGA CUBILLOS </t>
  </si>
  <si>
    <t>EL PENTAGONO LTDA</t>
  </si>
  <si>
    <t xml:space="preserve">FELIPE ANDRES CASTRO MELO </t>
  </si>
  <si>
    <t xml:space="preserve">INGENIERO DE TELECOMUNICACIONES </t>
  </si>
  <si>
    <t xml:space="preserve">DIRECTORA DE TALENTO HUMANO . REPRESENTANTE LEGAL </t>
  </si>
  <si>
    <t xml:space="preserve">SOBRE TODOS LOS PUESTOS DE SERVICIO A DIARIO CON VISITA O MONITOREO EN EL DÍA Y EN LA NOCHE DE FORMA PRESENCIAL Y/O POR MEDIOS DE COMUNICACIÓN </t>
  </si>
  <si>
    <t xml:space="preserve">DIA Y NOCHE </t>
  </si>
  <si>
    <t xml:space="preserve">MIGUEL ANGEL DIAZ GARCIA </t>
  </si>
  <si>
    <t>131.951  y 483.034 UVTS</t>
  </si>
  <si>
    <t>COMPAÑÍA ANDINA DE SEGURIDAD Y VIGILANCIA PRIVADA LTDA</t>
  </si>
  <si>
    <t xml:space="preserve">DEPARTAMENTO DE ANTIOQUIA </t>
  </si>
  <si>
    <t>7.730.318.160</t>
  </si>
  <si>
    <t>UNION TEMPORAL SEGURIDAD PROAND 2018</t>
  </si>
  <si>
    <t xml:space="preserve">EMPRESA DE ACUEDUCTO U ALCANTARILLADO DE BOGOTA </t>
  </si>
  <si>
    <t xml:space="preserve">UNION TEMPORAL </t>
  </si>
  <si>
    <t xml:space="preserve">36.270.712.520 </t>
  </si>
  <si>
    <t xml:space="preserve">ORQUESTA FILARMONICA DE BOGOTÁ </t>
  </si>
  <si>
    <t>662.129.813</t>
  </si>
  <si>
    <t>4,61</t>
  </si>
  <si>
    <t>17,71</t>
  </si>
  <si>
    <t>76,41</t>
  </si>
  <si>
    <t>161,71</t>
  </si>
  <si>
    <t>0,35</t>
  </si>
  <si>
    <t>0,45</t>
  </si>
  <si>
    <t>0,56</t>
  </si>
  <si>
    <t xml:space="preserve">RL. MIGUEL ANGEL DIAZ GARCIA </t>
  </si>
  <si>
    <t xml:space="preserve">RL.JAVIER EDUARDO RODRIGUEZ/ JOSE EDUARDO RODRIGUEZ </t>
  </si>
  <si>
    <t xml:space="preserve">REPRESENTANTE LEGAL Y REVISOR FISCAL </t>
  </si>
  <si>
    <t xml:space="preserve">APORTA POR CADA UNO </t>
  </si>
  <si>
    <t xml:space="preserve">SIN FECHA </t>
  </si>
  <si>
    <t>14</t>
  </si>
  <si>
    <t xml:space="preserve">UNION TEMPORALRONDA - SECANCOL </t>
  </si>
  <si>
    <t xml:space="preserve">SEGURIDAD CANINA DE COLOMBIA LTDA - SECANCOL LTDA </t>
  </si>
  <si>
    <t xml:space="preserve">RONDA DE COLOMBIA PROTECCION Y SEGURIDAD LTDA- RONDACOL LTDA </t>
  </si>
  <si>
    <t xml:space="preserve">Representante Legal:NUBIA STELLA QUINTERO RUBIO </t>
  </si>
  <si>
    <t>Representante Legal: EDNA MARGARITA GOMEZ BOTERO</t>
  </si>
  <si>
    <t xml:space="preserve">Representante Legal: NUBIA STELLA QUINTERO RUBIO </t>
  </si>
  <si>
    <t xml:space="preserve">NUBIA STELLA QUINTERO RUBIO </t>
  </si>
  <si>
    <t>EDNA MARGARITA GOMEZ BOTERO</t>
  </si>
  <si>
    <t xml:space="preserve">PRESTACION REMUNERADA DE SERVICIOS DE VIGILANCIA Y SEGURIDAD PRIVADA CON O SIN ARMAS, MEDIO CANINO Y TECONOLOGICO, CON EL FIN DE DAR PROTECCION A PERSONAS NATURALES O JURIDICAS DE DERECHO PUBLICO O PRIVADO A BIENES MUEBLES E INMUEBLES, EN LA MODALIDAD DE FIJA, ESCOLTA A PERSONAS VEHICULOS O MERCANCIAS. </t>
  </si>
  <si>
    <t xml:space="preserve">PRESTACION REMUNERADA DE SERVICIOS DE VIGILANCIA Y SEGURIDAD PRIVADA QUE COMPRENDE LA PROTECCION A MUEBLES E INMUEBLES, A PERSONAS NATURALES O JURIDICAS, EN LA MODALIDAD DE VIGILANCIA FIJA, MOVIL Y/O ESCOLTAS, MEDIANTE LA UTILIZACION DE RECURSOS HUMANOS, ARMAS DE FUEGO, MEDIOS CANINOS, ETC. </t>
  </si>
  <si>
    <t>14-44-101166013</t>
  </si>
  <si>
    <t>04/11/2022 A 18/02/2023</t>
  </si>
  <si>
    <t xml:space="preserve">JOSE MIGUEL BUITRAGO </t>
  </si>
  <si>
    <t xml:space="preserve">MARIA LIGIA RIVERA DE MORRIS </t>
  </si>
  <si>
    <t xml:space="preserve">SI APORTA </t>
  </si>
  <si>
    <t xml:space="preserve">BANCO CAJA SOCIAL - BANCO AV VILLAS </t>
  </si>
  <si>
    <t xml:space="preserve">FIRMADO POR REPRESENTANTE LEGAL NUBIA STELLA QUINTERO RUBIO </t>
  </si>
  <si>
    <t>CSC 2000231836</t>
  </si>
  <si>
    <t>20194100087537  DE 23/09/2019</t>
  </si>
  <si>
    <t>20204100015337 DE 23/04/2020</t>
  </si>
  <si>
    <t xml:space="preserve">NO MENCIONA </t>
  </si>
  <si>
    <t>02863 DE 2021</t>
  </si>
  <si>
    <t>02456 DE 2022</t>
  </si>
  <si>
    <t xml:space="preserve">FIRMADO POR REPRESENTANTE LEGAL: NUBIA STELLA QUINTERO RUBIO </t>
  </si>
  <si>
    <t xml:space="preserve">SABINA CRISTANCHO ALCALA </t>
  </si>
  <si>
    <t xml:space="preserve">GERENTE SUCURSAL COORDINADORA BOGOTA </t>
  </si>
  <si>
    <t>11710/2022</t>
  </si>
  <si>
    <t xml:space="preserve">JUAN BAUTISTA VARGAS </t>
  </si>
  <si>
    <t xml:space="preserve">10 años </t>
  </si>
  <si>
    <t xml:space="preserve">ACADEMIA DE VIGILANCIA CRONOS SP LTDA </t>
  </si>
  <si>
    <t xml:space="preserve">ACADEMIA DE VIGILANCIA Y SEGURIDAD PRIVADA NUEVA ORIENTAL LTDA </t>
  </si>
  <si>
    <t xml:space="preserve">DEFENSA CIVIL COLOMBIANA JUNTA PATIO BONITO DC </t>
  </si>
  <si>
    <t xml:space="preserve">EZEQUIEL ARDILA CAMACHO </t>
  </si>
  <si>
    <t xml:space="preserve">LUIS ENRIQUE GUTIERREZ URIBE </t>
  </si>
  <si>
    <t xml:space="preserve">SERVICIO NACIONAL DE APRENDIZAJE SENA - TENDIDO DE REDES </t>
  </si>
  <si>
    <t xml:space="preserve">PRESENCIAL Y/O MEDIOS DE COMUNICACIÓN Y PERIODICIDAD DE LA SUPERVISION </t>
  </si>
  <si>
    <t>SOBRE TODOS LOS PUESTOS A DIARIO CON VISITA O MONITOREO EN EL DÍA Y EN LA NOCHE</t>
  </si>
  <si>
    <t xml:space="preserve">435.861,73 UVT </t>
  </si>
  <si>
    <t xml:space="preserve">SECANCOL LTDA </t>
  </si>
  <si>
    <t xml:space="preserve">ALMACENES ÉXITO </t>
  </si>
  <si>
    <t>34.140.593.827,00</t>
  </si>
  <si>
    <t>UNION TEMPORAL RD 2016</t>
  </si>
  <si>
    <t xml:space="preserve">RAMA JUDICIAL BOGOTA </t>
  </si>
  <si>
    <t>5.424.629.690</t>
  </si>
  <si>
    <t>2.712.314.845</t>
  </si>
  <si>
    <t xml:space="preserve">UNION TEMPORAL  CVP 2015 </t>
  </si>
  <si>
    <t xml:space="preserve">CAJA DE VIVIENDA POPULAR </t>
  </si>
  <si>
    <t xml:space="preserve">998.499.233.110,5 </t>
  </si>
  <si>
    <t>499.233.110,5</t>
  </si>
  <si>
    <t>1,79</t>
  </si>
  <si>
    <t>2,64</t>
  </si>
  <si>
    <t>27,57</t>
  </si>
  <si>
    <t>28,89</t>
  </si>
  <si>
    <t>0,44</t>
  </si>
  <si>
    <t xml:space="preserve">0,19 </t>
  </si>
  <si>
    <t>0,12</t>
  </si>
  <si>
    <t>13</t>
  </si>
  <si>
    <t>UNIÓN TEMPORAL SUPVA</t>
  </si>
  <si>
    <t>VASCO SEGURITY GROUP</t>
  </si>
  <si>
    <t>Representante Legal: GERMAN DUQUE MORALES</t>
  </si>
  <si>
    <t>Representante Legal: ALBERT AUGUSTO GONZALEZ VASCO</t>
  </si>
  <si>
    <t>GERMAN DUQUE MORALES</t>
  </si>
  <si>
    <t>ALBERT AUGUSTO GONZALEZ VASCO</t>
  </si>
  <si>
    <t>prestación remunerada de servicios
de vigilancia y seguridad privada, a favor de personas naturales o
jurídicas, de derecho público o privado, en la modalidad de
vigilancia fija, móvil y/o escolta a personas, vehículos (…)</t>
  </si>
  <si>
    <t>prestación remunerada de servicios di vigilancia y seguridad privada, a favor de personas naturales o jurídicas, de derecho público o privado, en la modalidad de vigilancia fija, móvil y/o escolta a personas, vehículos (…)</t>
  </si>
  <si>
    <t>CLAUDIA MILENA FORERO QUIROGA</t>
  </si>
  <si>
    <t>ALBA LUCIA PARRAGA GUTIERREZ</t>
  </si>
  <si>
    <t>NO APORTAN</t>
  </si>
  <si>
    <t>LIBERTY SEGUROS</t>
  </si>
  <si>
    <t>CSC 2000259802</t>
  </si>
  <si>
    <t>VENCE 20/09/2027</t>
  </si>
  <si>
    <t>912 DE 30/04/2014</t>
  </si>
  <si>
    <t xml:space="preserve">SOLO ALLEGA POR EL OFERENTE SEGURIDAD SUPERIOR </t>
  </si>
  <si>
    <t xml:space="preserve">ORLANDO PABON </t>
  </si>
  <si>
    <t>14 años</t>
  </si>
  <si>
    <t xml:space="preserve">ESCUELA POLITECNICA DE SEGURIDAD LTDA </t>
  </si>
  <si>
    <t>HSEQ SECURITY COMPANY CONSULTING</t>
  </si>
  <si>
    <t xml:space="preserve">EFREY GARAY ESCOBAR </t>
  </si>
  <si>
    <t>JHON JAMES DURAN CANO</t>
  </si>
  <si>
    <t xml:space="preserve">ESPECIALISTA EN SEGURIDAD DE LA INFORMACIÓN </t>
  </si>
  <si>
    <t xml:space="preserve">DOS VECES AL DÍA </t>
  </si>
  <si>
    <t>MIPYME MEDIANA EMPRESA</t>
  </si>
  <si>
    <t>UNION TEMPORAL SUVA 2016</t>
  </si>
  <si>
    <t xml:space="preserve">SECRETARIA GENERAL DEL DEPARTAMENTO DE CUNDINAMARCA </t>
  </si>
  <si>
    <t xml:space="preserve">UT </t>
  </si>
  <si>
    <t>1.947.607.965</t>
  </si>
  <si>
    <t>3,08</t>
  </si>
  <si>
    <t>5,68</t>
  </si>
  <si>
    <t>36,64</t>
  </si>
  <si>
    <t>23,96</t>
  </si>
  <si>
    <t>0,34</t>
  </si>
  <si>
    <t>9</t>
  </si>
  <si>
    <t xml:space="preserve">UNION TEMPORAL SEGURIDAD HUNZA </t>
  </si>
  <si>
    <t>AMCOVIT LTDA</t>
  </si>
  <si>
    <t xml:space="preserve">ADPORT LTDA </t>
  </si>
  <si>
    <t xml:space="preserve">SEGURIDAD FENIX DE COLOMBIA LTDA </t>
  </si>
  <si>
    <t xml:space="preserve">Representante Legal: SANDRA SOLEDAD PANTOJA ROSALES </t>
  </si>
  <si>
    <t xml:space="preserve">Representante Legal: FRANKLIN MORENO CARVAJAL </t>
  </si>
  <si>
    <t xml:space="preserve">Representante Legal: OSCAR ANDRES ROMERO CELIS </t>
  </si>
  <si>
    <t xml:space="preserve">SANDRA SOLEDAD PANTOJA ROSALES </t>
  </si>
  <si>
    <t xml:space="preserve">FRANKLIN MORENO CARVAJAL </t>
  </si>
  <si>
    <t xml:space="preserve">OSCAR ANDRES ROMERO CELIS </t>
  </si>
  <si>
    <t xml:space="preserve">PRESTACION DEL SERVICIO DE VIGILANCIA Y SEGURIDAD PRIVADA </t>
  </si>
  <si>
    <t xml:space="preserve">prestación de los servicios de vigilancia y seguridad privada a personas naturales, jurídicas de derecho público y privado, a bienes muebles e inmuebles, escoltas, etc. </t>
  </si>
  <si>
    <t>AB000274</t>
  </si>
  <si>
    <t xml:space="preserve">EQUIDAD SEGUROS </t>
  </si>
  <si>
    <t xml:space="preserve">MARTHA PATRICIA SUAREZ MORA </t>
  </si>
  <si>
    <t xml:space="preserve">CINDY JOHANNA IBAÑEZ CELY </t>
  </si>
  <si>
    <t xml:space="preserve">JOSE ALEJANDRO ROMERO ROMERO </t>
  </si>
  <si>
    <t xml:space="preserve"> APORTA </t>
  </si>
  <si>
    <t xml:space="preserve">AV VILLAS </t>
  </si>
  <si>
    <t>15-85-1000000232</t>
  </si>
  <si>
    <t>20204100096237 DE 28/12/2020</t>
  </si>
  <si>
    <t>20204100021007 DE 11/05/2020</t>
  </si>
  <si>
    <t>20204100041887 DE 29/07/2020</t>
  </si>
  <si>
    <t>VENCE 10/04/2029</t>
  </si>
  <si>
    <t>VENCE 28/07/2030</t>
  </si>
  <si>
    <t>108 de 28/01/2016</t>
  </si>
  <si>
    <t>03268 DE 14 DE SEPTIEMBRE DE 2022</t>
  </si>
  <si>
    <t>PEDRO ANDRES MEDINA LÓPEZ</t>
  </si>
  <si>
    <t xml:space="preserve">PEDRO ANDRES MEDINA LOPEZ </t>
  </si>
  <si>
    <t xml:space="preserve">VIVIANA CASTRO URREGO </t>
  </si>
  <si>
    <t xml:space="preserve">PROFESIONAL DE PREVENCION Y SERVICIO ARL AXA COLPATRIA </t>
  </si>
  <si>
    <t xml:space="preserve">PROFESIONAL EN PREVENCION Y SERVICIOS ARL AXA COLPATRIA </t>
  </si>
  <si>
    <t xml:space="preserve">JORGE ERNESTO VENEGAS GARCIA </t>
  </si>
  <si>
    <t xml:space="preserve">18 años </t>
  </si>
  <si>
    <t xml:space="preserve">Si allega seguridad social </t>
  </si>
  <si>
    <t xml:space="preserve">YAMEL DARIO VARON LOMBANA - Director Gestión Humana </t>
  </si>
  <si>
    <t xml:space="preserve">INCAVISEG </t>
  </si>
  <si>
    <t xml:space="preserve">BOMBEROS VOLUNTARIOS DE SIBATE - CUNDINAMARCA </t>
  </si>
  <si>
    <t xml:space="preserve">JOSE ALEJANDRO RUBIO RAMIREZ </t>
  </si>
  <si>
    <t xml:space="preserve">22 AÑOS </t>
  </si>
  <si>
    <t>COMANDO - ACADEMIA DE SEGURIDAD</t>
  </si>
  <si>
    <t xml:space="preserve">CARLOS JULIO SUAREZ MONROY </t>
  </si>
  <si>
    <t xml:space="preserve">ESPECIALIZACION EN MEDIOS TECNOLOGICOS COORDINADORES </t>
  </si>
  <si>
    <t xml:space="preserve">NO ESPECIFICA </t>
  </si>
  <si>
    <t>FIRMADO POR REPRESENTANTE LEGAL FRANKLIN MORENO CARVAJAL</t>
  </si>
  <si>
    <t xml:space="preserve">FIRMADO POR REPRESENTANTE LEGAL OSCAR ANDRES ROMERO CELIS </t>
  </si>
  <si>
    <t xml:space="preserve">FIRMADO POR REPRESENTANTE LEGAL SANDRA SOLEDAD PANTOJA ROSALES </t>
  </si>
  <si>
    <t>FIRMADO POR REPRESENTANTE LEGAL SANDRA SOLEDAD PANTOJA ROSALES</t>
  </si>
  <si>
    <t>MEDIAN EMPRESA</t>
  </si>
  <si>
    <t>155.869 UVT</t>
  </si>
  <si>
    <t xml:space="preserve">AMCOVIT LTDA </t>
  </si>
  <si>
    <t xml:space="preserve">FISCALIA GENERAL DE LA NACIÓN </t>
  </si>
  <si>
    <t>3.544.497.375</t>
  </si>
  <si>
    <t>UNIÓN TEMPORAL ADCOS- SEGURA ADPORT LTDA</t>
  </si>
  <si>
    <t xml:space="preserve">MINISTERIO DE JUSTICIA Y DEL DERECHO </t>
  </si>
  <si>
    <t>357.797.854</t>
  </si>
  <si>
    <t xml:space="preserve">ALCALDIA DE TOCANCIPA </t>
  </si>
  <si>
    <t>7.307.893.134</t>
  </si>
  <si>
    <t>6,85</t>
  </si>
  <si>
    <t>6,57</t>
  </si>
  <si>
    <t>8,32</t>
  </si>
  <si>
    <t>12,91</t>
  </si>
  <si>
    <t>7,71</t>
  </si>
  <si>
    <t>1.044,52</t>
  </si>
  <si>
    <t>0,48</t>
  </si>
  <si>
    <t>0,61</t>
  </si>
  <si>
    <t>0,30</t>
  </si>
  <si>
    <t>0,32</t>
  </si>
  <si>
    <t xml:space="preserve">cumple </t>
  </si>
  <si>
    <t>7 DE JUNIO DE 2022</t>
  </si>
  <si>
    <t>1 DE AGOSTO DE 2022</t>
  </si>
  <si>
    <t>ALLEGA CERTIFICACION DE REVISOR FISCALES Y PLANLLAS DE SEGURIDAD SOCIAL</t>
  </si>
  <si>
    <t>TIENE MAS DEL 50%</t>
  </si>
  <si>
    <t>APORTA CERTIFICACCION DE REVISOR FISCAL</t>
  </si>
  <si>
    <t>PEQUEÑA EMMPRESA</t>
  </si>
  <si>
    <t>HIDALGO E HIDALGO COLOMBIA SAS</t>
  </si>
  <si>
    <t>UNICA EMPRESA</t>
  </si>
  <si>
    <t>ALLEGA CERTIFICAICON FIRMADA POR REVISOR FISCAL</t>
  </si>
  <si>
    <t>REVISORFISCAL</t>
  </si>
  <si>
    <t>2</t>
  </si>
  <si>
    <t>REPRESENTANTE LEGAL: JULIANA MARCELA LUNA CHAVES</t>
  </si>
  <si>
    <t>JULIANA MARCELA LUNA CHAVES</t>
  </si>
  <si>
    <t>INDEFINIDA</t>
  </si>
  <si>
    <t>14-44-101166181</t>
  </si>
  <si>
    <t>LIBIA ELENAACOSTA NIÑO</t>
  </si>
  <si>
    <t>DILIGENCIADO</t>
  </si>
  <si>
    <t>CSC2000235636</t>
  </si>
  <si>
    <t>NO ALLEGA CARPETA DE DESEMPATE</t>
  </si>
  <si>
    <t>20204440021057 DE 11/05/2020</t>
  </si>
  <si>
    <t>RESOLUCION 001811 DE 23 DE JULIO DE 2019</t>
  </si>
  <si>
    <t>AXXA COLPATRIA</t>
  </si>
  <si>
    <t>APORTA COMPROMISO DE MANTENER AL DIA LOS SALVOCONDUCTOS</t>
  </si>
  <si>
    <t>SANTIAGO MACHUCA GONZALEZ</t>
  </si>
  <si>
    <t>ACADEMIA COLOMBIANA DE PROFESIONALES DE SEGURIDAD</t>
  </si>
  <si>
    <t xml:space="preserve">BOMBEROSVOLUNTARIOSDE GUACHETA </t>
  </si>
  <si>
    <t>LAEXPERIENCIA ESTA CERTIFICADA CON DIFERENTES EMPRESAS</t>
  </si>
  <si>
    <t>JOSE IGNACIO OLAYA ROA</t>
  </si>
  <si>
    <t>CUERPO DE BOMBEROS DE CACHETA</t>
  </si>
  <si>
    <t>ALEJANDRO TORRES SANCHEZ</t>
  </si>
  <si>
    <t>TRABAJA DESDE 25 DEMAYO DEL 2018</t>
  </si>
  <si>
    <t>PRESENCIAL Y POR MEDIOS TECNOLOGICOS</t>
  </si>
  <si>
    <t>PRESENCIAL UNO AL DIA Y UNO EN LA NOCHE</t>
  </si>
  <si>
    <t>NINGUNO</t>
  </si>
  <si>
    <t>ALLEGA CERITIFICACION DONDE EL 83.33% DEL PERSONAL DIRECTIVO SON MUJERES</t>
  </si>
  <si>
    <t>UNION TEMPORAL BIENESTAR 2015</t>
  </si>
  <si>
    <t>ICBF</t>
  </si>
  <si>
    <t>ALLEGA CERTIIFICACION</t>
  </si>
  <si>
    <t>COOVIAM</t>
  </si>
  <si>
    <t>4</t>
  </si>
  <si>
    <t>UT L&amp; D</t>
  </si>
  <si>
    <t>UT VIGISER 2022</t>
  </si>
  <si>
    <t>UT OLICTEC</t>
  </si>
  <si>
    <t>SEGURIDAD LASER LTDA</t>
  </si>
  <si>
    <t>VIGILANCAI Y SEGURIDAD DINA POWER LTDA</t>
  </si>
  <si>
    <t>VIGIAS DE COLOMBIA SRL LTDA</t>
  </si>
  <si>
    <t>COMPAÑÍA DE VIGILANCIA PRIVADA LTDA SERSECOL</t>
  </si>
  <si>
    <t>SEGURIDAD PRIVADA Y VIGILANCIAOLIMPOSEGURIDAD</t>
  </si>
  <si>
    <t>SERVICIO DE VIGILANCAI TECNICO LTDA</t>
  </si>
  <si>
    <t>Representante Legal: LEONARDO GOMEZ GRANADOS</t>
  </si>
  <si>
    <t>Representante Legal: YANIRA ESPERANZA OÑATE RODRIGUEZ</t>
  </si>
  <si>
    <t>LUIS FRANCISCO OSPINA GONZALEZ</t>
  </si>
  <si>
    <t>GERMAN DARIO ARGUMEDO PEREZ</t>
  </si>
  <si>
    <t>GLORIA ELENA MURIEL BOTERO</t>
  </si>
  <si>
    <t>LEONARDO GOMEZ GRANADOS</t>
  </si>
  <si>
    <t>YANIRA ESPERANZA OÑATE RODRIGUEZ</t>
  </si>
  <si>
    <t>JUAN MANUEL SILVA RUIZ</t>
  </si>
  <si>
    <t>HASTA 3000 SMMLV</t>
  </si>
  <si>
    <t>ILIMITADA</t>
  </si>
  <si>
    <t>15-44-101270379</t>
  </si>
  <si>
    <t>11-44-101193169</t>
  </si>
  <si>
    <t>NB100230992</t>
  </si>
  <si>
    <t>04/11/2022 A 25/02/2023</t>
  </si>
  <si>
    <t>MARTIN PATIÑO DUARTE</t>
  </si>
  <si>
    <t>CARLOS ALFONSO GARCIA</t>
  </si>
  <si>
    <t>CESAR GIOVANNY DIAZ ALVARADO</t>
  </si>
  <si>
    <t>DEISCY MILDRED VELASQUEZ CAMPUZANO</t>
  </si>
  <si>
    <t>27532-T</t>
  </si>
  <si>
    <t>125865-T</t>
  </si>
  <si>
    <t>16539-T</t>
  </si>
  <si>
    <t>130835-T</t>
  </si>
  <si>
    <t>160101-T</t>
  </si>
  <si>
    <t>27/10/(2022</t>
  </si>
  <si>
    <t>SEGUROS BOLIVAR</t>
  </si>
  <si>
    <t>6500-0008415-01</t>
  </si>
  <si>
    <t>21-74-1000000010</t>
  </si>
  <si>
    <t>CSF2000259152</t>
  </si>
  <si>
    <t>CSF2000259811</t>
  </si>
  <si>
    <t>CSF2000241570</t>
  </si>
  <si>
    <t>NO ALLEGA</t>
  </si>
  <si>
    <t>ALLEGA CARPETA .ZIP</t>
  </si>
  <si>
    <t>20194100020307 DE 28/02/2019</t>
  </si>
  <si>
    <t>20204100055927 DE 09/09/2020</t>
  </si>
  <si>
    <t>20204100100357 DE 31/12/2020</t>
  </si>
  <si>
    <t>20204100045777 DE 13/08/2020</t>
  </si>
  <si>
    <t>20204100015347 DE 23/04/2020</t>
  </si>
  <si>
    <t>20204100016327 DE 24/04/2020</t>
  </si>
  <si>
    <t>VENCE 2024</t>
  </si>
  <si>
    <t>VENCE 2027</t>
  </si>
  <si>
    <t>1102 DE 14/05/2017</t>
  </si>
  <si>
    <t>1108 DE 05 DE ABRIL DE 2022</t>
  </si>
  <si>
    <t>000360 DE 2018</t>
  </si>
  <si>
    <t>AMBAS EMPRESAS ALLEGA LICENCIA DE COMUNICACIONES</t>
  </si>
  <si>
    <t>EQUIDAD ARL</t>
  </si>
  <si>
    <t>APORTA MAS DE 30 SALVOCONDUCTOS VIGENTES</t>
  </si>
  <si>
    <t>ALEJANDRO ALONSO TORRES</t>
  </si>
  <si>
    <t>JAIME HERNNANDEZ MONROY</t>
  </si>
  <si>
    <t>JOSE JHOYNER MOSQUERA CAIDEDO</t>
  </si>
  <si>
    <t>20 AÑOS</t>
  </si>
  <si>
    <t>DIRECTORA DE GESTION HUMANA</t>
  </si>
  <si>
    <t>ACADESA</t>
  </si>
  <si>
    <t>INSIGNIA SPA LTDA</t>
  </si>
  <si>
    <t>DEFENSA COLOMBIANA DE PATIO BONITO</t>
  </si>
  <si>
    <t>BOMBEROS DE COLOMBIA - CESAR</t>
  </si>
  <si>
    <t>CUERPO DE BOMBEROS DE GARAGOA</t>
  </si>
  <si>
    <t>JUAN CARLOS CALDERON LEAL</t>
  </si>
  <si>
    <t>LUIS FERNANDO PEREZ</t>
  </si>
  <si>
    <t>CHRISTIAN CAMILO OSPINA CALLEJAS</t>
  </si>
  <si>
    <t>NO VIGENTE</t>
  </si>
  <si>
    <t>11 AÑOS</t>
  </si>
  <si>
    <t>19 AÑOS</t>
  </si>
  <si>
    <t>CRONOS SP LTDA</t>
  </si>
  <si>
    <t>RAFAEL EDUARDO GARCIA HERRERA</t>
  </si>
  <si>
    <t>JOSE MANUEL JIMENEZ GONZALEZ</t>
  </si>
  <si>
    <t>LUIS ALFONSO LOPEZ RAMIREZ</t>
  </si>
  <si>
    <t>INGENIERO EECTRONICO</t>
  </si>
  <si>
    <t>ECOLVIP</t>
  </si>
  <si>
    <t>4 AÑOS</t>
  </si>
  <si>
    <t>02/02/2019, TRBAJA CON LA EMPRESA</t>
  </si>
  <si>
    <t>ALLEGA CERTIFICACION DE REVISOR FISCAL DONDE SE DEMUESTRA QUE UNA MUJER TIENE MAS DEL 50% DE LA EMPRESA</t>
  </si>
  <si>
    <t>ALLEGA CERTIFICACION DE REVISOR FISCAL DONDE SE DEMUESTRA QUE EL 100% DE LA EMPRESA SON PROPIEDAD DE MUJERES</t>
  </si>
  <si>
    <t>ALLEGA CERTIFICACION DE REVISOR FISCALES Y PLANLLAS DE SEGURIDAD SOCIAL, TIENE MAS DEL 50%</t>
  </si>
  <si>
    <t>APORTA CERTIFICACCION DE REVISOR FISCAL Y REPRESENTANTE LEGAL</t>
  </si>
  <si>
    <t>UNION TEMPORAL LSR 2017</t>
  </si>
  <si>
    <t>COMPAÑIADE VIGILANCIA PRIVADA SERSECOL</t>
  </si>
  <si>
    <t>SERVIRTEG LTDA</t>
  </si>
  <si>
    <t>ALCALDIA DE BOGOTA</t>
  </si>
  <si>
    <t xml:space="preserve">UNAD </t>
  </si>
  <si>
    <t>SECRETARIA DE EDUCACION DISTRITAL</t>
  </si>
  <si>
    <t>UT</t>
  </si>
  <si>
    <t>UT RAMA SC 2022</t>
  </si>
  <si>
    <t>SEGURIDAD LAS AMERICAS</t>
  </si>
  <si>
    <t>EMPRESA DE VIGILANCIA CARIMAR</t>
  </si>
  <si>
    <t>Representante Legal: LEONARDO FERNANDEZ DELGADO</t>
  </si>
  <si>
    <t>LEONARDO FERNANDEZ DELGADO</t>
  </si>
  <si>
    <t>JHON EDWARD RAMOS AMEZQUITA</t>
  </si>
  <si>
    <t>SIN LIMITACIONES</t>
  </si>
  <si>
    <t>BCH 100022429</t>
  </si>
  <si>
    <t>ANGEL MARIA FONSECA ALONSO</t>
  </si>
  <si>
    <t>JESUS JOHAN GONZALEZ RIVERA</t>
  </si>
  <si>
    <t>71678-T</t>
  </si>
  <si>
    <t>140579-T</t>
  </si>
  <si>
    <t>15-85-100000045</t>
  </si>
  <si>
    <t>CSC2000214170</t>
  </si>
  <si>
    <t>2020410009827 DE 26/02/2020</t>
  </si>
  <si>
    <t>20204100016917 DE 24/04/2020</t>
  </si>
  <si>
    <t>VENCE EN 2027</t>
  </si>
  <si>
    <t>002747 DE 24/10/2021</t>
  </si>
  <si>
    <t>WILLIAM FERNANDO MURCIA OLIVEROS</t>
  </si>
  <si>
    <t>17 AÑOS</t>
  </si>
  <si>
    <t>JEFE DE TALENTO HUMANO</t>
  </si>
  <si>
    <t>DEFENSACIVIL COLOMBIANADE PATIO BONITO</t>
  </si>
  <si>
    <t>DARIO HERNANDEZ</t>
  </si>
  <si>
    <t>JOSE LUIS MARTINEZ RODRIGUEZ</t>
  </si>
  <si>
    <t>12/10/2010 TRABAJA CON LA EMPRESA</t>
  </si>
  <si>
    <t>RAMA JUDICIAL BOGOTA</t>
  </si>
  <si>
    <t>INDETERMINADO</t>
  </si>
  <si>
    <t>5</t>
  </si>
  <si>
    <t>6</t>
  </si>
  <si>
    <t>7</t>
  </si>
  <si>
    <t>8</t>
  </si>
  <si>
    <t>15</t>
  </si>
  <si>
    <t>UT SEPETEDAC RM TUNJA</t>
  </si>
  <si>
    <t>UT PA 2022</t>
  </si>
  <si>
    <t>SEGURIDAD EL PENTAGONO COLOMBIANO LTDA SEPECOL</t>
  </si>
  <si>
    <t>TECNOLOGIAS INTEGRALES DE SEGUIRIDAD</t>
  </si>
  <si>
    <t>SEGURIDAD DECAPOLIS LTDA</t>
  </si>
  <si>
    <t>SEGURIDAD ATLAS LTDA</t>
  </si>
  <si>
    <t>SEGURIDAD PENTA LTDA</t>
  </si>
  <si>
    <t>Representante Legal: OSCAR SANTIAGO SLVA ARIZA</t>
  </si>
  <si>
    <t>Representante Legal: LUIS FERNANDO GARCIA TARQUINO</t>
  </si>
  <si>
    <t>OSCAR SANTIAGO SILVA ARIZA</t>
  </si>
  <si>
    <t>LUIS FERNANNO GARCIA TARQUINO</t>
  </si>
  <si>
    <t>OSCAR SANTIAGO SLVA ARIZA</t>
  </si>
  <si>
    <t>YENNY KARINA BONILLA CRUZ</t>
  </si>
  <si>
    <t>LILIANA PATRICIA ALVAREZ MONTES</t>
  </si>
  <si>
    <t>JENNY CAROLINA NIÑI URIBE</t>
  </si>
  <si>
    <t>1410/2022</t>
  </si>
  <si>
    <t>CSC 100026300</t>
  </si>
  <si>
    <t>14-44101166306</t>
  </si>
  <si>
    <t>04/11/2022 A 22/02/2023</t>
  </si>
  <si>
    <t>ARIEL AHUMEDO SIERRA</t>
  </si>
  <si>
    <t>DORA LUCY VARGAS RODRIGUEZ</t>
  </si>
  <si>
    <t>DEISCY MIEDRED VELASQUEZ</t>
  </si>
  <si>
    <t>JORGE GUILLERMO LOZANO SOMERA</t>
  </si>
  <si>
    <t>ARMANDO ANDRES QUINTERO LEON</t>
  </si>
  <si>
    <t>20665-T</t>
  </si>
  <si>
    <t>150242-T</t>
  </si>
  <si>
    <t>179881-T</t>
  </si>
  <si>
    <t>123559-T</t>
  </si>
  <si>
    <t>EL REPERESENTANTE LEGAL DE LA UT PIDE PARA TODAS SUS EMPRESAS EL AÑO 2021</t>
  </si>
  <si>
    <t>14-85-1000000199</t>
  </si>
  <si>
    <t>AA009683</t>
  </si>
  <si>
    <t>CSC2000236189</t>
  </si>
  <si>
    <t>20204100018967 DE 01/05/2020</t>
  </si>
  <si>
    <t>20204100009847 DE 25/02/2020</t>
  </si>
  <si>
    <t>20194100008027 DE 31/01/2019</t>
  </si>
  <si>
    <t>20204100026087 DE 08/06/2020</t>
  </si>
  <si>
    <t>20204100008737 DE 25/09/2020</t>
  </si>
  <si>
    <t>VENCE EN 2028</t>
  </si>
  <si>
    <t>VENCE EN 2019</t>
  </si>
  <si>
    <t>03691 DE 22 DE DICIEMBRE DE 2021</t>
  </si>
  <si>
    <t>00152 DE 27 DE ENERO DE 2021</t>
  </si>
  <si>
    <t>TODAS EMPRESAS ALLEGA LICENCIA DE COMUNICACIONES</t>
  </si>
  <si>
    <t>LA EQUIDAD SEGUROS</t>
  </si>
  <si>
    <t>SOTO Y ZULUAGA ASOCIADOS</t>
  </si>
  <si>
    <t>POSITIVA</t>
  </si>
  <si>
    <t>MAURICIO ALMARIO CABRERA</t>
  </si>
  <si>
    <t>JORGE LUIS DIAZ PALACIOS</t>
  </si>
  <si>
    <t>13 AÑOS</t>
  </si>
  <si>
    <t>14 AÑOS</t>
  </si>
  <si>
    <t>SIA LLEGA SEGURIDAD SOCIAL</t>
  </si>
  <si>
    <t>SUBGERENTE</t>
  </si>
  <si>
    <t>ESCUELA COLOMBIANA DE SEGURIDAD PRIVADA</t>
  </si>
  <si>
    <t>CUERPO DE BOMBEROS VOLUNTARIOS DE CHOCONTA</t>
  </si>
  <si>
    <t>DEFENSA CIVILC OLOMBIANA - SECCIONAL BOGOTA</t>
  </si>
  <si>
    <t>LUIS ANTONIO BARAJAS MARTINEZ</t>
  </si>
  <si>
    <t>ALDEMAR LUNA GORDILLO</t>
  </si>
  <si>
    <t>16 AÑOS</t>
  </si>
  <si>
    <t>HAROLD EDUARDO ESPINOSA SIERRA</t>
  </si>
  <si>
    <t>INGENIERO EN CONTROL ELECTRONICO E INSTRUMENTACION</t>
  </si>
  <si>
    <t>ACADEMIA DE STUDIOS TECNICOS EN SEGURIDAD</t>
  </si>
  <si>
    <t>HIKVISION Y DSC</t>
  </si>
  <si>
    <t>31/07/2017 TRABAJA CON LA EMPRESA</t>
  </si>
  <si>
    <t>DIRECTORA RECURSOS HUMANOS</t>
  </si>
  <si>
    <t>REVISOR FISCAL CERTIFICA QUE MAS DE 50 % DE MUJERES OCUPAN CARGOS DIRECTIVOS</t>
  </si>
  <si>
    <t>UNION TEMPORAL CGT SEGURIDAD</t>
  </si>
  <si>
    <t>SEGURIDAD ATLAS</t>
  </si>
  <si>
    <t>SENA</t>
  </si>
  <si>
    <t>FISCALIA GENERAL DE LA NACION</t>
  </si>
  <si>
    <t>PORCENTAJE DE PARTICIPACIÓN EMPRESA O  UNION TEMPORAL</t>
  </si>
  <si>
    <t>TOTAL % PARTICIPACION PERSONAL EN DISCAPACIDAD EN EMPRESA O EN UT</t>
  </si>
  <si>
    <t>TOTAL ABSOLUTO UNION TEMPORAL O EMPRESA</t>
  </si>
  <si>
    <t>TOTAL % PARTICIPACION MUJERES EN EMPRESAS O UT</t>
  </si>
  <si>
    <t>APORTA CERTIFICACIO DONDE SE EVIDENCIA QUE EL 100% SON PROPIETARIAS MUJERES</t>
  </si>
  <si>
    <t>TOTAL ABSOLUTO EMPRESA / UNION TEMPORAL</t>
  </si>
  <si>
    <t>APORTA CERTIFICACION DONDE CONSTA QUE EL 76% DE LA PRTICIAPCION ACCIONARIA ES DE MUJERES</t>
  </si>
  <si>
    <t>APORTA CERTIFICACION DONDE CONSTA QUE EL 55% DE LA PRTICIAPCION ACCIONARIA ES DE MUJERES</t>
  </si>
  <si>
    <t>APORTA CERTIFICACION DONDE CONSTA QUE EL 90% DE LA PRTICIAPCION ACCIONARIA ES DE MUJERES</t>
  </si>
  <si>
    <t>MS DEL 50% DE LOS CARGOS DIRECTIVOS HA SIDO OSTENTADOS POR MUJERES</t>
  </si>
  <si>
    <t>APORTA CERTIFICACION DONDE CONSTA QUE EL 53.5% DE LA PRTICIAPCION ACCIONARIA ES DE MUJERES</t>
  </si>
  <si>
    <t>APORTA CERTIFICACION DONDE CONSTA QUE EL 72.72% DE LA PRTICIAPCION ACCIONARIA ES DE MUJERES</t>
  </si>
  <si>
    <t>CERTIIFICA EL 100% DEL CAPITAL DE LA EMPRESA ES DE MUJERES</t>
  </si>
  <si>
    <t>17 de septiembre de 2028</t>
  </si>
  <si>
    <t>20204100057907 DE 16/09/2020</t>
  </si>
  <si>
    <t>APORTA CERTIFICACION DONDE CONSTA QUE EL 60 % DE LA PRTICIAPCION ACCIONARIA ES DE MUJERES</t>
  </si>
  <si>
    <t>APORTA CERTIFICACION DONDE CONSTA QUE MAS DEL 50 % DE LA PRTICIAPCION ACCIONARIA ES DE MUJERES - DE 7 DIRECTIVOS 5 SON MUJERES EL (71%)</t>
  </si>
  <si>
    <t>me permito manifestar que me comprometo, a que, en caso de resultar adjudicatario del
presente proceso, incluiremos de manera inmediata al personal de vigilancia que prestará el
servicio durante el término de ejecución del contrato.</t>
  </si>
  <si>
    <t>manifestar que me comprometo a renovar los permisos de tenencia o porte de las armas que se pongan a disposición durante la ejecución del contrato, esto, si se llegasen a vencer durante la ejecución del mismo.</t>
  </si>
  <si>
    <t>Diana FORERO MONTENEGRO
Profesional en Prevención y Servicio al Cliente
ARL AXA COLPATRIA</t>
  </si>
  <si>
    <t>30 días del mes de octubre de 2022</t>
  </si>
  <si>
    <t>13,920,954,000</t>
  </si>
  <si>
    <t>manifiesto mi compromiso de renovación de los permisos para el porte o tenencia de armas en caso de que estos venzan durante el término de la ejecución del contrato. Lo anterior de conformidad con el Decreto 2535 de 1993 y en especial el Decreto 0155 del 1 de febrero de 2016.</t>
  </si>
  <si>
    <t>incluiré de manera inmediata al personal de vigilancia que prestara el servicio durante el término de ejecución del contrato en la Póliza sobre el Seguro de Vida Colectivo de que trata el artículo 5 de la Ley 1920 de 2018 y el Decreto 1588 del 26 de noviembre de 2021, su Obligatoriedad y reporte de cumplimiento.</t>
  </si>
  <si>
    <t>Cumple</t>
  </si>
  <si>
    <t>ALLEGA CERTIFICACION DE REVISRO FISCAL DONDE SE ESTABLECE QUE EL 50 % DE PERSONAS DIRECTIVO ES MUJER</t>
  </si>
  <si>
    <t>manifestamos bajo la gravedad de juramento, que, contamos dentro de nuestro personal con mínimo el cincuenta por ciento (50%) de los empleos del nivel directivo ejercidos por mujeres y las mismas se encuentran vinculadas laboralmente a la empresa durante al menos el último año anterior a la fecha de cierre del Proceso de Selección en el mismo cargo u otro del mismo nivel.</t>
  </si>
  <si>
    <t>SIN LIMITE</t>
  </si>
  <si>
    <t xml:space="preserve">FIRMADO POR EL REPRESENTANTE LEGAL </t>
  </si>
  <si>
    <t>REVISOR FISCAL CERTIFICA QUE LA REPRESENTANTE LEGAL LA SEÑORA MAGARITA ROSA URIBE SANTOS TIENE EL 70%</t>
  </si>
  <si>
    <t>NOMBRE DE OFERENTE</t>
  </si>
  <si>
    <t>PARTICIPANTES DE UNION TEMPORAL</t>
  </si>
  <si>
    <t>no apliica</t>
  </si>
  <si>
    <t>no aplica</t>
  </si>
  <si>
    <t>ABSOLUTO PERSONAL MAYORES A 45 AÑOS</t>
  </si>
  <si>
    <t>PORCENTAJE PERSONAL MAYOR A 45 AÑOS</t>
  </si>
  <si>
    <t>ABSOLUTO MUJERES CONTRATADAS</t>
  </si>
  <si>
    <t>PORCENTAJE MUJERES CONTRATADAS</t>
  </si>
  <si>
    <t>ABSOLUTO PERSONAS EN DISCAPACIDAD</t>
  </si>
  <si>
    <t>PORCENTAJE PERSONA EN DISCAPACIDAD</t>
  </si>
  <si>
    <t>PERSONAL CONTRATADO MAYO A 45 AÑOS</t>
  </si>
  <si>
    <t>MUJERES CONTRATADAS</t>
  </si>
  <si>
    <t>PERSONAS EN DISCAPACIDAD</t>
  </si>
  <si>
    <t>TOTAL PUNTAJES</t>
  </si>
  <si>
    <t>VIGENCIA 2022</t>
  </si>
  <si>
    <t>ÍTEM</t>
  </si>
  <si>
    <t>DESCRIPCION DEL SERVICIO A CONTRATAR</t>
  </si>
  <si>
    <t>No. DE SERVICIOS A CONTRATAR</t>
  </si>
  <si>
    <t>VALOR UNITARIO POR MES, INCLUIDO AYS E IMPUESTOS</t>
  </si>
  <si>
    <t xml:space="preserve">TIEMPO DE EJECUCION AÑO 2022 </t>
  </si>
  <si>
    <t>VALOR SUB TOTAL AÑO 2022 SERVICIOS</t>
  </si>
  <si>
    <t>( A )</t>
  </si>
  <si>
    <t>( B )</t>
  </si>
  <si>
    <t>( C )</t>
  </si>
  <si>
    <t>( D )</t>
  </si>
  <si>
    <t>( E ) = ( B ) * ( C ) * ( D )</t>
  </si>
  <si>
    <t>Servicio de vigilancia física con medio humano, con arma y medio de comunicación, con jornada laboral 24 horas, permanente de Lunes a Domingo</t>
  </si>
  <si>
    <t>Servicio de vigilancia física con medio humano, con arma y medio de comunicación, con jornada laboral 12 horas diurnas de lunes a viernes sin incluir festivos</t>
  </si>
  <si>
    <t>Servicio de vigilancia física con medio humano, sin arma y medio de comunicación, con jornada laboral 12 horas diurnas de lunes a viernes sin incluir festivos</t>
  </si>
  <si>
    <t>VALOR SUB TOTAL VIGENCIA 2022 (Sumatoria Ítems 2, 3 y 4)</t>
  </si>
  <si>
    <t>Elementos Adicionales y Servicios Tecnológicos año 2022</t>
  </si>
  <si>
    <t>VALOR POR MES</t>
  </si>
  <si>
    <t>TIEMPO DE EJECUCION AÑO 2022 (Noviembre y Diciembre)</t>
  </si>
  <si>
    <t>VALOR SUB TOTAL AÑO 2022 SERVICIOS ADICIONALES</t>
  </si>
  <si>
    <t>( F )</t>
  </si>
  <si>
    <t>( G )</t>
  </si>
  <si>
    <t>( H )</t>
  </si>
  <si>
    <t>( I ) = ( G ) * ( H )</t>
  </si>
  <si>
    <t>Elementos  Adicionales y Servicios Tecnológicos según anexo</t>
  </si>
  <si>
    <t>VALOR SUB TOTAL SERVICIOS ADICIONALES VIGENCIA 2022 (Ítem 8)</t>
  </si>
  <si>
    <t>TOTAL, VIGENCIA 2022 (Sumatoria Ítems 5 y 9)</t>
  </si>
  <si>
    <t>VIGENCIA 2023</t>
  </si>
  <si>
    <t>VALOR UNITARIO POR MES, INCLUIDO AYS E IMPUESTOS (Tener en cuenta incremento del 4.3% para el año 2023)</t>
  </si>
  <si>
    <t>TIEMPO DE EJECUCION AÑO 2023 (Enero a 13 de mayo)</t>
  </si>
  <si>
    <t>VALOR SUB TOTAL AÑO 2023 SERVICIOS</t>
  </si>
  <si>
    <t>( J )</t>
  </si>
  <si>
    <t>( K )</t>
  </si>
  <si>
    <t>( L )</t>
  </si>
  <si>
    <t>( M )</t>
  </si>
  <si>
    <t>( N ) = ( K ) * ( L ) * ( M )</t>
  </si>
  <si>
    <t>VALOR SUB TOTAL VIGENCIA 2023 (Sumatoria Ítems 13, 14 y 15)</t>
  </si>
  <si>
    <t>Elementos  Adicionales y Servicios Tecnológicos año 2023</t>
  </si>
  <si>
    <t xml:space="preserve">VALOR POR MES </t>
  </si>
  <si>
    <t>VALOR SUB TOTAL AÑO 2023 SERVICIOS ADICIONALES</t>
  </si>
  <si>
    <t>( O )</t>
  </si>
  <si>
    <t>( P )</t>
  </si>
  <si>
    <t>( Q )</t>
  </si>
  <si>
    <t>( R ) = ( P ) * ( Q )</t>
  </si>
  <si>
    <t>Elementos  Adicionales y Servicios Tecnológicos</t>
  </si>
  <si>
    <t>VALOR SUB TOTAL SERVICIOS ADICIONALES VIGENCIA 2023 (Ítem 19)</t>
  </si>
  <si>
    <t>TOTAL, VIGENCIA 2023 (Sumatoria Ítems 16 y 20)</t>
  </si>
  <si>
    <t>TOTAL, PROPUESTA ECONOMICA VIGENCIAS 2022 Y 2023 (Sumatoria Ítems 10 y 21)</t>
  </si>
  <si>
    <t>5.44</t>
  </si>
  <si>
    <t xml:space="preserve"> OFERTA ECONOMICA</t>
  </si>
  <si>
    <r>
      <rPr>
        <b/>
        <sz val="7"/>
        <rFont val="Arial"/>
        <family val="2"/>
      </rPr>
      <t>VIGENCIA 2022</t>
    </r>
  </si>
  <si>
    <r>
      <rPr>
        <b/>
        <sz val="7"/>
        <rFont val="Arial"/>
        <family val="2"/>
      </rPr>
      <t>ÍTEM</t>
    </r>
  </si>
  <si>
    <r>
      <rPr>
        <b/>
        <sz val="7"/>
        <rFont val="Arial"/>
        <family val="2"/>
      </rPr>
      <t>DESCRIPCION DEL SERVICIO A CONTRATAR</t>
    </r>
  </si>
  <si>
    <r>
      <rPr>
        <b/>
        <sz val="7"/>
        <rFont val="Arial"/>
        <family val="2"/>
      </rPr>
      <t>No. DE SERVICIOS A CONTRATAR</t>
    </r>
  </si>
  <si>
    <r>
      <rPr>
        <b/>
        <sz val="7"/>
        <rFont val="Arial"/>
        <family val="2"/>
      </rPr>
      <t>VALOR UNITARIO POR MES, INCLUIDO AYS E IMPUESTOS</t>
    </r>
  </si>
  <si>
    <r>
      <rPr>
        <b/>
        <sz val="7"/>
        <rFont val="Arial"/>
        <family val="2"/>
      </rPr>
      <t xml:space="preserve">TIEMPO DE EJECUCION AÑO 2022
</t>
    </r>
    <r>
      <rPr>
        <b/>
        <sz val="7"/>
        <rFont val="Arial"/>
        <family val="2"/>
      </rPr>
      <t>(Noviembre y Diciembre)</t>
    </r>
  </si>
  <si>
    <r>
      <rPr>
        <b/>
        <sz val="7"/>
        <rFont val="Arial"/>
        <family val="2"/>
      </rPr>
      <t>VALOR SUB TOTAL AÑO 2022 SERVICIOS</t>
    </r>
  </si>
  <si>
    <r>
      <rPr>
        <b/>
        <sz val="7"/>
        <rFont val="Arial"/>
        <family val="2"/>
      </rPr>
      <t>( A )</t>
    </r>
  </si>
  <si>
    <r>
      <rPr>
        <b/>
        <sz val="7"/>
        <rFont val="Arial"/>
        <family val="2"/>
      </rPr>
      <t>( B )</t>
    </r>
  </si>
  <si>
    <r>
      <rPr>
        <b/>
        <sz val="7"/>
        <rFont val="Arial"/>
        <family val="2"/>
      </rPr>
      <t>( C )</t>
    </r>
  </si>
  <si>
    <r>
      <rPr>
        <b/>
        <sz val="7"/>
        <rFont val="Arial"/>
        <family val="2"/>
      </rPr>
      <t>( D )</t>
    </r>
  </si>
  <si>
    <r>
      <rPr>
        <b/>
        <sz val="7"/>
        <rFont val="Arial"/>
        <family val="2"/>
      </rPr>
      <t>( E ) = ( B ) * ( C ) * ( D )</t>
    </r>
  </si>
  <si>
    <r>
      <rPr>
        <sz val="7"/>
        <rFont val="Arial MT"/>
        <family val="2"/>
      </rPr>
      <t>Servicio de vigilancia física con medio humano, con arma y medio de comunicación, con jornada laboral 24 horas, permanente de Lunes a Domingo</t>
    </r>
  </si>
  <si>
    <r>
      <rPr>
        <sz val="9"/>
        <rFont val="Arial MT"/>
        <family val="2"/>
      </rPr>
      <t>1 MES</t>
    </r>
  </si>
  <si>
    <r>
      <rPr>
        <sz val="7"/>
        <rFont val="Arial MT"/>
        <family val="2"/>
      </rPr>
      <t>Servicio de vigilancia física con medio humano, con arma y medio de comunicación, con jornada laboral 12 horas diurnas de lunes a viernes sin incluir festivos</t>
    </r>
  </si>
  <si>
    <r>
      <rPr>
        <sz val="7"/>
        <rFont val="Arial MT"/>
        <family val="2"/>
      </rPr>
      <t>Servicio de vigilancia física con medio humano, sin arma y medio de comunicación, con jornada laboral 12 horas diurnas de lunes a viernes sin incluir festivos</t>
    </r>
  </si>
  <si>
    <r>
      <rPr>
        <sz val="7"/>
        <rFont val="Arial MT"/>
        <family val="2"/>
      </rPr>
      <t>Elementos  Adicionales y Servicios Tecnológicos según anexo</t>
    </r>
  </si>
  <si>
    <r>
      <rPr>
        <sz val="7"/>
        <rFont val="Arial MT"/>
        <family val="2"/>
      </rPr>
      <t>Elementos  Adicionales y Servicios Tecnológicos</t>
    </r>
  </si>
  <si>
    <r>
      <rPr>
        <b/>
        <sz val="12"/>
        <rFont val="Arial"/>
        <family val="2"/>
      </rPr>
      <t xml:space="preserve">TOTAL, PROPUESTA ECONOMICA VIGENCIAS 2022
</t>
    </r>
    <r>
      <rPr>
        <b/>
        <sz val="12"/>
        <rFont val="Arial"/>
        <family val="2"/>
      </rPr>
      <t>Y 2023 (Sumatoria Ítems 10 y 21)</t>
    </r>
  </si>
  <si>
    <t xml:space="preserve">ÍTEM </t>
  </si>
  <si>
    <t xml:space="preserve">DESCRIPCION DEL SERVICIO A CONTRATAR </t>
  </si>
  <si>
    <t xml:space="preserve">No. DE SERVICIOS A CONTRATAR </t>
  </si>
  <si>
    <t xml:space="preserve">VALOR UNITARIO POR MES, INCLUIDO AYS E IMPUESTOS </t>
  </si>
  <si>
    <t xml:space="preserve">TIEMPO DE EJECUCION AÑO 2022 (Noviembre y Diciembre) </t>
  </si>
  <si>
    <t xml:space="preserve"> ( A )</t>
  </si>
  <si>
    <t xml:space="preserve"> ( B ) </t>
  </si>
  <si>
    <t xml:space="preserve">( C ) </t>
  </si>
  <si>
    <t xml:space="preserve">( D ) </t>
  </si>
  <si>
    <t>1 MES</t>
  </si>
  <si>
    <t xml:space="preserve">Elementos Adicionales y Servicios Tecnológicos año 2022 </t>
  </si>
  <si>
    <t xml:space="preserve"> ( G ) </t>
  </si>
  <si>
    <t xml:space="preserve">( H ) </t>
  </si>
  <si>
    <t>Elementos Adicionales y Servicios Tecnológicos según anexo</t>
  </si>
  <si>
    <t xml:space="preserve"> ( J )</t>
  </si>
  <si>
    <t xml:space="preserve"> ( K ) </t>
  </si>
  <si>
    <t xml:space="preserve">( L ) </t>
  </si>
  <si>
    <t xml:space="preserve">( M ) </t>
  </si>
  <si>
    <t>Elementos Adicionales y Servicios Tecnológicos año 2023</t>
  </si>
  <si>
    <t>VALOR POR MES (Tener en cuenta incremento del 4.3% para el año 2023)</t>
  </si>
  <si>
    <t xml:space="preserve">( O ) </t>
  </si>
  <si>
    <t xml:space="preserve">( P ) </t>
  </si>
  <si>
    <t xml:space="preserve">( Q ) </t>
  </si>
  <si>
    <t>Elementos Adicionales y Servicios Tecnológicos</t>
  </si>
  <si>
    <t>MIN</t>
  </si>
  <si>
    <t>MAX</t>
  </si>
  <si>
    <t>MIIN</t>
  </si>
  <si>
    <t>TIEMPO DE EJECUCION AÑO 2022</t>
  </si>
  <si>
    <t>(Noviembre y Diciembre)</t>
  </si>
  <si>
    <t>TIEMPO DE EJECUCION AÑO 2023</t>
  </si>
  <si>
    <t>(Tener en cuenta incremento del 4.3% para el año 2023)</t>
  </si>
  <si>
    <t>(Enero a 13 de mayo)</t>
  </si>
  <si>
    <t>VALOR POR MES (IGUAL AL DE 2022)</t>
  </si>
  <si>
    <t>OFERTA ECONOMICA</t>
  </si>
  <si>
    <t xml:space="preserve">ANEXO 3 OFERTA ECONOMICA </t>
  </si>
  <si>
    <t>Estudio de mercado</t>
  </si>
  <si>
    <t xml:space="preserve">Diferencia </t>
  </si>
  <si>
    <t xml:space="preserve">media geométrica con rangos, mediana y menor precio, </t>
  </si>
  <si>
    <t>PO</t>
  </si>
  <si>
    <t>RECHAZADA POR NO SUBSANAR EN TERMINO</t>
  </si>
  <si>
    <t>RECHAZADA OFERTA ECONOMICA</t>
  </si>
  <si>
    <t>RECHAZADA POR OFERTA ECONOMICA</t>
  </si>
  <si>
    <t>UT RAMA TUNJA 2023</t>
  </si>
  <si>
    <t>COOVIAM CTA</t>
  </si>
  <si>
    <t>UT L&amp;D</t>
  </si>
  <si>
    <t>UNION TEMPORAL VIGISER 2022</t>
  </si>
  <si>
    <t>UNION TEMPORAL OLICTEC</t>
  </si>
  <si>
    <t>UNIÓN TEMPORAL RAMA SC 2022</t>
  </si>
  <si>
    <t>UNION TEMPORAL SUPVA 2022</t>
  </si>
  <si>
    <t>UT SEGURIDAD HUNZA</t>
  </si>
  <si>
    <t>AGUILA DE ORO DE COLOMBIA LTDA</t>
  </si>
  <si>
    <t>UNION TEMPORAL RONDA-SECANCOL</t>
  </si>
  <si>
    <t>UNIÓN TEMPORAL C&amp;T SEGURIDAD 741</t>
  </si>
  <si>
    <t>UT MEGAMETRO</t>
  </si>
  <si>
    <t>UNIÓN TEMPORAL TUNJA SC</t>
  </si>
  <si>
    <t>UNIÓN TEMPORAL SERVILAOS 2022</t>
  </si>
  <si>
    <t>TP - PROTECCIÓN UNION TEMPORAL</t>
  </si>
  <si>
    <t>SEGURIDAD NAPOLES LTDA.</t>
  </si>
  <si>
    <t>UNIÓN TEMPORAL SEPETEDAC RM TUNJA</t>
  </si>
  <si>
    <t>SEGURIDAD TREBOL LTDA.</t>
  </si>
  <si>
    <t>UT AM SEGURIDAD</t>
  </si>
  <si>
    <t>SEGURIDAD NUEVA ERA LTDA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</si>
</sst>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0.00_ ;\-#,##0.00\ "/>
    <numFmt numFmtId="166" formatCode="_-* #,##0\ _€_-;\-* #,##0\ _€_-;_-* &quot;-&quot;??\ _€_-;_-@_-"/>
    <numFmt numFmtId="167" formatCode="0.0%"/>
    <numFmt numFmtId="168" formatCode="#,##0.000_ ;\-#,##0.000\ "/>
    <numFmt numFmtId="169" formatCode="_-[$$-240A]\ * #,##0.00_-;\-[$$-240A]\ * #,##0.00_-;_-[$$-240A]\ * &quot;-&quot;??_-;_-@_-"/>
    <numFmt numFmtId="170" formatCode="_-[$$-240A]\ * #,##0_-;\-[$$-240A]\ * #,##0_-;_-[$$-240A]\ * &quot;-&quot;??_-;_-@_-"/>
    <numFmt numFmtId="171" formatCode="_-&quot;$&quot;\ * #,##0_-;\-&quot;$&quot;\ * #,##0_-;_-&quot;$&quot;\ * &quot;-&quot;??_-;_-@_-"/>
    <numFmt numFmtId="172" formatCode="_-* #,##0_-;\-* #,##0_-;_-* &quot;-&quot;??_-;_-@_-"/>
    <numFmt numFmtId="173" formatCode="#,##0;[Red]#,##0"/>
    <numFmt numFmtId="174" formatCode="_-&quot;$&quot;* #,##0.00_-;\-&quot;$&quot;* #,##0.00_-;_-&quot;$&quot;* &quot;-&quot;??_-;_-@_-"/>
    <numFmt numFmtId="175" formatCode="_-&quot;$&quot;* #,##0_-;\-&quot;$&quot;* #,##0_-;_-&quot;$&quot;* &quot;-&quot;??_-;_-@_-"/>
  </numFmts>
  <fonts count="53">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1"/>
      <name val="Calibri"/>
      <family val="2"/>
      <scheme val="minor"/>
    </font>
    <font>
      <b/>
      <sz val="16"/>
      <name val="Arial"/>
      <family val="2"/>
    </font>
    <font>
      <b/>
      <sz val="14"/>
      <name val="Arial"/>
      <family val="2"/>
    </font>
    <font>
      <b/>
      <sz val="9"/>
      <name val="Arial"/>
      <family val="2"/>
    </font>
    <font>
      <sz val="9"/>
      <name val="Arial"/>
      <family val="2"/>
    </font>
    <font>
      <sz val="9"/>
      <name val="Calibri"/>
      <family val="2"/>
      <scheme val="minor"/>
    </font>
    <font>
      <b/>
      <sz val="18"/>
      <name val="Arial"/>
      <family val="2"/>
    </font>
    <font>
      <b/>
      <sz val="11"/>
      <name val="Calibri"/>
      <family val="2"/>
      <scheme val="minor"/>
    </font>
    <font>
      <sz val="11"/>
      <name val="Arial"/>
      <family val="2"/>
    </font>
    <font>
      <b/>
      <sz val="10"/>
      <name val="Arial"/>
      <family val="2"/>
    </font>
    <font>
      <sz val="16"/>
      <name val="Calibri"/>
      <family val="2"/>
      <scheme val="minor"/>
    </font>
    <font>
      <sz val="10"/>
      <name val="Arial"/>
      <family val="2"/>
    </font>
    <font>
      <b/>
      <sz val="9"/>
      <color theme="1"/>
      <name val="Arial"/>
      <family val="2"/>
    </font>
    <font>
      <sz val="9"/>
      <color theme="1"/>
      <name val="Arial"/>
      <family val="2"/>
    </font>
    <font>
      <sz val="16"/>
      <name val="Arial"/>
      <family val="2"/>
    </font>
    <font>
      <sz val="9"/>
      <color rgb="FFFF0000"/>
      <name val="Arial"/>
      <family val="2"/>
    </font>
    <font>
      <sz val="6"/>
      <name val="Arial"/>
      <family val="2"/>
    </font>
    <font>
      <sz val="8"/>
      <name val="Arial"/>
      <family val="2"/>
    </font>
    <font>
      <sz val="8"/>
      <name val="Calibri"/>
      <family val="2"/>
      <scheme val="minor"/>
    </font>
    <font>
      <sz val="9"/>
      <color theme="1"/>
      <name val=".Arial"/>
    </font>
    <font>
      <b/>
      <sz val="72"/>
      <name val="Arial"/>
      <family val="2"/>
    </font>
    <font>
      <sz val="48"/>
      <name val="Arial"/>
      <family val="2"/>
    </font>
    <font>
      <b/>
      <sz val="11"/>
      <color theme="1"/>
      <name val="Calibri"/>
      <family val="2"/>
      <scheme val="minor"/>
    </font>
    <font>
      <b/>
      <sz val="7"/>
      <color rgb="FF000000"/>
      <name val="Arial"/>
      <family val="2"/>
    </font>
    <font>
      <sz val="7"/>
      <color rgb="FF000000"/>
      <name val="Arial"/>
      <family val="2"/>
    </font>
    <font>
      <sz val="9"/>
      <color rgb="FF000000"/>
      <name val="Arial"/>
      <family val="2"/>
    </font>
    <font>
      <b/>
      <sz val="12"/>
      <color rgb="FF000000"/>
      <name val="Arial"/>
      <family val="2"/>
    </font>
    <font>
      <b/>
      <sz val="9"/>
      <color rgb="FF000000"/>
      <name val="Arial"/>
      <family val="2"/>
    </font>
    <font>
      <b/>
      <sz val="7"/>
      <name val="Arial"/>
      <family val="2"/>
    </font>
    <font>
      <sz val="7"/>
      <color rgb="FF000000"/>
      <name val="Arial MT"/>
      <family val="2"/>
    </font>
    <font>
      <sz val="7"/>
      <name val="Arial MT"/>
    </font>
    <font>
      <sz val="7"/>
      <name val="Arial MT"/>
      <family val="2"/>
    </font>
    <font>
      <sz val="9"/>
      <color rgb="FF000000"/>
      <name val="Arial MT"/>
      <family val="2"/>
    </font>
    <font>
      <sz val="9"/>
      <name val="Arial MT"/>
    </font>
    <font>
      <sz val="9"/>
      <name val="Arial MT"/>
      <family val="2"/>
    </font>
    <font>
      <b/>
      <sz val="7"/>
      <name val="Arial MT"/>
    </font>
    <font>
      <b/>
      <sz val="9"/>
      <name val="Arial MT"/>
    </font>
    <font>
      <b/>
      <sz val="7"/>
      <color rgb="FF000000"/>
      <name val="Arial MT"/>
    </font>
    <font>
      <b/>
      <sz val="12"/>
      <name val="Arial"/>
      <family val="2"/>
    </font>
    <font>
      <b/>
      <sz val="12"/>
      <color theme="1"/>
      <name val="Arial"/>
      <family val="2"/>
    </font>
    <font>
      <sz val="12"/>
      <color theme="1"/>
      <name val="Arial"/>
      <family val="2"/>
    </font>
    <font>
      <b/>
      <sz val="7"/>
      <color rgb="FF000000"/>
      <name val="Century Gothic"/>
      <family val="2"/>
    </font>
    <font>
      <sz val="7"/>
      <color rgb="FF000000"/>
      <name val="Century Gothic"/>
      <family val="2"/>
    </font>
    <font>
      <sz val="7"/>
      <color theme="1"/>
      <name val="Century Gothic"/>
      <family val="2"/>
    </font>
    <font>
      <b/>
      <sz val="8"/>
      <color theme="1"/>
      <name val="Century Gothic"/>
      <family val="2"/>
    </font>
    <font>
      <sz val="7"/>
      <color theme="0"/>
      <name val="Century Gothic"/>
      <family val="2"/>
    </font>
    <font>
      <b/>
      <sz val="7"/>
      <color theme="0"/>
      <name val="Century Gothic"/>
      <family val="2"/>
    </font>
    <font>
      <sz val="11"/>
      <color rgb="FF000000"/>
      <name val="Arial"/>
      <family val="2"/>
    </font>
    <font>
      <sz val="9"/>
      <color theme="1"/>
      <name val="Calibri"/>
      <family val="2"/>
      <scheme val="minor"/>
    </font>
  </fonts>
  <fills count="20">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FF00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4"/>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C6E0B4"/>
        <bgColor indexed="64"/>
      </patternFill>
    </fill>
    <fill>
      <patternFill patternType="solid">
        <fgColor rgb="FF92D050"/>
      </patternFill>
    </fill>
    <fill>
      <patternFill patternType="solid">
        <fgColor theme="9" tint="0.79998168889431442"/>
        <bgColor indexed="64"/>
      </patternFill>
    </fill>
    <fill>
      <patternFill patternType="solid">
        <fgColor theme="9" tint="0.39997558519241921"/>
        <bgColor indexed="64"/>
      </patternFill>
    </fill>
    <fill>
      <patternFill patternType="solid">
        <fgColor rgb="FFC5DFB4"/>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indexed="64"/>
      </left>
      <right style="thin">
        <color indexed="64"/>
      </right>
      <top style="thin">
        <color indexed="64"/>
      </top>
      <bottom style="medium">
        <color indexed="64"/>
      </bottom>
      <diagonal/>
    </border>
  </borders>
  <cellStyleXfs count="6">
    <xf numFmtId="0" fontId="0" fillId="0" borderId="0"/>
    <xf numFmtId="164"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409">
    <xf numFmtId="0" fontId="0" fillId="0" borderId="0" xfId="0"/>
    <xf numFmtId="0" fontId="4" fillId="2" borderId="0" xfId="0" applyFont="1" applyFill="1" applyBorder="1"/>
    <xf numFmtId="0" fontId="4" fillId="2" borderId="0" xfId="0" applyFont="1" applyFill="1" applyBorder="1" applyAlignment="1">
      <alignment wrapText="1"/>
    </xf>
    <xf numFmtId="0" fontId="4" fillId="2" borderId="9" xfId="0" applyFont="1" applyFill="1" applyBorder="1"/>
    <xf numFmtId="0" fontId="4" fillId="2" borderId="5" xfId="0" applyFont="1" applyFill="1" applyBorder="1"/>
    <xf numFmtId="0" fontId="4" fillId="2" borderId="2" xfId="0" applyFont="1" applyFill="1" applyBorder="1"/>
    <xf numFmtId="0" fontId="4" fillId="2" borderId="1" xfId="0" applyFont="1" applyFill="1" applyBorder="1"/>
    <xf numFmtId="0" fontId="8" fillId="2" borderId="1" xfId="0" applyFont="1" applyFill="1" applyBorder="1" applyAlignment="1">
      <alignment vertical="center" wrapText="1"/>
    </xf>
    <xf numFmtId="9" fontId="8" fillId="2" borderId="1" xfId="0" applyNumberFormat="1"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0" fontId="11" fillId="2" borderId="0" xfId="0" applyFont="1" applyFill="1" applyBorder="1"/>
    <xf numFmtId="0" fontId="11" fillId="2" borderId="2" xfId="0" applyFont="1" applyFill="1" applyBorder="1"/>
    <xf numFmtId="0" fontId="11" fillId="2" borderId="1" xfId="0" applyFont="1" applyFill="1" applyBorder="1"/>
    <xf numFmtId="0" fontId="7" fillId="2" borderId="0" xfId="0" applyFont="1" applyFill="1" applyBorder="1" applyAlignment="1">
      <alignment horizontal="center" vertical="center" wrapText="1"/>
    </xf>
    <xf numFmtId="0" fontId="8" fillId="2" borderId="1" xfId="0" applyNumberFormat="1" applyFont="1" applyFill="1" applyBorder="1" applyAlignment="1">
      <alignment horizontal="center" vertical="center" wrapText="1"/>
    </xf>
    <xf numFmtId="0" fontId="4" fillId="2" borderId="8" xfId="0" applyFont="1" applyFill="1" applyBorder="1"/>
    <xf numFmtId="0" fontId="4" fillId="2" borderId="4" xfId="0" applyFont="1" applyFill="1" applyBorder="1"/>
    <xf numFmtId="0" fontId="8" fillId="2" borderId="0" xfId="0" applyFont="1" applyFill="1" applyBorder="1" applyAlignment="1">
      <alignment horizontal="center" wrapText="1"/>
    </xf>
    <xf numFmtId="0" fontId="13" fillId="2" borderId="0" xfId="0" applyFont="1" applyFill="1" applyBorder="1"/>
    <xf numFmtId="0" fontId="13" fillId="2" borderId="0" xfId="0" applyFont="1" applyFill="1" applyBorder="1" applyAlignment="1">
      <alignment wrapText="1"/>
    </xf>
    <xf numFmtId="0" fontId="13" fillId="2" borderId="0" xfId="0" applyFont="1" applyFill="1" applyBorder="1" applyAlignment="1">
      <alignment horizontal="center"/>
    </xf>
    <xf numFmtId="0" fontId="13" fillId="2" borderId="0" xfId="0" applyFont="1" applyFill="1" applyBorder="1" applyAlignment="1">
      <alignment horizontal="center" wrapText="1"/>
    </xf>
    <xf numFmtId="0" fontId="15" fillId="2" borderId="0" xfId="0" applyFont="1" applyFill="1" applyBorder="1" applyAlignment="1">
      <alignment horizontal="center" wrapText="1"/>
    </xf>
    <xf numFmtId="0" fontId="12" fillId="2" borderId="0" xfId="0" applyFont="1" applyFill="1" applyBorder="1" applyAlignment="1">
      <alignment wrapText="1"/>
    </xf>
    <xf numFmtId="0" fontId="4" fillId="2" borderId="2" xfId="0" applyFont="1" applyFill="1" applyBorder="1" applyAlignment="1">
      <alignment wrapText="1"/>
    </xf>
    <xf numFmtId="0" fontId="4" fillId="2" borderId="1" xfId="0" applyFont="1" applyFill="1" applyBorder="1" applyAlignment="1">
      <alignment wrapText="1"/>
    </xf>
    <xf numFmtId="0" fontId="17" fillId="0" borderId="1" xfId="0" applyFont="1" applyBorder="1"/>
    <xf numFmtId="0" fontId="17" fillId="0" borderId="1" xfId="0" applyFont="1" applyBorder="1" applyAlignment="1">
      <alignment horizontal="center"/>
    </xf>
    <xf numFmtId="4" fontId="17" fillId="0" borderId="1" xfId="0" applyNumberFormat="1" applyFont="1" applyBorder="1"/>
    <xf numFmtId="14" fontId="17" fillId="0" borderId="1" xfId="0" applyNumberFormat="1" applyFont="1" applyBorder="1" applyAlignment="1">
      <alignment horizontal="center"/>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3" borderId="1" xfId="0" applyFont="1" applyFill="1" applyBorder="1"/>
    <xf numFmtId="0" fontId="4" fillId="3" borderId="1" xfId="0" applyFont="1" applyFill="1" applyBorder="1"/>
    <xf numFmtId="0" fontId="8" fillId="2" borderId="1" xfId="0" applyFont="1" applyFill="1" applyBorder="1" applyAlignment="1">
      <alignment vertical="center"/>
    </xf>
    <xf numFmtId="0" fontId="17" fillId="3" borderId="1" xfId="0" applyFont="1" applyFill="1" applyBorder="1"/>
    <xf numFmtId="0" fontId="4" fillId="2" borderId="1" xfId="0" applyFont="1" applyFill="1" applyBorder="1" applyAlignment="1">
      <alignment horizontal="center" vertical="center"/>
    </xf>
    <xf numFmtId="0" fontId="4" fillId="2" borderId="1" xfId="0" applyFont="1" applyFill="1" applyBorder="1" applyAlignment="1">
      <alignment horizontal="center"/>
    </xf>
    <xf numFmtId="0" fontId="17" fillId="0" borderId="1" xfId="0" applyFont="1" applyBorder="1" applyAlignment="1">
      <alignment horizontal="center" vertical="center"/>
    </xf>
    <xf numFmtId="164" fontId="8" fillId="2" borderId="1" xfId="0" applyNumberFormat="1" applyFont="1" applyFill="1" applyBorder="1" applyAlignment="1">
      <alignment horizontal="center"/>
    </xf>
    <xf numFmtId="9" fontId="8" fillId="2" borderId="1" xfId="0" applyNumberFormat="1" applyFont="1" applyFill="1" applyBorder="1" applyAlignment="1">
      <alignment horizontal="center"/>
    </xf>
    <xf numFmtId="0" fontId="8" fillId="2" borderId="1" xfId="0" applyFont="1" applyFill="1" applyBorder="1"/>
    <xf numFmtId="14" fontId="4" fillId="2" borderId="1" xfId="0" applyNumberFormat="1" applyFont="1" applyFill="1" applyBorder="1"/>
    <xf numFmtId="14" fontId="8" fillId="2" borderId="1" xfId="0" applyNumberFormat="1" applyFont="1" applyFill="1" applyBorder="1" applyAlignment="1">
      <alignment horizontal="center"/>
    </xf>
    <xf numFmtId="0" fontId="7" fillId="2" borderId="1" xfId="0" applyFont="1" applyFill="1" applyBorder="1" applyAlignment="1">
      <alignment horizontal="center"/>
    </xf>
    <xf numFmtId="0" fontId="8" fillId="0" borderId="1" xfId="0" applyFont="1" applyFill="1" applyBorder="1" applyAlignment="1">
      <alignment horizontal="center"/>
    </xf>
    <xf numFmtId="164" fontId="8" fillId="2" borderId="1" xfId="1" applyFont="1" applyFill="1" applyBorder="1" applyAlignment="1">
      <alignment horizontal="center"/>
    </xf>
    <xf numFmtId="0" fontId="17" fillId="2" borderId="1" xfId="0" applyFont="1" applyFill="1" applyBorder="1" applyAlignment="1">
      <alignment horizontal="center" vertical="center" wrapText="1"/>
    </xf>
    <xf numFmtId="0" fontId="8" fillId="3" borderId="1" xfId="0" applyFont="1" applyFill="1" applyBorder="1" applyAlignment="1">
      <alignment horizontal="center"/>
    </xf>
    <xf numFmtId="49" fontId="7" fillId="2" borderId="1" xfId="0" applyNumberFormat="1" applyFont="1" applyFill="1" applyBorder="1" applyAlignment="1">
      <alignment horizontal="left" vertical="center" wrapText="1"/>
    </xf>
    <xf numFmtId="9" fontId="8" fillId="2" borderId="1" xfId="3" applyFont="1" applyFill="1" applyBorder="1" applyAlignment="1">
      <alignment horizontal="center" vertical="center" wrapText="1"/>
    </xf>
    <xf numFmtId="0" fontId="4" fillId="6" borderId="0" xfId="0" applyFont="1" applyFill="1" applyBorder="1"/>
    <xf numFmtId="0" fontId="8" fillId="6" borderId="1" xfId="0" applyFont="1" applyFill="1" applyBorder="1" applyAlignment="1">
      <alignment horizontal="center" vertical="center" wrapText="1"/>
    </xf>
    <xf numFmtId="0" fontId="4" fillId="6" borderId="2" xfId="0" applyFont="1" applyFill="1" applyBorder="1"/>
    <xf numFmtId="0" fontId="8" fillId="2" borderId="1" xfId="0" applyFont="1" applyFill="1" applyBorder="1" applyAlignment="1">
      <alignment horizontal="center" wrapText="1"/>
    </xf>
    <xf numFmtId="0" fontId="4" fillId="4" borderId="0" xfId="0" applyFont="1" applyFill="1" applyBorder="1"/>
    <xf numFmtId="0" fontId="4" fillId="5" borderId="0" xfId="0" applyFont="1" applyFill="1" applyBorder="1"/>
    <xf numFmtId="0" fontId="4" fillId="8" borderId="0" xfId="0" applyFont="1" applyFill="1" applyBorder="1"/>
    <xf numFmtId="0" fontId="4" fillId="9" borderId="0" xfId="0" applyFont="1" applyFill="1" applyBorder="1"/>
    <xf numFmtId="0" fontId="4" fillId="10" borderId="0" xfId="0" applyFont="1" applyFill="1" applyBorder="1"/>
    <xf numFmtId="14"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14" fontId="17" fillId="0" borderId="1" xfId="0" applyNumberFormat="1" applyFont="1" applyFill="1" applyBorder="1" applyAlignment="1">
      <alignment horizontal="center"/>
    </xf>
    <xf numFmtId="0" fontId="17" fillId="0" borderId="1" xfId="0" applyFont="1" applyFill="1" applyBorder="1" applyAlignment="1">
      <alignment horizontal="center"/>
    </xf>
    <xf numFmtId="4" fontId="17" fillId="0" borderId="1" xfId="0" applyNumberFormat="1" applyFont="1" applyBorder="1" applyAlignment="1">
      <alignment horizontal="center" vertical="center"/>
    </xf>
    <xf numFmtId="49" fontId="7" fillId="2" borderId="7"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49" fontId="7" fillId="2" borderId="7" xfId="0"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left" vertical="center" wrapText="1"/>
    </xf>
    <xf numFmtId="9" fontId="8" fillId="0" borderId="1" xfId="0" applyNumberFormat="1" applyFont="1" applyFill="1" applyBorder="1" applyAlignment="1">
      <alignment horizontal="center"/>
    </xf>
    <xf numFmtId="0" fontId="8" fillId="2" borderId="3" xfId="0" applyFont="1" applyFill="1" applyBorder="1"/>
    <xf numFmtId="0" fontId="8" fillId="3" borderId="3" xfId="0" applyFont="1" applyFill="1" applyBorder="1"/>
    <xf numFmtId="0" fontId="8" fillId="2" borderId="17" xfId="0" applyFont="1" applyFill="1" applyBorder="1" applyAlignment="1">
      <alignment horizontal="center" vertical="center" wrapText="1"/>
    </xf>
    <xf numFmtId="14" fontId="17" fillId="0" borderId="3" xfId="0" applyNumberFormat="1" applyFont="1" applyBorder="1" applyAlignment="1">
      <alignment horizontal="center"/>
    </xf>
    <xf numFmtId="0" fontId="7" fillId="2" borderId="3" xfId="0" applyFont="1" applyFill="1" applyBorder="1" applyAlignment="1">
      <alignment horizontal="center"/>
    </xf>
    <xf numFmtId="14" fontId="8" fillId="2" borderId="3" xfId="0" applyNumberFormat="1" applyFont="1" applyFill="1" applyBorder="1" applyAlignment="1">
      <alignment horizontal="center"/>
    </xf>
    <xf numFmtId="0" fontId="8" fillId="2" borderId="3" xfId="0" applyFont="1" applyFill="1" applyBorder="1" applyAlignment="1">
      <alignment horizontal="center" wrapText="1"/>
    </xf>
    <xf numFmtId="0" fontId="8" fillId="0" borderId="3" xfId="0" applyFont="1" applyBorder="1" applyAlignment="1">
      <alignment horizontal="center"/>
    </xf>
    <xf numFmtId="0" fontId="7" fillId="0" borderId="3" xfId="0" applyFont="1" applyBorder="1" applyAlignment="1">
      <alignment horizontal="center" vertical="center" wrapText="1"/>
    </xf>
    <xf numFmtId="0" fontId="17" fillId="2" borderId="3" xfId="0" applyFont="1" applyFill="1" applyBorder="1" applyAlignment="1">
      <alignment horizontal="center" vertical="center" wrapText="1"/>
    </xf>
    <xf numFmtId="49" fontId="7" fillId="2" borderId="3" xfId="0" applyNumberFormat="1" applyFont="1" applyFill="1" applyBorder="1" applyAlignment="1">
      <alignment horizontal="center" vertical="center" wrapText="1"/>
    </xf>
    <xf numFmtId="9" fontId="21" fillId="2" borderId="3" xfId="0" applyNumberFormat="1" applyFont="1" applyFill="1" applyBorder="1" applyAlignment="1">
      <alignment horizontal="center" wrapText="1"/>
    </xf>
    <xf numFmtId="0" fontId="17" fillId="3" borderId="3" xfId="0" applyFont="1" applyFill="1" applyBorder="1"/>
    <xf numFmtId="0" fontId="0" fillId="0" borderId="3" xfId="0" applyBorder="1" applyAlignment="1">
      <alignment horizontal="center"/>
    </xf>
    <xf numFmtId="9" fontId="8" fillId="2" borderId="3" xfId="0" applyNumberFormat="1" applyFont="1" applyFill="1" applyBorder="1" applyAlignment="1">
      <alignment horizontal="center"/>
    </xf>
    <xf numFmtId="9" fontId="8" fillId="0" borderId="3" xfId="0" applyNumberFormat="1" applyFont="1" applyFill="1" applyBorder="1" applyAlignment="1">
      <alignment horizontal="center"/>
    </xf>
    <xf numFmtId="0" fontId="8" fillId="3" borderId="3" xfId="0" applyFont="1" applyFill="1" applyBorder="1" applyAlignment="1">
      <alignment horizontal="center"/>
    </xf>
    <xf numFmtId="164" fontId="8" fillId="0" borderId="3" xfId="1" applyFont="1" applyFill="1" applyBorder="1" applyAlignment="1">
      <alignment horizontal="center"/>
    </xf>
    <xf numFmtId="0" fontId="17" fillId="0" borderId="3" xfId="0" applyFont="1" applyBorder="1" applyAlignment="1">
      <alignment horizontal="center" vertical="center"/>
    </xf>
    <xf numFmtId="0" fontId="4" fillId="2" borderId="3" xfId="0" applyFont="1" applyFill="1" applyBorder="1" applyAlignment="1">
      <alignment horizontal="center" vertical="center"/>
    </xf>
    <xf numFmtId="0" fontId="9" fillId="2" borderId="3" xfId="0" applyFont="1" applyFill="1" applyBorder="1" applyAlignment="1">
      <alignment horizontal="center"/>
    </xf>
    <xf numFmtId="14" fontId="9" fillId="2" borderId="3" xfId="0" applyNumberFormat="1" applyFont="1" applyFill="1" applyBorder="1" applyAlignment="1">
      <alignment horizontal="center"/>
    </xf>
    <xf numFmtId="0" fontId="4" fillId="3" borderId="3" xfId="0" applyFont="1" applyFill="1" applyBorder="1"/>
    <xf numFmtId="0" fontId="4" fillId="2" borderId="3" xfId="0" applyFont="1" applyFill="1" applyBorder="1" applyAlignment="1">
      <alignment horizontal="center"/>
    </xf>
    <xf numFmtId="166" fontId="8" fillId="2" borderId="3" xfId="1" applyNumberFormat="1" applyFont="1" applyFill="1" applyBorder="1" applyAlignment="1">
      <alignment horizontal="center" vertical="center"/>
    </xf>
    <xf numFmtId="164" fontId="8" fillId="2" borderId="3" xfId="1" applyFont="1" applyFill="1" applyBorder="1" applyAlignment="1">
      <alignment horizontal="center" vertical="center"/>
    </xf>
    <xf numFmtId="14" fontId="17" fillId="2" borderId="3" xfId="0" applyNumberFormat="1" applyFont="1" applyFill="1" applyBorder="1"/>
    <xf numFmtId="0" fontId="8" fillId="2" borderId="3" xfId="0" applyFont="1" applyFill="1" applyBorder="1" applyAlignment="1">
      <alignment vertical="center" wrapText="1"/>
    </xf>
    <xf numFmtId="49" fontId="8" fillId="2" borderId="3" xfId="0" applyNumberFormat="1" applyFont="1" applyFill="1" applyBorder="1" applyAlignment="1">
      <alignment horizontal="center" vertical="center"/>
    </xf>
    <xf numFmtId="14" fontId="17" fillId="2" borderId="3" xfId="0" applyNumberFormat="1" applyFont="1" applyFill="1" applyBorder="1" applyAlignment="1">
      <alignment horizontal="center"/>
    </xf>
    <xf numFmtId="0" fontId="8" fillId="2" borderId="3" xfId="0" applyFont="1" applyFill="1" applyBorder="1" applyAlignment="1">
      <alignment horizontal="left" vertical="center" wrapText="1"/>
    </xf>
    <xf numFmtId="0" fontId="17" fillId="2" borderId="3" xfId="0" applyFont="1" applyFill="1" applyBorder="1" applyAlignment="1">
      <alignment horizontal="center"/>
    </xf>
    <xf numFmtId="14" fontId="8" fillId="2" borderId="3" xfId="0" applyNumberFormat="1" applyFont="1" applyFill="1" applyBorder="1" applyAlignment="1">
      <alignment horizontal="center" vertical="center" wrapText="1"/>
    </xf>
    <xf numFmtId="1" fontId="8" fillId="2" borderId="3" xfId="0" applyNumberFormat="1" applyFont="1" applyFill="1" applyBorder="1" applyAlignment="1">
      <alignment horizontal="left" vertical="center" wrapText="1" indent="10"/>
    </xf>
    <xf numFmtId="9" fontId="8" fillId="2" borderId="3" xfId="3"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3" xfId="0" applyFont="1" applyFill="1" applyBorder="1" applyAlignment="1">
      <alignment horizontal="center" vertical="center"/>
    </xf>
    <xf numFmtId="0" fontId="8" fillId="2" borderId="3" xfId="0" applyFont="1" applyFill="1" applyBorder="1" applyAlignment="1">
      <alignment horizontal="center"/>
    </xf>
    <xf numFmtId="0" fontId="7" fillId="2" borderId="17" xfId="0" applyFont="1" applyFill="1" applyBorder="1" applyAlignment="1">
      <alignment horizontal="center" vertical="center" wrapText="1"/>
    </xf>
    <xf numFmtId="0" fontId="7" fillId="2" borderId="2" xfId="0" applyFont="1" applyFill="1" applyBorder="1" applyAlignment="1">
      <alignment horizontal="center" vertical="center" wrapText="1"/>
    </xf>
    <xf numFmtId="2" fontId="8" fillId="2" borderId="3"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7" xfId="0" applyFont="1" applyFill="1" applyBorder="1" applyAlignment="1">
      <alignment horizontal="center" vertical="center" wrapText="1"/>
    </xf>
    <xf numFmtId="9" fontId="8" fillId="2" borderId="3" xfId="0" applyNumberFormat="1" applyFont="1" applyFill="1" applyBorder="1" applyAlignment="1">
      <alignment horizontal="center" vertical="center" wrapText="1"/>
    </xf>
    <xf numFmtId="0" fontId="8" fillId="7" borderId="3"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7" fillId="0" borderId="2" xfId="0" applyFont="1" applyFill="1" applyBorder="1" applyAlignment="1">
      <alignment horizontal="center" vertical="center" wrapText="1"/>
    </xf>
    <xf numFmtId="0" fontId="17" fillId="0" borderId="3" xfId="0" applyFont="1" applyBorder="1" applyAlignment="1">
      <alignment horizontal="center"/>
    </xf>
    <xf numFmtId="0" fontId="8" fillId="2" borderId="1" xfId="0" applyFont="1" applyFill="1" applyBorder="1" applyAlignment="1">
      <alignment horizontal="center" vertical="center"/>
    </xf>
    <xf numFmtId="0" fontId="8" fillId="2" borderId="1" xfId="0" applyFont="1" applyFill="1" applyBorder="1" applyAlignment="1">
      <alignment horizontal="center"/>
    </xf>
    <xf numFmtId="164" fontId="8" fillId="2" borderId="1" xfId="1" applyFont="1" applyFill="1" applyBorder="1" applyAlignment="1">
      <alignment horizontal="center" vertical="center" wrapText="1"/>
    </xf>
    <xf numFmtId="49" fontId="7" fillId="2" borderId="7"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2" xfId="0" applyFont="1" applyFill="1" applyBorder="1" applyAlignment="1">
      <alignment horizontal="center" vertical="center"/>
    </xf>
    <xf numFmtId="164" fontId="7" fillId="2" borderId="2" xfId="0" applyNumberFormat="1" applyFont="1" applyFill="1" applyBorder="1" applyAlignment="1">
      <alignment horizontal="center" vertical="center" wrapText="1"/>
    </xf>
    <xf numFmtId="10" fontId="8" fillId="2" borderId="1" xfId="3" applyNumberFormat="1" applyFont="1" applyFill="1" applyBorder="1" applyAlignment="1">
      <alignment horizontal="center" vertical="center" wrapText="1"/>
    </xf>
    <xf numFmtId="49" fontId="7" fillId="2" borderId="3" xfId="0" applyNumberFormat="1" applyFont="1" applyFill="1" applyBorder="1" applyAlignment="1">
      <alignment horizontal="left" vertical="center" wrapText="1"/>
    </xf>
    <xf numFmtId="14" fontId="7" fillId="2" borderId="3" xfId="0" applyNumberFormat="1" applyFont="1" applyFill="1" applyBorder="1" applyAlignment="1">
      <alignment horizontal="left" vertical="center" wrapText="1"/>
    </xf>
    <xf numFmtId="49" fontId="10" fillId="2" borderId="3" xfId="0" applyNumberFormat="1" applyFont="1" applyFill="1" applyBorder="1" applyAlignment="1">
      <alignment horizontal="left" vertical="center" wrapText="1"/>
    </xf>
    <xf numFmtId="49" fontId="6" fillId="2" borderId="3" xfId="0" applyNumberFormat="1" applyFont="1" applyFill="1" applyBorder="1" applyAlignment="1">
      <alignment horizontal="left" vertical="center" wrapText="1"/>
    </xf>
    <xf numFmtId="49" fontId="16" fillId="2" borderId="3" xfId="0" applyNumberFormat="1" applyFont="1" applyFill="1" applyBorder="1" applyAlignment="1">
      <alignment horizontal="left" vertical="center" wrapText="1"/>
    </xf>
    <xf numFmtId="49" fontId="7" fillId="11" borderId="3" xfId="0" applyNumberFormat="1" applyFont="1" applyFill="1" applyBorder="1" applyAlignment="1">
      <alignment horizontal="left" vertical="center" wrapText="1"/>
    </xf>
    <xf numFmtId="49" fontId="7" fillId="6" borderId="3" xfId="0" applyNumberFormat="1" applyFont="1" applyFill="1" applyBorder="1" applyAlignment="1">
      <alignment horizontal="left" vertical="center" wrapText="1"/>
    </xf>
    <xf numFmtId="0" fontId="6" fillId="2" borderId="3" xfId="0" applyFont="1" applyFill="1" applyBorder="1" applyAlignment="1">
      <alignment horizontal="center" vertical="top" wrapText="1"/>
    </xf>
    <xf numFmtId="0" fontId="7" fillId="2" borderId="3" xfId="0" applyFont="1" applyFill="1" applyBorder="1" applyAlignment="1">
      <alignment horizontal="left" vertical="center"/>
    </xf>
    <xf numFmtId="0" fontId="7" fillId="2" borderId="3" xfId="0" applyFont="1" applyFill="1" applyBorder="1" applyAlignment="1">
      <alignment vertical="center" wrapText="1"/>
    </xf>
    <xf numFmtId="0" fontId="6" fillId="2" borderId="3"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2" xfId="0" applyFont="1" applyFill="1" applyBorder="1" applyAlignment="1">
      <alignment horizontal="center" vertical="center"/>
    </xf>
    <xf numFmtId="0" fontId="8" fillId="2" borderId="22" xfId="0" applyFont="1" applyFill="1" applyBorder="1" applyAlignment="1">
      <alignment vertical="center" wrapText="1"/>
    </xf>
    <xf numFmtId="41" fontId="8" fillId="2" borderId="22" xfId="2" applyFont="1" applyFill="1" applyBorder="1" applyAlignment="1">
      <alignment horizontal="center" vertical="center" wrapText="1"/>
    </xf>
    <xf numFmtId="49" fontId="17" fillId="2" borderId="22" xfId="0" applyNumberFormat="1" applyFont="1" applyFill="1" applyBorder="1" applyAlignment="1">
      <alignment horizontal="center" vertical="center"/>
    </xf>
    <xf numFmtId="14" fontId="17" fillId="2" borderId="22" xfId="0" applyNumberFormat="1" applyFont="1" applyFill="1" applyBorder="1" applyAlignment="1">
      <alignment horizontal="center" vertical="center"/>
    </xf>
    <xf numFmtId="14" fontId="8" fillId="2" borderId="22" xfId="0" applyNumberFormat="1" applyFont="1" applyFill="1" applyBorder="1" applyAlignment="1">
      <alignment horizontal="center" vertical="center" wrapText="1"/>
    </xf>
    <xf numFmtId="164" fontId="8" fillId="2" borderId="22" xfId="1" applyFont="1" applyFill="1" applyBorder="1" applyAlignment="1">
      <alignment horizontal="center" vertical="center" wrapText="1"/>
    </xf>
    <xf numFmtId="0" fontId="8" fillId="2" borderId="22" xfId="0" applyFont="1" applyFill="1" applyBorder="1" applyAlignment="1">
      <alignment horizontal="left" vertical="center" wrapText="1"/>
    </xf>
    <xf numFmtId="14" fontId="17" fillId="2" borderId="22" xfId="0" applyNumberFormat="1" applyFont="1" applyFill="1" applyBorder="1" applyAlignment="1">
      <alignment horizontal="center"/>
    </xf>
    <xf numFmtId="0" fontId="17" fillId="2" borderId="22" xfId="0" applyFont="1" applyFill="1" applyBorder="1" applyAlignment="1">
      <alignment horizontal="center"/>
    </xf>
    <xf numFmtId="0" fontId="8" fillId="2" borderId="22" xfId="0" applyFont="1" applyFill="1" applyBorder="1" applyAlignment="1">
      <alignment horizontal="center"/>
    </xf>
    <xf numFmtId="14" fontId="17" fillId="0" borderId="22" xfId="0" applyNumberFormat="1" applyFont="1" applyBorder="1" applyAlignment="1">
      <alignment horizontal="center"/>
    </xf>
    <xf numFmtId="0" fontId="8" fillId="3" borderId="22" xfId="0" applyFont="1" applyFill="1" applyBorder="1" applyAlignment="1">
      <alignment horizontal="center" vertical="center" wrapText="1"/>
    </xf>
    <xf numFmtId="0" fontId="17" fillId="0" borderId="22" xfId="0" applyFont="1" applyBorder="1"/>
    <xf numFmtId="0" fontId="8" fillId="0" borderId="22"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17" fillId="2" borderId="22" xfId="0" applyFont="1" applyFill="1" applyBorder="1" applyAlignment="1">
      <alignment horizontal="center" vertical="center" wrapText="1"/>
    </xf>
    <xf numFmtId="0" fontId="16" fillId="2" borderId="22" xfId="0" applyFont="1" applyFill="1" applyBorder="1" applyAlignment="1">
      <alignment horizontal="center" vertical="center" wrapText="1"/>
    </xf>
    <xf numFmtId="49" fontId="7" fillId="2"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8" fillId="2" borderId="22" xfId="0" applyNumberFormat="1" applyFont="1" applyFill="1" applyBorder="1" applyAlignment="1">
      <alignment horizontal="center" vertical="center"/>
    </xf>
    <xf numFmtId="9" fontId="8" fillId="2" borderId="22" xfId="0" applyNumberFormat="1" applyFont="1" applyFill="1" applyBorder="1" applyAlignment="1">
      <alignment horizontal="center" vertical="center" wrapText="1"/>
    </xf>
    <xf numFmtId="0" fontId="8" fillId="6" borderId="22" xfId="0" applyFont="1" applyFill="1" applyBorder="1" applyAlignment="1">
      <alignment horizontal="center" vertical="center" wrapText="1"/>
    </xf>
    <xf numFmtId="0" fontId="19" fillId="2" borderId="22" xfId="0" applyFont="1" applyFill="1" applyBorder="1" applyAlignment="1">
      <alignment horizontal="center" vertical="center" wrapText="1"/>
    </xf>
    <xf numFmtId="0" fontId="16" fillId="3" borderId="22" xfId="0" applyNumberFormat="1" applyFont="1" applyFill="1" applyBorder="1" applyAlignment="1">
      <alignment horizontal="center" vertical="center" wrapText="1"/>
    </xf>
    <xf numFmtId="1" fontId="8" fillId="2" borderId="22" xfId="0" applyNumberFormat="1" applyFont="1" applyFill="1" applyBorder="1" applyAlignment="1">
      <alignment horizontal="center" vertical="center" wrapText="1"/>
    </xf>
    <xf numFmtId="164" fontId="7" fillId="2" borderId="22" xfId="1" applyFont="1" applyFill="1" applyBorder="1" applyAlignment="1">
      <alignment horizontal="center" vertical="center" wrapText="1"/>
    </xf>
    <xf numFmtId="2" fontId="8" fillId="2" borderId="22" xfId="0" applyNumberFormat="1" applyFont="1" applyFill="1" applyBorder="1" applyAlignment="1">
      <alignment horizontal="center" vertical="center" wrapText="1"/>
    </xf>
    <xf numFmtId="0" fontId="17" fillId="0" borderId="22" xfId="0" applyFont="1" applyBorder="1" applyAlignment="1">
      <alignment horizontal="center"/>
    </xf>
    <xf numFmtId="2" fontId="7" fillId="2" borderId="22" xfId="0" applyNumberFormat="1" applyFont="1" applyFill="1" applyBorder="1" applyAlignment="1">
      <alignment horizontal="center" vertical="center" wrapText="1"/>
    </xf>
    <xf numFmtId="4" fontId="17" fillId="0" borderId="22" xfId="0" applyNumberFormat="1" applyFont="1" applyBorder="1" applyAlignment="1">
      <alignment horizontal="center"/>
    </xf>
    <xf numFmtId="0" fontId="7" fillId="2" borderId="22" xfId="0" applyNumberFormat="1" applyFont="1" applyFill="1" applyBorder="1" applyAlignment="1">
      <alignment horizontal="center" vertical="center" wrapText="1"/>
    </xf>
    <xf numFmtId="0" fontId="8" fillId="2"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164" fontId="7" fillId="2" borderId="22" xfId="0" applyNumberFormat="1" applyFont="1" applyFill="1" applyBorder="1" applyAlignment="1">
      <alignment horizontal="center" vertical="center" wrapText="1"/>
    </xf>
    <xf numFmtId="0" fontId="7" fillId="2" borderId="22" xfId="0" applyFont="1" applyFill="1" applyBorder="1" applyAlignment="1">
      <alignment horizontal="center" vertical="center"/>
    </xf>
    <xf numFmtId="10" fontId="7" fillId="2" borderId="3" xfId="3" applyNumberFormat="1" applyFont="1" applyFill="1" applyBorder="1" applyAlignment="1">
      <alignment horizontal="left" vertical="center" wrapText="1"/>
    </xf>
    <xf numFmtId="10" fontId="4" fillId="2" borderId="0" xfId="3" applyNumberFormat="1" applyFont="1" applyFill="1" applyBorder="1"/>
    <xf numFmtId="10" fontId="4" fillId="2" borderId="2" xfId="3" applyNumberFormat="1" applyFont="1" applyFill="1" applyBorder="1"/>
    <xf numFmtId="49" fontId="7" fillId="5" borderId="3" xfId="0" applyNumberFormat="1" applyFont="1" applyFill="1" applyBorder="1" applyAlignment="1">
      <alignment horizontal="left" vertical="center" wrapText="1"/>
    </xf>
    <xf numFmtId="0" fontId="8" fillId="5" borderId="22" xfId="0" applyFont="1" applyFill="1" applyBorder="1" applyAlignment="1">
      <alignment horizontal="center" vertical="center" wrapText="1"/>
    </xf>
    <xf numFmtId="0" fontId="4" fillId="5" borderId="2" xfId="0" applyFont="1" applyFill="1" applyBorder="1"/>
    <xf numFmtId="0" fontId="4" fillId="2" borderId="28" xfId="0" applyFont="1" applyFill="1" applyBorder="1" applyAlignment="1">
      <alignment horizontal="center" vertical="center"/>
    </xf>
    <xf numFmtId="0" fontId="7" fillId="3" borderId="27"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7" xfId="0" applyFont="1" applyFill="1" applyBorder="1" applyAlignment="1">
      <alignment horizontal="center" vertical="center"/>
    </xf>
    <xf numFmtId="0" fontId="8" fillId="2" borderId="27" xfId="0" applyFont="1" applyFill="1" applyBorder="1" applyAlignment="1">
      <alignment vertical="center" wrapText="1"/>
    </xf>
    <xf numFmtId="0" fontId="8" fillId="2" borderId="30" xfId="0" applyFont="1" applyFill="1" applyBorder="1" applyAlignment="1">
      <alignment horizontal="center" vertical="center" wrapText="1"/>
    </xf>
    <xf numFmtId="41" fontId="8" fillId="2" borderId="27" xfId="2" applyFont="1" applyFill="1" applyBorder="1" applyAlignment="1">
      <alignment horizontal="center" vertical="center" wrapText="1"/>
    </xf>
    <xf numFmtId="14" fontId="17" fillId="2" borderId="27" xfId="0" applyNumberFormat="1" applyFont="1" applyFill="1" applyBorder="1"/>
    <xf numFmtId="14" fontId="17" fillId="2" borderId="27" xfId="0" applyNumberFormat="1" applyFont="1" applyFill="1" applyBorder="1" applyAlignment="1">
      <alignment horizontal="right"/>
    </xf>
    <xf numFmtId="0" fontId="8" fillId="2" borderId="27" xfId="0" applyFont="1" applyFill="1" applyBorder="1" applyAlignment="1">
      <alignment horizontal="right" vertical="center" wrapText="1"/>
    </xf>
    <xf numFmtId="49" fontId="17" fillId="2" borderId="27" xfId="0" applyNumberFormat="1" applyFont="1" applyFill="1" applyBorder="1" applyAlignment="1">
      <alignment horizontal="center" vertical="center"/>
    </xf>
    <xf numFmtId="14" fontId="17" fillId="2" borderId="27" xfId="0" applyNumberFormat="1" applyFont="1" applyFill="1" applyBorder="1" applyAlignment="1">
      <alignment horizontal="center" vertical="center"/>
    </xf>
    <xf numFmtId="14" fontId="8" fillId="2" borderId="27" xfId="0" applyNumberFormat="1" applyFont="1" applyFill="1" applyBorder="1" applyAlignment="1">
      <alignment horizontal="center" vertical="center" wrapText="1"/>
    </xf>
    <xf numFmtId="164" fontId="8" fillId="2" borderId="27" xfId="1" applyFont="1" applyFill="1" applyBorder="1" applyAlignment="1">
      <alignment horizontal="center" vertical="center" wrapText="1"/>
    </xf>
    <xf numFmtId="0" fontId="8" fillId="2" borderId="27" xfId="0" applyFont="1" applyFill="1" applyBorder="1" applyAlignment="1">
      <alignment horizontal="left" vertical="center" wrapText="1"/>
    </xf>
    <xf numFmtId="14" fontId="17" fillId="2" borderId="27" xfId="0" applyNumberFormat="1" applyFont="1" applyFill="1" applyBorder="1" applyAlignment="1">
      <alignment horizontal="center"/>
    </xf>
    <xf numFmtId="0" fontId="17" fillId="2" borderId="27" xfId="0" applyFont="1" applyFill="1" applyBorder="1" applyAlignment="1">
      <alignment horizontal="center"/>
    </xf>
    <xf numFmtId="0" fontId="8" fillId="2" borderId="27" xfId="0" applyFont="1" applyFill="1" applyBorder="1" applyAlignment="1">
      <alignment horizontal="center"/>
    </xf>
    <xf numFmtId="14" fontId="17" fillId="0" borderId="27" xfId="0" applyNumberFormat="1" applyFont="1" applyBorder="1" applyAlignment="1">
      <alignment horizontal="center"/>
    </xf>
    <xf numFmtId="0" fontId="8" fillId="3" borderId="27" xfId="0" applyFont="1" applyFill="1" applyBorder="1" applyAlignment="1">
      <alignment horizontal="center" vertical="center" wrapText="1"/>
    </xf>
    <xf numFmtId="0" fontId="17" fillId="0" borderId="27" xfId="0" applyFont="1" applyBorder="1"/>
    <xf numFmtId="0" fontId="8" fillId="0" borderId="27" xfId="0" applyFont="1" applyFill="1" applyBorder="1" applyAlignment="1">
      <alignment horizontal="center" vertical="center" wrapText="1"/>
    </xf>
    <xf numFmtId="0" fontId="7" fillId="0" borderId="27"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17" fillId="2" borderId="27" xfId="0" applyFont="1" applyFill="1" applyBorder="1" applyAlignment="1">
      <alignment horizontal="center" vertical="center" wrapText="1"/>
    </xf>
    <xf numFmtId="0" fontId="16" fillId="2" borderId="27" xfId="0" applyFont="1" applyFill="1" applyBorder="1" applyAlignment="1">
      <alignment horizontal="center" vertical="center" wrapText="1"/>
    </xf>
    <xf numFmtId="49" fontId="7" fillId="2" borderId="27" xfId="0" applyNumberFormat="1" applyFont="1" applyFill="1" applyBorder="1" applyAlignment="1">
      <alignment horizontal="center" vertical="center" wrapText="1"/>
    </xf>
    <xf numFmtId="1" fontId="7" fillId="2" borderId="27" xfId="0" applyNumberFormat="1" applyFont="1" applyFill="1" applyBorder="1" applyAlignment="1">
      <alignment horizontal="center" vertical="center" wrapText="1"/>
    </xf>
    <xf numFmtId="1" fontId="8" fillId="2" borderId="27" xfId="0" applyNumberFormat="1" applyFont="1" applyFill="1" applyBorder="1" applyAlignment="1">
      <alignment horizontal="center" vertical="center"/>
    </xf>
    <xf numFmtId="9" fontId="8" fillId="2" borderId="27" xfId="0" applyNumberFormat="1" applyFont="1" applyFill="1" applyBorder="1" applyAlignment="1">
      <alignment horizontal="center" vertical="center" wrapText="1"/>
    </xf>
    <xf numFmtId="0" fontId="8" fillId="6" borderId="27" xfId="0" applyFont="1" applyFill="1" applyBorder="1" applyAlignment="1">
      <alignment horizontal="center" vertical="center" wrapText="1"/>
    </xf>
    <xf numFmtId="0" fontId="7" fillId="5" borderId="27" xfId="0" applyFont="1" applyFill="1" applyBorder="1" applyAlignment="1">
      <alignment horizontal="center" vertical="center" wrapText="1"/>
    </xf>
    <xf numFmtId="9" fontId="8" fillId="2" borderId="17" xfId="3" applyFont="1" applyFill="1" applyBorder="1" applyAlignment="1">
      <alignment horizontal="center" vertical="center" wrapText="1"/>
    </xf>
    <xf numFmtId="9" fontId="8" fillId="5" borderId="27" xfId="0" applyNumberFormat="1" applyFont="1" applyFill="1" applyBorder="1" applyAlignment="1">
      <alignment horizontal="center" vertical="center" wrapText="1"/>
    </xf>
    <xf numFmtId="0" fontId="8" fillId="5" borderId="27" xfId="0" applyFont="1" applyFill="1" applyBorder="1" applyAlignment="1">
      <alignment horizontal="center" vertical="center" wrapText="1"/>
    </xf>
    <xf numFmtId="10" fontId="8" fillId="2" borderId="17" xfId="3" applyNumberFormat="1" applyFont="1" applyFill="1" applyBorder="1" applyAlignment="1">
      <alignment horizontal="center" vertical="center" wrapText="1"/>
    </xf>
    <xf numFmtId="10" fontId="8" fillId="5" borderId="27" xfId="0" applyNumberFormat="1" applyFont="1" applyFill="1" applyBorder="1" applyAlignment="1">
      <alignment horizontal="center" vertical="center" wrapText="1"/>
    </xf>
    <xf numFmtId="0" fontId="16" fillId="3" borderId="27" xfId="0" applyNumberFormat="1" applyFont="1" applyFill="1" applyBorder="1" applyAlignment="1">
      <alignment horizontal="center" vertical="center" wrapText="1"/>
    </xf>
    <xf numFmtId="1" fontId="8" fillId="2" borderId="27" xfId="0" applyNumberFormat="1" applyFont="1" applyFill="1" applyBorder="1" applyAlignment="1">
      <alignment horizontal="center" vertical="center" wrapText="1"/>
    </xf>
    <xf numFmtId="4" fontId="17" fillId="0" borderId="27" xfId="0" applyNumberFormat="1" applyFont="1" applyBorder="1"/>
    <xf numFmtId="0" fontId="17" fillId="0" borderId="27" xfId="0" applyFont="1" applyBorder="1" applyAlignment="1">
      <alignment vertical="center"/>
    </xf>
    <xf numFmtId="164" fontId="8" fillId="2" borderId="27" xfId="0" applyNumberFormat="1" applyFont="1" applyFill="1" applyBorder="1" applyAlignment="1">
      <alignment horizontal="center"/>
    </xf>
    <xf numFmtId="164" fontId="7" fillId="2" borderId="27" xfId="1" applyFont="1" applyFill="1" applyBorder="1" applyAlignment="1">
      <alignment horizontal="center" vertical="center" wrapText="1"/>
    </xf>
    <xf numFmtId="2" fontId="8" fillId="2" borderId="27" xfId="0" applyNumberFormat="1" applyFont="1" applyFill="1" applyBorder="1" applyAlignment="1">
      <alignment horizontal="center" vertical="center" wrapText="1"/>
    </xf>
    <xf numFmtId="0" fontId="17" fillId="0" borderId="27" xfId="0" applyFont="1" applyBorder="1" applyAlignment="1">
      <alignment horizontal="center"/>
    </xf>
    <xf numFmtId="2" fontId="7" fillId="2" borderId="27" xfId="0" applyNumberFormat="1" applyFont="1" applyFill="1" applyBorder="1" applyAlignment="1">
      <alignment horizontal="center" vertical="center" wrapText="1"/>
    </xf>
    <xf numFmtId="4" fontId="17" fillId="0" borderId="27" xfId="0" applyNumberFormat="1" applyFont="1" applyBorder="1" applyAlignment="1">
      <alignment horizontal="center"/>
    </xf>
    <xf numFmtId="0" fontId="7" fillId="2" borderId="27" xfId="0" applyNumberFormat="1" applyFont="1" applyFill="1" applyBorder="1" applyAlignment="1">
      <alignment horizontal="center" vertical="center" wrapText="1"/>
    </xf>
    <xf numFmtId="0" fontId="8" fillId="2" borderId="27"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wrapText="1"/>
    </xf>
    <xf numFmtId="164" fontId="7" fillId="2" borderId="27" xfId="0" applyNumberFormat="1" applyFont="1" applyFill="1" applyBorder="1" applyAlignment="1">
      <alignment horizontal="center" vertical="center" wrapText="1"/>
    </xf>
    <xf numFmtId="0" fontId="7" fillId="2" borderId="27" xfId="0" applyFont="1" applyFill="1" applyBorder="1" applyAlignment="1">
      <alignment horizontal="center" vertical="center"/>
    </xf>
    <xf numFmtId="0" fontId="17" fillId="0" borderId="7" xfId="0" applyFont="1" applyBorder="1" applyAlignment="1">
      <alignment horizontal="center"/>
    </xf>
    <xf numFmtId="0" fontId="17" fillId="0" borderId="33" xfId="0" applyFont="1" applyBorder="1" applyAlignment="1">
      <alignment horizontal="center"/>
    </xf>
    <xf numFmtId="0" fontId="7" fillId="3" borderId="7" xfId="0" applyFont="1" applyFill="1" applyBorder="1" applyAlignment="1">
      <alignment horizontal="center" vertical="center" wrapText="1"/>
    </xf>
    <xf numFmtId="0" fontId="8" fillId="3" borderId="33" xfId="0" applyFont="1" applyFill="1" applyBorder="1"/>
    <xf numFmtId="0" fontId="8" fillId="2" borderId="7" xfId="0" applyFont="1" applyFill="1" applyBorder="1" applyAlignment="1">
      <alignment horizontal="center" vertical="center" wrapText="1"/>
    </xf>
    <xf numFmtId="0" fontId="8" fillId="2" borderId="33" xfId="0" applyFont="1" applyFill="1" applyBorder="1" applyAlignment="1">
      <alignment vertical="center"/>
    </xf>
    <xf numFmtId="14" fontId="8" fillId="2" borderId="7" xfId="0" applyNumberFormat="1" applyFont="1" applyFill="1" applyBorder="1" applyAlignment="1">
      <alignment horizontal="center" vertical="center" wrapText="1"/>
    </xf>
    <xf numFmtId="0" fontId="8" fillId="2" borderId="7" xfId="0" applyFont="1" applyFill="1" applyBorder="1" applyAlignment="1">
      <alignment vertical="center" wrapText="1"/>
    </xf>
    <xf numFmtId="0" fontId="8" fillId="2" borderId="33" xfId="0" applyFont="1" applyFill="1" applyBorder="1" applyAlignment="1">
      <alignment vertical="center" wrapText="1"/>
    </xf>
    <xf numFmtId="0" fontId="8" fillId="2" borderId="33"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33" xfId="0" applyFont="1" applyFill="1" applyBorder="1" applyAlignment="1">
      <alignment horizontal="center"/>
    </xf>
    <xf numFmtId="14" fontId="17" fillId="0" borderId="7" xfId="0" applyNumberFormat="1" applyFont="1" applyBorder="1" applyAlignment="1">
      <alignment horizontal="center"/>
    </xf>
    <xf numFmtId="14" fontId="17" fillId="0" borderId="33" xfId="0" applyNumberFormat="1" applyFont="1" applyBorder="1" applyAlignment="1">
      <alignment horizontal="center"/>
    </xf>
    <xf numFmtId="0" fontId="8" fillId="2" borderId="33" xfId="0" applyFont="1" applyFill="1" applyBorder="1" applyAlignment="1">
      <alignment horizontal="center" vertical="center"/>
    </xf>
    <xf numFmtId="0" fontId="8" fillId="2" borderId="33" xfId="0" applyFont="1" applyFill="1" applyBorder="1"/>
    <xf numFmtId="0" fontId="7" fillId="2" borderId="33" xfId="0" applyFont="1" applyFill="1" applyBorder="1" applyAlignment="1">
      <alignment horizontal="center"/>
    </xf>
    <xf numFmtId="0" fontId="8" fillId="3" borderId="7" xfId="0" applyFont="1" applyFill="1" applyBorder="1" applyAlignment="1">
      <alignment horizontal="center" vertical="center" wrapText="1"/>
    </xf>
    <xf numFmtId="0" fontId="17" fillId="0" borderId="7" xfId="0" applyFont="1" applyBorder="1"/>
    <xf numFmtId="14" fontId="8" fillId="2" borderId="33" xfId="0" applyNumberFormat="1" applyFont="1" applyFill="1" applyBorder="1" applyAlignment="1">
      <alignment horizontal="center"/>
    </xf>
    <xf numFmtId="0" fontId="8" fillId="2" borderId="7" xfId="0" applyFont="1" applyFill="1" applyBorder="1" applyAlignment="1">
      <alignment horizontal="center"/>
    </xf>
    <xf numFmtId="14" fontId="8" fillId="2" borderId="7" xfId="0" applyNumberFormat="1" applyFont="1" applyFill="1" applyBorder="1" applyAlignment="1">
      <alignment horizontal="center"/>
    </xf>
    <xf numFmtId="0" fontId="8" fillId="0" borderId="7" xfId="0" applyFont="1" applyFill="1" applyBorder="1" applyAlignment="1">
      <alignment horizontal="center"/>
    </xf>
    <xf numFmtId="0" fontId="8" fillId="0" borderId="33" xfId="0" applyFont="1" applyFill="1" applyBorder="1" applyAlignment="1">
      <alignment horizontal="center"/>
    </xf>
    <xf numFmtId="0" fontId="7" fillId="0" borderId="7"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33" xfId="0"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0" fontId="17" fillId="0" borderId="33" xfId="0" applyFont="1" applyBorder="1"/>
    <xf numFmtId="0" fontId="7" fillId="2" borderId="33" xfId="0" applyFont="1" applyFill="1" applyBorder="1" applyAlignment="1">
      <alignment horizontal="center" vertical="center" wrapText="1"/>
    </xf>
    <xf numFmtId="1" fontId="7" fillId="2" borderId="7" xfId="0" applyNumberFormat="1" applyFont="1" applyFill="1" applyBorder="1" applyAlignment="1">
      <alignment horizontal="center" vertical="center" wrapText="1"/>
    </xf>
    <xf numFmtId="0" fontId="8" fillId="2" borderId="7" xfId="0" applyFont="1" applyFill="1" applyBorder="1" applyAlignment="1">
      <alignment horizontal="center" vertical="center"/>
    </xf>
    <xf numFmtId="0" fontId="8" fillId="2" borderId="33" xfId="0" applyFont="1" applyFill="1" applyBorder="1" applyAlignment="1">
      <alignment horizontal="center" vertical="center"/>
    </xf>
    <xf numFmtId="0" fontId="8" fillId="2" borderId="7" xfId="0" applyFont="1" applyFill="1" applyBorder="1" applyAlignment="1">
      <alignment horizontal="center"/>
    </xf>
    <xf numFmtId="0" fontId="8" fillId="2" borderId="33" xfId="0" applyFont="1" applyFill="1" applyBorder="1" applyAlignment="1">
      <alignment horizontal="center"/>
    </xf>
    <xf numFmtId="9" fontId="8" fillId="2" borderId="7" xfId="0" applyNumberFormat="1" applyFont="1" applyFill="1" applyBorder="1" applyAlignment="1">
      <alignment horizontal="center" vertical="center" wrapText="1"/>
    </xf>
    <xf numFmtId="9" fontId="8" fillId="2" borderId="33" xfId="0" applyNumberFormat="1"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34" xfId="0" applyFont="1" applyFill="1" applyBorder="1" applyAlignment="1">
      <alignment horizontal="center" vertical="center" wrapText="1"/>
    </xf>
    <xf numFmtId="9" fontId="8" fillId="2" borderId="7" xfId="3" applyFont="1" applyFill="1" applyBorder="1" applyAlignment="1">
      <alignment horizontal="center" vertical="center" wrapText="1"/>
    </xf>
    <xf numFmtId="9" fontId="8" fillId="2" borderId="33" xfId="3" applyFont="1" applyFill="1" applyBorder="1" applyAlignment="1">
      <alignment horizontal="center" vertical="center" wrapText="1"/>
    </xf>
    <xf numFmtId="9" fontId="8" fillId="5" borderId="27" xfId="0" applyNumberFormat="1" applyFont="1" applyFill="1" applyBorder="1" applyAlignment="1">
      <alignment horizontal="center" vertical="center" wrapText="1"/>
    </xf>
    <xf numFmtId="10" fontId="8" fillId="2" borderId="7" xfId="3" applyNumberFormat="1" applyFont="1" applyFill="1" applyBorder="1" applyAlignment="1">
      <alignment horizontal="center" vertical="center" wrapText="1"/>
    </xf>
    <xf numFmtId="10" fontId="8" fillId="2" borderId="33" xfId="3" applyNumberFormat="1" applyFont="1" applyFill="1" applyBorder="1" applyAlignment="1">
      <alignment horizontal="center" vertical="center" wrapText="1"/>
    </xf>
    <xf numFmtId="164" fontId="8" fillId="2" borderId="7" xfId="1" applyFont="1" applyFill="1" applyBorder="1" applyAlignment="1">
      <alignment horizontal="center" vertical="center" wrapText="1"/>
    </xf>
    <xf numFmtId="164" fontId="8" fillId="2" borderId="33" xfId="1" applyFont="1" applyFill="1" applyBorder="1" applyAlignment="1">
      <alignment horizontal="center" vertical="center" wrapText="1"/>
    </xf>
    <xf numFmtId="0" fontId="7" fillId="2" borderId="33" xfId="0" applyFont="1" applyFill="1" applyBorder="1" applyAlignment="1">
      <alignment horizontal="center" vertical="center" wrapText="1"/>
    </xf>
    <xf numFmtId="0" fontId="16" fillId="3" borderId="7" xfId="0" applyNumberFormat="1" applyFont="1" applyFill="1" applyBorder="1" applyAlignment="1">
      <alignment horizontal="center" vertical="center" wrapText="1"/>
    </xf>
    <xf numFmtId="0" fontId="17" fillId="3" borderId="33" xfId="0" applyFont="1" applyFill="1" applyBorder="1"/>
    <xf numFmtId="9" fontId="8" fillId="2" borderId="33" xfId="0" applyNumberFormat="1" applyFont="1" applyFill="1" applyBorder="1" applyAlignment="1">
      <alignment horizontal="center"/>
    </xf>
    <xf numFmtId="1" fontId="8" fillId="2" borderId="7" xfId="0" applyNumberFormat="1" applyFont="1" applyFill="1" applyBorder="1" applyAlignment="1">
      <alignment horizontal="center" vertical="center" wrapText="1"/>
    </xf>
    <xf numFmtId="4" fontId="17" fillId="0" borderId="7" xfId="0" applyNumberFormat="1" applyFont="1" applyBorder="1"/>
    <xf numFmtId="0" fontId="8" fillId="3" borderId="33" xfId="0" applyFont="1" applyFill="1" applyBorder="1" applyAlignment="1">
      <alignment horizontal="center"/>
    </xf>
    <xf numFmtId="0" fontId="17" fillId="0" borderId="7" xfId="0" applyFont="1" applyBorder="1" applyAlignment="1">
      <alignment vertical="center"/>
    </xf>
    <xf numFmtId="4" fontId="17" fillId="0" borderId="33" xfId="0" applyNumberFormat="1" applyFont="1" applyBorder="1"/>
    <xf numFmtId="164" fontId="7" fillId="2" borderId="33" xfId="1" applyFont="1" applyFill="1" applyBorder="1" applyAlignment="1">
      <alignment horizontal="center" vertical="center" wrapText="1"/>
    </xf>
    <xf numFmtId="2" fontId="8" fillId="2" borderId="33" xfId="0" applyNumberFormat="1" applyFont="1" applyFill="1" applyBorder="1" applyAlignment="1">
      <alignment horizontal="center" vertical="center" wrapText="1"/>
    </xf>
    <xf numFmtId="164" fontId="7" fillId="2" borderId="7" xfId="1" applyFont="1" applyFill="1" applyBorder="1" applyAlignment="1">
      <alignment horizontal="center" vertical="center" wrapText="1"/>
    </xf>
    <xf numFmtId="2" fontId="8" fillId="2" borderId="7" xfId="0" applyNumberFormat="1" applyFont="1" applyFill="1" applyBorder="1" applyAlignment="1">
      <alignment horizontal="center" vertical="center" wrapText="1"/>
    </xf>
    <xf numFmtId="2" fontId="7" fillId="2" borderId="7" xfId="0" applyNumberFormat="1" applyFont="1" applyFill="1" applyBorder="1" applyAlignment="1">
      <alignment horizontal="center" vertical="center" wrapText="1"/>
    </xf>
    <xf numFmtId="4" fontId="17" fillId="0" borderId="7" xfId="0" applyNumberFormat="1" applyFont="1" applyBorder="1" applyAlignment="1">
      <alignment horizontal="center"/>
    </xf>
    <xf numFmtId="164" fontId="8" fillId="2" borderId="33" xfId="1" applyFont="1" applyFill="1" applyBorder="1" applyAlignment="1">
      <alignment horizontal="center"/>
    </xf>
    <xf numFmtId="0" fontId="17" fillId="0" borderId="33" xfId="0" applyFont="1" applyBorder="1" applyAlignment="1">
      <alignment horizontal="center" vertical="center"/>
    </xf>
    <xf numFmtId="0" fontId="7" fillId="2" borderId="7" xfId="0" applyNumberFormat="1" applyFont="1" applyFill="1" applyBorder="1" applyAlignment="1">
      <alignment horizontal="center" vertical="center" wrapText="1"/>
    </xf>
    <xf numFmtId="0" fontId="4" fillId="2" borderId="33" xfId="0" applyFont="1" applyFill="1" applyBorder="1" applyAlignment="1">
      <alignment horizontal="center" vertical="center"/>
    </xf>
    <xf numFmtId="0" fontId="4" fillId="2" borderId="33" xfId="0" applyFont="1" applyFill="1" applyBorder="1"/>
    <xf numFmtId="0" fontId="8" fillId="2" borderId="7" xfId="0" applyNumberFormat="1" applyFont="1" applyFill="1" applyBorder="1" applyAlignment="1">
      <alignment horizontal="center" vertical="center" wrapText="1"/>
    </xf>
    <xf numFmtId="14" fontId="4" fillId="2" borderId="33" xfId="0" applyNumberFormat="1" applyFont="1" applyFill="1" applyBorder="1"/>
    <xf numFmtId="0" fontId="7" fillId="2" borderId="27" xfId="0" applyNumberFormat="1" applyFont="1" applyFill="1" applyBorder="1" applyAlignment="1">
      <alignment horizontal="center" vertical="center" wrapText="1"/>
    </xf>
    <xf numFmtId="0" fontId="7" fillId="2" borderId="34" xfId="0" applyNumberFormat="1" applyFont="1" applyFill="1" applyBorder="1" applyAlignment="1">
      <alignment horizontal="center" vertical="center" wrapText="1"/>
    </xf>
    <xf numFmtId="0" fontId="7" fillId="3" borderId="7" xfId="0" applyNumberFormat="1" applyFont="1" applyFill="1" applyBorder="1" applyAlignment="1">
      <alignment horizontal="center" vertical="center" wrapText="1"/>
    </xf>
    <xf numFmtId="0" fontId="4" fillId="3" borderId="33" xfId="0" applyFont="1" applyFill="1" applyBorder="1"/>
    <xf numFmtId="0" fontId="7" fillId="2" borderId="34" xfId="0" applyFont="1" applyFill="1" applyBorder="1" applyAlignment="1">
      <alignment horizontal="center" vertical="center" wrapText="1"/>
    </xf>
    <xf numFmtId="0" fontId="4" fillId="2" borderId="33" xfId="0" applyFont="1" applyFill="1" applyBorder="1" applyAlignment="1">
      <alignment horizontal="center"/>
    </xf>
    <xf numFmtId="164" fontId="7" fillId="2" borderId="7" xfId="0" applyNumberFormat="1" applyFont="1" applyFill="1" applyBorder="1" applyAlignment="1">
      <alignment horizontal="center" vertical="center" wrapText="1"/>
    </xf>
    <xf numFmtId="0" fontId="7" fillId="2" borderId="33"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26" xfId="0" applyFont="1" applyFill="1" applyBorder="1" applyAlignment="1">
      <alignment horizontal="center" vertical="center"/>
    </xf>
    <xf numFmtId="0" fontId="4" fillId="2" borderId="2" xfId="0" applyFont="1" applyFill="1" applyBorder="1" applyAlignment="1">
      <alignment horizontal="center"/>
    </xf>
    <xf numFmtId="10" fontId="8" fillId="2" borderId="22" xfId="3" applyNumberFormat="1" applyFont="1" applyFill="1" applyBorder="1" applyAlignment="1">
      <alignment horizontal="center" vertical="center" wrapText="1"/>
    </xf>
    <xf numFmtId="0" fontId="19" fillId="2" borderId="27" xfId="0" applyFont="1" applyFill="1" applyBorder="1" applyAlignment="1">
      <alignment horizontal="center" vertical="center" wrapText="1"/>
    </xf>
    <xf numFmtId="2" fontId="7" fillId="2" borderId="2"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xf>
    <xf numFmtId="0" fontId="8" fillId="3" borderId="22" xfId="0" applyFont="1" applyFill="1" applyBorder="1"/>
    <xf numFmtId="0" fontId="8" fillId="4" borderId="22"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8" fillId="2" borderId="22" xfId="0" applyFont="1" applyFill="1" applyBorder="1" applyAlignment="1">
      <alignment vertical="center"/>
    </xf>
    <xf numFmtId="14" fontId="8" fillId="2" borderId="22" xfId="0" applyNumberFormat="1" applyFont="1" applyFill="1" applyBorder="1" applyAlignment="1">
      <alignment vertical="center"/>
    </xf>
    <xf numFmtId="0" fontId="8" fillId="2" borderId="22" xfId="0" applyFont="1" applyFill="1" applyBorder="1"/>
    <xf numFmtId="0" fontId="7" fillId="2" borderId="22" xfId="0" applyFont="1" applyFill="1" applyBorder="1" applyAlignment="1">
      <alignment horizontal="center"/>
    </xf>
    <xf numFmtId="14" fontId="8" fillId="2" borderId="22" xfId="0" applyNumberFormat="1" applyFont="1" applyFill="1" applyBorder="1" applyAlignment="1">
      <alignment horizontal="center"/>
    </xf>
    <xf numFmtId="0" fontId="8" fillId="0" borderId="22" xfId="0" applyFont="1" applyFill="1" applyBorder="1" applyAlignment="1">
      <alignment horizontal="center"/>
    </xf>
    <xf numFmtId="9" fontId="8" fillId="2" borderId="22" xfId="3" applyFont="1" applyFill="1" applyBorder="1" applyAlignment="1">
      <alignment horizontal="center" vertical="center" wrapText="1"/>
    </xf>
    <xf numFmtId="9" fontId="8" fillId="5" borderId="22" xfId="0" applyNumberFormat="1" applyFont="1" applyFill="1" applyBorder="1" applyAlignment="1">
      <alignment horizontal="center" vertical="center" wrapText="1"/>
    </xf>
    <xf numFmtId="10" fontId="8" fillId="5" borderId="22" xfId="0" applyNumberFormat="1" applyFont="1" applyFill="1" applyBorder="1" applyAlignment="1">
      <alignment horizontal="center" vertical="center" wrapText="1"/>
    </xf>
    <xf numFmtId="0" fontId="17" fillId="3" borderId="22" xfId="0" applyFont="1" applyFill="1" applyBorder="1"/>
    <xf numFmtId="9" fontId="8" fillId="2" borderId="22" xfId="0" applyNumberFormat="1" applyFont="1" applyFill="1" applyBorder="1" applyAlignment="1">
      <alignment horizontal="center"/>
    </xf>
    <xf numFmtId="0" fontId="8" fillId="3" borderId="22" xfId="0" applyFont="1" applyFill="1" applyBorder="1" applyAlignment="1">
      <alignment horizontal="center"/>
    </xf>
    <xf numFmtId="165" fontId="8" fillId="2" borderId="22" xfId="1" applyNumberFormat="1" applyFont="1" applyFill="1" applyBorder="1" applyAlignment="1">
      <alignment horizontal="center" vertical="center"/>
    </xf>
    <xf numFmtId="164" fontId="8" fillId="2" borderId="22" xfId="1" applyFont="1" applyFill="1" applyBorder="1" applyAlignment="1">
      <alignment horizontal="center"/>
    </xf>
    <xf numFmtId="0" fontId="17" fillId="0" borderId="22" xfId="0" applyFont="1" applyBorder="1" applyAlignment="1">
      <alignment horizontal="center" vertical="center"/>
    </xf>
    <xf numFmtId="0" fontId="4" fillId="2" borderId="22" xfId="0" applyFont="1" applyFill="1" applyBorder="1" applyAlignment="1">
      <alignment horizontal="center" vertical="center"/>
    </xf>
    <xf numFmtId="0" fontId="4" fillId="2" borderId="22" xfId="0" applyFont="1" applyFill="1" applyBorder="1"/>
    <xf numFmtId="14" fontId="4" fillId="2" borderId="22" xfId="0" applyNumberFormat="1" applyFont="1" applyFill="1" applyBorder="1"/>
    <xf numFmtId="0" fontId="4" fillId="3" borderId="22" xfId="0" applyFont="1" applyFill="1" applyBorder="1"/>
    <xf numFmtId="0" fontId="8" fillId="2" borderId="33" xfId="0" applyNumberFormat="1" applyFont="1" applyFill="1" applyBorder="1" applyAlignment="1">
      <alignment horizontal="center" vertical="center" wrapText="1"/>
    </xf>
    <xf numFmtId="0" fontId="8" fillId="2" borderId="7" xfId="0" applyFont="1" applyFill="1" applyBorder="1" applyAlignment="1">
      <alignment vertical="center"/>
    </xf>
    <xf numFmtId="164" fontId="8" fillId="2" borderId="33" xfId="0" applyNumberFormat="1" applyFont="1" applyFill="1" applyBorder="1" applyAlignment="1">
      <alignment horizontal="center"/>
    </xf>
    <xf numFmtId="0" fontId="7" fillId="7" borderId="7" xfId="0" applyFont="1" applyFill="1" applyBorder="1" applyAlignment="1">
      <alignment horizontal="center" vertical="center" wrapText="1"/>
    </xf>
    <xf numFmtId="0" fontId="8" fillId="2" borderId="7" xfId="0" applyFont="1" applyFill="1" applyBorder="1"/>
    <xf numFmtId="14" fontId="8" fillId="2" borderId="33" xfId="0" applyNumberFormat="1" applyFont="1" applyFill="1" applyBorder="1" applyAlignment="1">
      <alignment horizontal="center" vertical="center" wrapText="1"/>
    </xf>
    <xf numFmtId="0" fontId="8" fillId="2" borderId="33" xfId="0" applyFont="1" applyFill="1" applyBorder="1" applyAlignment="1">
      <alignment horizontal="center" wrapText="1"/>
    </xf>
    <xf numFmtId="0" fontId="8" fillId="2" borderId="30" xfId="0" applyFont="1" applyFill="1" applyBorder="1" applyAlignment="1">
      <alignment horizontal="center" wrapText="1"/>
    </xf>
    <xf numFmtId="164" fontId="8" fillId="2" borderId="33" xfId="1" applyFont="1" applyFill="1" applyBorder="1" applyAlignment="1">
      <alignment horizontal="center" vertical="center"/>
    </xf>
    <xf numFmtId="0" fontId="0" fillId="2" borderId="38" xfId="0" applyFill="1" applyBorder="1" applyAlignment="1">
      <alignment wrapText="1"/>
    </xf>
    <xf numFmtId="14" fontId="17" fillId="2" borderId="7" xfId="0" applyNumberFormat="1" applyFont="1" applyFill="1" applyBorder="1"/>
    <xf numFmtId="14" fontId="17" fillId="2" borderId="33" xfId="0" applyNumberFormat="1" applyFont="1" applyFill="1" applyBorder="1"/>
    <xf numFmtId="49" fontId="17" fillId="2" borderId="7" xfId="0" applyNumberFormat="1" applyFont="1" applyFill="1" applyBorder="1" applyAlignment="1">
      <alignment horizontal="center" vertical="center"/>
    </xf>
    <xf numFmtId="49" fontId="8" fillId="2" borderId="33" xfId="0" applyNumberFormat="1" applyFont="1" applyFill="1" applyBorder="1" applyAlignment="1">
      <alignment horizontal="center" vertical="center"/>
    </xf>
    <xf numFmtId="14" fontId="17" fillId="2" borderId="7" xfId="0" applyNumberFormat="1" applyFont="1" applyFill="1" applyBorder="1" applyAlignment="1">
      <alignment horizontal="center"/>
    </xf>
    <xf numFmtId="14" fontId="17" fillId="2" borderId="33" xfId="0" applyNumberFormat="1" applyFont="1" applyFill="1" applyBorder="1" applyAlignment="1">
      <alignment horizontal="center"/>
    </xf>
    <xf numFmtId="0" fontId="8" fillId="2" borderId="7" xfId="0" applyFont="1" applyFill="1" applyBorder="1" applyAlignment="1">
      <alignment horizontal="left" vertical="center" wrapText="1"/>
    </xf>
    <xf numFmtId="0" fontId="8" fillId="2" borderId="33" xfId="0" applyFont="1" applyFill="1" applyBorder="1" applyAlignment="1">
      <alignment horizontal="left" vertical="center" wrapText="1"/>
    </xf>
    <xf numFmtId="0" fontId="8" fillId="2" borderId="33" xfId="0" applyFont="1" applyFill="1" applyBorder="1" applyAlignment="1">
      <alignment wrapText="1"/>
    </xf>
    <xf numFmtId="0" fontId="17" fillId="2" borderId="7" xfId="0" applyFont="1" applyFill="1" applyBorder="1" applyAlignment="1">
      <alignment horizontal="center"/>
    </xf>
    <xf numFmtId="0" fontId="17" fillId="2" borderId="33" xfId="0" applyFont="1" applyFill="1" applyBorder="1" applyAlignment="1">
      <alignment horizontal="center"/>
    </xf>
    <xf numFmtId="1" fontId="8" fillId="2" borderId="33" xfId="0" applyNumberFormat="1" applyFont="1" applyFill="1" applyBorder="1" applyAlignment="1">
      <alignment horizontal="left" vertical="center" wrapText="1" indent="10"/>
    </xf>
    <xf numFmtId="0" fontId="8" fillId="0" borderId="7" xfId="0" applyFont="1" applyBorder="1" applyAlignment="1">
      <alignment horizontal="center"/>
    </xf>
    <xf numFmtId="0" fontId="8" fillId="0" borderId="33" xfId="0" applyFont="1" applyBorder="1" applyAlignment="1">
      <alignment horizontal="center"/>
    </xf>
    <xf numFmtId="0" fontId="7" fillId="0" borderId="7" xfId="0" applyFont="1" applyBorder="1" applyAlignment="1">
      <alignment horizontal="center" vertical="center" wrapText="1"/>
    </xf>
    <xf numFmtId="0" fontId="7" fillId="0" borderId="33" xfId="0" applyFont="1" applyBorder="1" applyAlignment="1">
      <alignment horizontal="center" vertical="center" wrapText="1"/>
    </xf>
    <xf numFmtId="0" fontId="17" fillId="0" borderId="30" xfId="0" applyFont="1" applyBorder="1" applyAlignment="1">
      <alignment horizontal="center"/>
    </xf>
    <xf numFmtId="0" fontId="8" fillId="7" borderId="7"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7" fillId="0" borderId="7" xfId="0" applyFont="1" applyBorder="1" applyAlignment="1">
      <alignment horizontal="center" vertical="center"/>
    </xf>
    <xf numFmtId="4" fontId="17" fillId="0" borderId="7" xfId="0" applyNumberFormat="1" applyFont="1" applyBorder="1" applyAlignment="1">
      <alignment horizontal="center" vertical="center"/>
    </xf>
    <xf numFmtId="4" fontId="17" fillId="0" borderId="7" xfId="0" applyNumberFormat="1" applyFont="1" applyFill="1" applyBorder="1" applyAlignment="1">
      <alignment horizontal="center"/>
    </xf>
    <xf numFmtId="164" fontId="8" fillId="0" borderId="33" xfId="1" applyFont="1" applyFill="1" applyBorder="1" applyAlignment="1">
      <alignment horizontal="center"/>
    </xf>
    <xf numFmtId="0" fontId="8" fillId="0" borderId="7" xfId="0" applyFont="1" applyFill="1" applyBorder="1" applyAlignment="1">
      <alignment horizontal="center" vertical="center" wrapText="1"/>
    </xf>
    <xf numFmtId="0" fontId="4" fillId="0" borderId="33" xfId="0" applyFont="1" applyFill="1" applyBorder="1"/>
    <xf numFmtId="14" fontId="8" fillId="0" borderId="7" xfId="0" applyNumberFormat="1" applyFont="1" applyFill="1" applyBorder="1" applyAlignment="1">
      <alignment horizontal="center" vertical="center" wrapText="1"/>
    </xf>
    <xf numFmtId="14" fontId="4" fillId="0" borderId="33" xfId="0" applyNumberFormat="1" applyFont="1" applyFill="1" applyBorder="1"/>
    <xf numFmtId="166" fontId="8" fillId="2" borderId="7" xfId="1" applyNumberFormat="1" applyFont="1" applyFill="1" applyBorder="1" applyAlignment="1">
      <alignment horizontal="center" vertical="center" wrapText="1"/>
    </xf>
    <xf numFmtId="166" fontId="8" fillId="2" borderId="33" xfId="1" applyNumberFormat="1" applyFont="1" applyFill="1" applyBorder="1" applyAlignment="1">
      <alignment horizontal="center" vertical="center"/>
    </xf>
    <xf numFmtId="0" fontId="17" fillId="2" borderId="0" xfId="0" applyFont="1" applyFill="1" applyBorder="1" applyAlignment="1">
      <alignment horizontal="center" vertical="center" wrapText="1"/>
    </xf>
    <xf numFmtId="0" fontId="7" fillId="2" borderId="7" xfId="0" applyFont="1" applyFill="1" applyBorder="1" applyAlignment="1">
      <alignment horizontal="center"/>
    </xf>
    <xf numFmtId="0" fontId="8" fillId="2" borderId="7" xfId="0" applyFont="1" applyFill="1" applyBorder="1" applyAlignment="1">
      <alignment horizontal="center" wrapText="1"/>
    </xf>
    <xf numFmtId="9" fontId="21" fillId="2" borderId="7" xfId="0" applyNumberFormat="1" applyFont="1" applyFill="1" applyBorder="1" applyAlignment="1">
      <alignment horizontal="center" wrapText="1"/>
    </xf>
    <xf numFmtId="0" fontId="17" fillId="0" borderId="0" xfId="0" applyFont="1" applyBorder="1" applyAlignment="1">
      <alignment horizontal="center" vertical="center"/>
    </xf>
    <xf numFmtId="0" fontId="17" fillId="0" borderId="30" xfId="0" applyFont="1" applyBorder="1" applyAlignment="1">
      <alignment horizontal="center" vertical="center"/>
    </xf>
    <xf numFmtId="0" fontId="17" fillId="0" borderId="0" xfId="0" applyFont="1" applyBorder="1" applyAlignment="1">
      <alignment wrapText="1"/>
    </xf>
    <xf numFmtId="0" fontId="9" fillId="2" borderId="33" xfId="0" applyFont="1" applyFill="1" applyBorder="1" applyAlignment="1">
      <alignment horizontal="center"/>
    </xf>
    <xf numFmtId="14" fontId="9" fillId="2" borderId="33" xfId="0" applyNumberFormat="1" applyFont="1" applyFill="1" applyBorder="1" applyAlignment="1">
      <alignment horizontal="center"/>
    </xf>
    <xf numFmtId="0" fontId="4" fillId="2" borderId="3" xfId="0" applyFont="1" applyFill="1" applyBorder="1"/>
    <xf numFmtId="0" fontId="11" fillId="2" borderId="3" xfId="0" applyFont="1" applyFill="1" applyBorder="1"/>
    <xf numFmtId="9" fontId="22" fillId="2" borderId="3" xfId="0" applyNumberFormat="1" applyFont="1" applyFill="1" applyBorder="1" applyAlignment="1">
      <alignment horizontal="center"/>
    </xf>
    <xf numFmtId="0" fontId="4" fillId="7" borderId="3" xfId="0" applyFont="1" applyFill="1" applyBorder="1"/>
    <xf numFmtId="9" fontId="8" fillId="2" borderId="3" xfId="0" applyNumberFormat="1" applyFont="1" applyFill="1" applyBorder="1" applyAlignment="1">
      <alignment horizontal="center" vertical="center"/>
    </xf>
    <xf numFmtId="10" fontId="8" fillId="2" borderId="3" xfId="0" applyNumberFormat="1" applyFont="1" applyFill="1" applyBorder="1" applyAlignment="1">
      <alignment horizontal="center" vertical="center"/>
    </xf>
    <xf numFmtId="4" fontId="17" fillId="0" borderId="3" xfId="0" applyNumberFormat="1" applyFont="1" applyBorder="1"/>
    <xf numFmtId="0" fontId="23" fillId="0" borderId="0" xfId="0" applyFont="1" applyBorder="1" applyAlignment="1">
      <alignment horizontal="center" vertical="center"/>
    </xf>
    <xf numFmtId="14" fontId="8" fillId="2" borderId="33" xfId="0" applyNumberFormat="1" applyFont="1" applyFill="1" applyBorder="1" applyAlignment="1">
      <alignment vertical="center"/>
    </xf>
    <xf numFmtId="14" fontId="17" fillId="0" borderId="33" xfId="0" applyNumberFormat="1" applyFont="1" applyBorder="1" applyAlignment="1">
      <alignment horizontal="center" vertical="center"/>
    </xf>
    <xf numFmtId="10" fontId="19" fillId="2" borderId="7" xfId="3" applyNumberFormat="1" applyFont="1" applyFill="1" applyBorder="1" applyAlignment="1">
      <alignment horizontal="center" vertical="center" wrapText="1"/>
    </xf>
    <xf numFmtId="0" fontId="17" fillId="0" borderId="7" xfId="0" applyFont="1" applyBorder="1" applyAlignment="1">
      <alignment horizontal="center" wrapText="1"/>
    </xf>
    <xf numFmtId="0" fontId="4" fillId="2" borderId="33" xfId="0" applyFont="1" applyFill="1" applyBorder="1" applyAlignment="1">
      <alignment wrapText="1"/>
    </xf>
    <xf numFmtId="10" fontId="7" fillId="5" borderId="3" xfId="0" applyNumberFormat="1" applyFont="1" applyFill="1" applyBorder="1" applyAlignment="1">
      <alignment horizontal="left" vertical="center" wrapText="1"/>
    </xf>
    <xf numFmtId="10" fontId="4" fillId="5" borderId="0" xfId="0" applyNumberFormat="1" applyFont="1" applyFill="1" applyBorder="1"/>
    <xf numFmtId="10" fontId="4" fillId="5" borderId="2" xfId="0" applyNumberFormat="1" applyFont="1" applyFill="1" applyBorder="1"/>
    <xf numFmtId="49" fontId="7" fillId="0" borderId="3" xfId="0" applyNumberFormat="1" applyFont="1" applyFill="1" applyBorder="1" applyAlignment="1">
      <alignment horizontal="left" vertical="center" wrapText="1"/>
    </xf>
    <xf numFmtId="0" fontId="8" fillId="0" borderId="17"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4" fillId="0" borderId="0" xfId="0" applyFont="1" applyFill="1" applyBorder="1"/>
    <xf numFmtId="0" fontId="4" fillId="0" borderId="2" xfId="0" applyFont="1" applyFill="1" applyBorder="1"/>
    <xf numFmtId="0" fontId="8" fillId="6" borderId="3" xfId="0" applyFont="1" applyFill="1" applyBorder="1" applyAlignment="1">
      <alignment horizontal="center" vertical="center" wrapText="1"/>
    </xf>
    <xf numFmtId="0" fontId="4" fillId="6" borderId="3" xfId="0" applyFont="1" applyFill="1" applyBorder="1"/>
    <xf numFmtId="10" fontId="7" fillId="2" borderId="3" xfId="0" applyNumberFormat="1" applyFont="1" applyFill="1" applyBorder="1" applyAlignment="1">
      <alignment horizontal="left" vertical="center" wrapText="1"/>
    </xf>
    <xf numFmtId="10" fontId="8" fillId="2" borderId="3" xfId="3" applyNumberFormat="1" applyFont="1" applyFill="1" applyBorder="1" applyAlignment="1">
      <alignment horizontal="center" vertical="center" wrapText="1"/>
    </xf>
    <xf numFmtId="10" fontId="4" fillId="2" borderId="0" xfId="0" applyNumberFormat="1" applyFont="1" applyFill="1" applyBorder="1"/>
    <xf numFmtId="10" fontId="4" fillId="2" borderId="2" xfId="0" applyNumberFormat="1" applyFont="1" applyFill="1" applyBorder="1"/>
    <xf numFmtId="10" fontId="8" fillId="0" borderId="7" xfId="3" applyNumberFormat="1" applyFont="1" applyFill="1" applyBorder="1" applyAlignment="1">
      <alignment horizontal="center" vertical="center" wrapText="1"/>
    </xf>
    <xf numFmtId="10" fontId="8" fillId="0" borderId="3" xfId="3" applyNumberFormat="1" applyFont="1" applyFill="1" applyBorder="1" applyAlignment="1">
      <alignment horizontal="center" vertical="center" wrapText="1"/>
    </xf>
    <xf numFmtId="0" fontId="8" fillId="2" borderId="3" xfId="0" applyFont="1" applyFill="1" applyBorder="1" applyAlignment="1">
      <alignment wrapText="1"/>
    </xf>
    <xf numFmtId="0" fontId="8" fillId="2" borderId="3" xfId="0" applyFont="1" applyFill="1" applyBorder="1" applyAlignment="1">
      <alignment vertical="center"/>
    </xf>
    <xf numFmtId="14" fontId="8" fillId="2" borderId="3" xfId="0" applyNumberFormat="1" applyFont="1" applyFill="1" applyBorder="1" applyAlignment="1">
      <alignment vertical="center"/>
    </xf>
    <xf numFmtId="14" fontId="17" fillId="0" borderId="3" xfId="0" applyNumberFormat="1" applyFont="1" applyBorder="1" applyAlignment="1">
      <alignment horizontal="center" vertical="center"/>
    </xf>
    <xf numFmtId="0" fontId="17" fillId="0" borderId="3" xfId="0" applyFont="1" applyBorder="1"/>
    <xf numFmtId="10" fontId="19" fillId="2" borderId="3" xfId="3" applyNumberFormat="1" applyFont="1" applyFill="1" applyBorder="1" applyAlignment="1">
      <alignment horizontal="center" vertical="center" wrapText="1"/>
    </xf>
    <xf numFmtId="9" fontId="8" fillId="2" borderId="3" xfId="0" applyNumberFormat="1" applyFont="1" applyFill="1" applyBorder="1"/>
    <xf numFmtId="0" fontId="4" fillId="2" borderId="3" xfId="0" applyFont="1" applyFill="1" applyBorder="1" applyAlignment="1">
      <alignment wrapText="1"/>
    </xf>
    <xf numFmtId="14" fontId="4" fillId="2" borderId="3" xfId="0" applyNumberFormat="1" applyFont="1" applyFill="1" applyBorder="1"/>
    <xf numFmtId="0" fontId="4" fillId="2" borderId="17" xfId="0" applyFont="1" applyFill="1" applyBorder="1" applyAlignment="1">
      <alignment horizontal="center"/>
    </xf>
    <xf numFmtId="166" fontId="8" fillId="2" borderId="22" xfId="1" applyNumberFormat="1" applyFont="1" applyFill="1" applyBorder="1" applyAlignment="1">
      <alignment horizontal="center" vertical="center" wrapText="1"/>
    </xf>
    <xf numFmtId="14" fontId="17" fillId="2" borderId="22" xfId="0" applyNumberFormat="1" applyFont="1" applyFill="1" applyBorder="1" applyAlignment="1">
      <alignment horizontal="left" wrapText="1"/>
    </xf>
    <xf numFmtId="14" fontId="17" fillId="2" borderId="22" xfId="0" applyNumberFormat="1" applyFont="1" applyFill="1" applyBorder="1" applyAlignment="1">
      <alignment horizontal="left"/>
    </xf>
    <xf numFmtId="164" fontId="8" fillId="2" borderId="22" xfId="1" applyFont="1" applyFill="1" applyBorder="1" applyAlignment="1">
      <alignment vertical="center" wrapText="1"/>
    </xf>
    <xf numFmtId="14" fontId="17" fillId="2" borderId="22" xfId="0" applyNumberFormat="1" applyFont="1" applyFill="1" applyBorder="1" applyAlignment="1">
      <alignment horizontal="center" vertical="center" wrapText="1"/>
    </xf>
    <xf numFmtId="0" fontId="8" fillId="2" borderId="22" xfId="0" applyFont="1" applyFill="1" applyBorder="1" applyAlignment="1">
      <alignment horizontal="center" wrapText="1"/>
    </xf>
    <xf numFmtId="0" fontId="17" fillId="2" borderId="22" xfId="0" applyFont="1" applyFill="1" applyBorder="1"/>
    <xf numFmtId="0" fontId="8" fillId="2" borderId="25" xfId="0" applyFont="1" applyFill="1" applyBorder="1" applyAlignment="1">
      <alignment horizontal="center" vertical="center"/>
    </xf>
    <xf numFmtId="0" fontId="16" fillId="2" borderId="22" xfId="0" applyFont="1" applyFill="1" applyBorder="1" applyAlignment="1">
      <alignment vertical="center" wrapText="1"/>
    </xf>
    <xf numFmtId="1" fontId="7" fillId="2" borderId="22" xfId="0" applyNumberFormat="1" applyFont="1" applyFill="1" applyBorder="1" applyAlignment="1">
      <alignment vertical="center"/>
    </xf>
    <xf numFmtId="0" fontId="7" fillId="2" borderId="22" xfId="0" applyFont="1" applyFill="1" applyBorder="1" applyAlignment="1">
      <alignment vertical="center" wrapText="1"/>
    </xf>
    <xf numFmtId="0" fontId="8" fillId="5" borderId="22" xfId="0" applyFont="1" applyFill="1" applyBorder="1" applyAlignment="1">
      <alignment vertical="center" wrapText="1"/>
    </xf>
    <xf numFmtId="4" fontId="8" fillId="2" borderId="22" xfId="0" applyNumberFormat="1" applyFont="1" applyFill="1" applyBorder="1" applyAlignment="1">
      <alignment horizontal="center" vertical="center"/>
    </xf>
    <xf numFmtId="4" fontId="7" fillId="3" borderId="22" xfId="0" applyNumberFormat="1" applyFont="1" applyFill="1" applyBorder="1" applyAlignment="1">
      <alignment horizontal="center" vertical="center" wrapText="1"/>
    </xf>
    <xf numFmtId="165" fontId="8" fillId="2" borderId="22" xfId="1" applyNumberFormat="1" applyFont="1" applyFill="1" applyBorder="1" applyAlignment="1">
      <alignment vertical="center"/>
    </xf>
    <xf numFmtId="164" fontId="7" fillId="2" borderId="22" xfId="1" applyFont="1" applyFill="1" applyBorder="1" applyAlignment="1">
      <alignment vertical="center" wrapText="1"/>
    </xf>
    <xf numFmtId="2" fontId="8" fillId="2" borderId="22" xfId="0" applyNumberFormat="1" applyFont="1" applyFill="1" applyBorder="1" applyAlignment="1">
      <alignment vertical="center" wrapText="1"/>
    </xf>
    <xf numFmtId="4" fontId="17" fillId="2" borderId="22" xfId="0" applyNumberFormat="1" applyFont="1" applyFill="1" applyBorder="1" applyAlignment="1">
      <alignment horizontal="center"/>
    </xf>
    <xf numFmtId="41" fontId="8" fillId="2" borderId="22" xfId="2" applyFont="1" applyFill="1" applyBorder="1" applyAlignment="1">
      <alignment vertical="center" wrapText="1"/>
    </xf>
    <xf numFmtId="0" fontId="17" fillId="2" borderId="22" xfId="0" applyFont="1" applyFill="1" applyBorder="1" applyAlignment="1">
      <alignment horizontal="center" vertical="center"/>
    </xf>
    <xf numFmtId="0" fontId="7" fillId="2" borderId="22" xfId="0" applyNumberFormat="1" applyFont="1" applyFill="1" applyBorder="1" applyAlignment="1">
      <alignment vertical="center" wrapText="1"/>
    </xf>
    <xf numFmtId="0" fontId="4" fillId="2" borderId="22" xfId="0" applyFont="1" applyFill="1" applyBorder="1" applyAlignment="1">
      <alignment horizontal="center"/>
    </xf>
    <xf numFmtId="0" fontId="7" fillId="2" borderId="22" xfId="0" applyFont="1" applyFill="1" applyBorder="1" applyAlignment="1">
      <alignment horizontal="center" wrapText="1"/>
    </xf>
    <xf numFmtId="0" fontId="17" fillId="0" borderId="33" xfId="0" applyFont="1" applyBorder="1" applyAlignment="1">
      <alignment horizontal="center" wrapText="1"/>
    </xf>
    <xf numFmtId="10" fontId="19" fillId="4" borderId="7" xfId="3" applyNumberFormat="1" applyFont="1" applyFill="1" applyBorder="1" applyAlignment="1">
      <alignment horizontal="center" vertical="center" wrapText="1"/>
    </xf>
    <xf numFmtId="10" fontId="19" fillId="4" borderId="33" xfId="3" applyNumberFormat="1" applyFont="1" applyFill="1" applyBorder="1" applyAlignment="1">
      <alignment horizontal="center" vertical="center" wrapText="1"/>
    </xf>
    <xf numFmtId="4" fontId="17" fillId="0" borderId="7" xfId="0" applyNumberFormat="1" applyFont="1" applyFill="1" applyBorder="1" applyAlignment="1">
      <alignment horizontal="center" vertical="center"/>
    </xf>
    <xf numFmtId="0" fontId="17" fillId="2" borderId="38" xfId="0" applyFont="1" applyFill="1" applyBorder="1" applyAlignment="1">
      <alignment horizontal="center" vertical="center" wrapText="1"/>
    </xf>
    <xf numFmtId="1" fontId="8" fillId="2" borderId="33" xfId="0" applyNumberFormat="1" applyFont="1" applyFill="1" applyBorder="1" applyAlignment="1">
      <alignment horizontal="center"/>
    </xf>
    <xf numFmtId="0" fontId="17" fillId="2" borderId="33" xfId="0" applyFont="1" applyFill="1" applyBorder="1" applyAlignment="1">
      <alignment horizontal="center" vertical="center"/>
    </xf>
    <xf numFmtId="14" fontId="17" fillId="2" borderId="7" xfId="0" applyNumberFormat="1" applyFont="1" applyFill="1" applyBorder="1" applyAlignment="1">
      <alignment wrapText="1"/>
    </xf>
    <xf numFmtId="0" fontId="8" fillId="2" borderId="12"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33" xfId="0" applyFont="1" applyFill="1" applyBorder="1" applyAlignment="1">
      <alignment horizontal="center" vertical="center" wrapText="1"/>
    </xf>
    <xf numFmtId="1" fontId="8" fillId="2" borderId="33" xfId="0" applyNumberFormat="1" applyFont="1" applyFill="1" applyBorder="1" applyAlignment="1">
      <alignment horizontal="center" vertical="center" wrapText="1"/>
    </xf>
    <xf numFmtId="14" fontId="8" fillId="2" borderId="33" xfId="0" applyNumberFormat="1" applyFont="1" applyFill="1" applyBorder="1" applyAlignment="1">
      <alignment horizontal="center" vertical="center"/>
    </xf>
    <xf numFmtId="14" fontId="17" fillId="0" borderId="7" xfId="0" applyNumberFormat="1" applyFont="1" applyBorder="1" applyAlignment="1">
      <alignment horizontal="center" vertical="center"/>
    </xf>
    <xf numFmtId="0" fontId="8" fillId="11" borderId="7" xfId="0" applyFont="1" applyFill="1" applyBorder="1" applyAlignment="1">
      <alignment horizontal="center" vertical="center" wrapText="1"/>
    </xf>
    <xf numFmtId="0" fontId="8" fillId="11" borderId="33" xfId="0" applyFont="1" applyFill="1" applyBorder="1" applyAlignment="1">
      <alignment horizontal="center" vertical="center" wrapText="1"/>
    </xf>
    <xf numFmtId="0" fontId="17" fillId="0" borderId="7" xfId="0" applyFont="1" applyBorder="1" applyAlignment="1">
      <alignment horizontal="center" vertical="center" wrapText="1"/>
    </xf>
    <xf numFmtId="4" fontId="0" fillId="0" borderId="30" xfId="0" applyNumberFormat="1" applyFont="1" applyFill="1" applyBorder="1" applyAlignment="1">
      <alignment horizontal="center" vertical="center"/>
    </xf>
    <xf numFmtId="0" fontId="11" fillId="2" borderId="33" xfId="0" applyFont="1" applyFill="1" applyBorder="1" applyAlignment="1">
      <alignment horizontal="center" vertical="center"/>
    </xf>
    <xf numFmtId="14" fontId="4" fillId="2" borderId="33" xfId="0" applyNumberFormat="1" applyFont="1" applyFill="1" applyBorder="1" applyAlignment="1">
      <alignment horizontal="center" vertical="center"/>
    </xf>
    <xf numFmtId="14" fontId="17" fillId="2" borderId="7" xfId="0" applyNumberFormat="1" applyFont="1" applyFill="1" applyBorder="1" applyAlignment="1">
      <alignment horizontal="center" wrapText="1"/>
    </xf>
    <xf numFmtId="14" fontId="17" fillId="2" borderId="33" xfId="0" applyNumberFormat="1" applyFont="1" applyFill="1" applyBorder="1" applyAlignment="1">
      <alignment horizontal="center" wrapText="1"/>
    </xf>
    <xf numFmtId="9" fontId="8" fillId="2" borderId="7" xfId="0" applyNumberFormat="1" applyFont="1" applyFill="1" applyBorder="1" applyAlignment="1">
      <alignment horizontal="center"/>
    </xf>
    <xf numFmtId="0" fontId="4" fillId="2" borderId="7" xfId="0" applyFont="1" applyFill="1" applyBorder="1" applyAlignment="1">
      <alignment horizontal="center" vertical="center"/>
    </xf>
    <xf numFmtId="14" fontId="4" fillId="2" borderId="7" xfId="0" applyNumberFormat="1" applyFont="1" applyFill="1" applyBorder="1" applyAlignment="1">
      <alignment horizontal="center" vertical="center"/>
    </xf>
    <xf numFmtId="14" fontId="17" fillId="2" borderId="33" xfId="0" applyNumberFormat="1" applyFont="1" applyFill="1" applyBorder="1" applyAlignment="1">
      <alignment horizontal="left"/>
    </xf>
    <xf numFmtId="14" fontId="17" fillId="2" borderId="7" xfId="0" applyNumberFormat="1" applyFont="1" applyFill="1" applyBorder="1" applyAlignment="1">
      <alignment horizontal="center" vertical="center"/>
    </xf>
    <xf numFmtId="14" fontId="17" fillId="2" borderId="7" xfId="0" applyNumberFormat="1" applyFont="1" applyFill="1" applyBorder="1" applyAlignment="1">
      <alignment horizontal="center" vertical="center" wrapText="1"/>
    </xf>
    <xf numFmtId="14" fontId="17" fillId="2" borderId="33" xfId="0" applyNumberFormat="1" applyFont="1" applyFill="1" applyBorder="1" applyAlignment="1">
      <alignment horizontal="center" vertical="center" wrapText="1"/>
    </xf>
    <xf numFmtId="14" fontId="17" fillId="2" borderId="33" xfId="0" applyNumberFormat="1" applyFont="1" applyFill="1" applyBorder="1" applyAlignment="1">
      <alignment horizontal="center" vertical="center"/>
    </xf>
    <xf numFmtId="0" fontId="17" fillId="2" borderId="7" xfId="0" applyFont="1" applyFill="1" applyBorder="1"/>
    <xf numFmtId="4" fontId="8" fillId="2" borderId="7" xfId="0" applyNumberFormat="1" applyFont="1" applyFill="1" applyBorder="1" applyAlignment="1">
      <alignment horizontal="center" vertical="center"/>
    </xf>
    <xf numFmtId="4" fontId="17" fillId="2" borderId="7" xfId="0" applyNumberFormat="1" applyFont="1" applyFill="1" applyBorder="1"/>
    <xf numFmtId="4" fontId="17" fillId="2" borderId="33" xfId="0" applyNumberFormat="1" applyFont="1" applyFill="1" applyBorder="1"/>
    <xf numFmtId="0" fontId="17" fillId="2" borderId="33" xfId="0" applyFont="1" applyFill="1" applyBorder="1"/>
    <xf numFmtId="4" fontId="17" fillId="2" borderId="7" xfId="0" applyNumberFormat="1" applyFont="1" applyFill="1" applyBorder="1" applyAlignment="1">
      <alignment horizontal="center"/>
    </xf>
    <xf numFmtId="0" fontId="17" fillId="2" borderId="7" xfId="0" applyFont="1" applyFill="1" applyBorder="1" applyAlignment="1">
      <alignment horizontal="center" vertical="center"/>
    </xf>
    <xf numFmtId="14" fontId="17" fillId="2" borderId="7" xfId="0" applyNumberFormat="1" applyFont="1" applyFill="1" applyBorder="1" applyAlignment="1">
      <alignment horizontal="left" wrapText="1"/>
    </xf>
    <xf numFmtId="14" fontId="17" fillId="2" borderId="33" xfId="0" applyNumberFormat="1" applyFont="1" applyFill="1" applyBorder="1" applyAlignment="1">
      <alignment horizontal="left" vertical="center"/>
    </xf>
    <xf numFmtId="14" fontId="17" fillId="2" borderId="7" xfId="0" applyNumberFormat="1" applyFont="1" applyFill="1" applyBorder="1" applyAlignment="1">
      <alignment horizontal="left"/>
    </xf>
    <xf numFmtId="14" fontId="17" fillId="2" borderId="33" xfId="0" applyNumberFormat="1" applyFont="1" applyFill="1" applyBorder="1" applyAlignment="1">
      <alignment wrapText="1"/>
    </xf>
    <xf numFmtId="0" fontId="8" fillId="2" borderId="42" xfId="0" applyFont="1" applyFill="1" applyBorder="1" applyAlignment="1">
      <alignment vertical="center"/>
    </xf>
    <xf numFmtId="0" fontId="8" fillId="2" borderId="40" xfId="0" applyFont="1" applyFill="1" applyBorder="1" applyAlignment="1">
      <alignment vertical="center"/>
    </xf>
    <xf numFmtId="0" fontId="8" fillId="3" borderId="42" xfId="0" applyFont="1" applyFill="1" applyBorder="1" applyAlignment="1">
      <alignment vertical="center"/>
    </xf>
    <xf numFmtId="0" fontId="4"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2" xfId="0" applyFont="1" applyFill="1" applyBorder="1" applyAlignment="1">
      <alignment vertical="center"/>
    </xf>
    <xf numFmtId="1" fontId="7" fillId="2" borderId="33"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1" fontId="7" fillId="2" borderId="22" xfId="0" applyNumberFormat="1" applyFont="1" applyFill="1" applyBorder="1" applyAlignment="1">
      <alignment horizontal="center" vertical="center"/>
    </xf>
    <xf numFmtId="0" fontId="8" fillId="12" borderId="22" xfId="0" applyFont="1" applyFill="1" applyBorder="1" applyAlignment="1">
      <alignment horizontal="center" vertical="center" wrapText="1"/>
    </xf>
    <xf numFmtId="4" fontId="8" fillId="2" borderId="22" xfId="0" applyNumberFormat="1" applyFont="1" applyFill="1" applyBorder="1" applyAlignment="1">
      <alignment horizontal="center" vertical="center" wrapText="1"/>
    </xf>
    <xf numFmtId="4" fontId="17" fillId="2" borderId="22" xfId="0" applyNumberFormat="1" applyFont="1" applyFill="1" applyBorder="1"/>
    <xf numFmtId="164" fontId="8" fillId="2" borderId="7" xfId="1" applyFont="1" applyFill="1" applyBorder="1" applyAlignment="1">
      <alignment horizontal="center"/>
    </xf>
    <xf numFmtId="2" fontId="7" fillId="2" borderId="33" xfId="0" applyNumberFormat="1" applyFont="1" applyFill="1" applyBorder="1" applyAlignment="1">
      <alignment horizontal="center" vertical="center" wrapText="1"/>
    </xf>
    <xf numFmtId="0" fontId="8" fillId="10" borderId="7" xfId="0" applyFont="1" applyFill="1" applyBorder="1" applyAlignment="1">
      <alignment horizontal="center" vertical="center" wrapText="1"/>
    </xf>
    <xf numFmtId="0" fontId="8" fillId="10" borderId="33" xfId="0" applyFont="1" applyFill="1" applyBorder="1"/>
    <xf numFmtId="0" fontId="8" fillId="10" borderId="33" xfId="0" applyFont="1" applyFill="1" applyBorder="1" applyAlignment="1">
      <alignment horizontal="center" vertical="center" wrapText="1"/>
    </xf>
    <xf numFmtId="14" fontId="17" fillId="10" borderId="7" xfId="0" applyNumberFormat="1" applyFont="1" applyFill="1" applyBorder="1" applyAlignment="1">
      <alignment horizontal="left" wrapText="1"/>
    </xf>
    <xf numFmtId="14" fontId="17" fillId="10" borderId="33" xfId="0" applyNumberFormat="1" applyFont="1" applyFill="1" applyBorder="1" applyAlignment="1">
      <alignment horizontal="left" vertical="center"/>
    </xf>
    <xf numFmtId="14" fontId="17" fillId="10" borderId="7" xfId="0" applyNumberFormat="1" applyFont="1" applyFill="1" applyBorder="1" applyAlignment="1">
      <alignment horizontal="left"/>
    </xf>
    <xf numFmtId="14" fontId="17" fillId="10" borderId="33" xfId="0" applyNumberFormat="1" applyFont="1" applyFill="1" applyBorder="1" applyAlignment="1">
      <alignment horizontal="left"/>
    </xf>
    <xf numFmtId="14" fontId="17" fillId="10" borderId="33" xfId="0" applyNumberFormat="1" applyFont="1" applyFill="1" applyBorder="1" applyAlignment="1">
      <alignment wrapText="1"/>
    </xf>
    <xf numFmtId="49" fontId="17" fillId="10" borderId="7" xfId="0" applyNumberFormat="1" applyFont="1" applyFill="1" applyBorder="1" applyAlignment="1">
      <alignment horizontal="center" vertical="center"/>
    </xf>
    <xf numFmtId="49" fontId="8" fillId="10" borderId="33" xfId="0" applyNumberFormat="1" applyFont="1" applyFill="1" applyBorder="1" applyAlignment="1">
      <alignment horizontal="center" vertical="center"/>
    </xf>
    <xf numFmtId="14" fontId="17" fillId="10" borderId="7" xfId="0" applyNumberFormat="1" applyFont="1" applyFill="1" applyBorder="1" applyAlignment="1">
      <alignment horizontal="center" vertical="center"/>
    </xf>
    <xf numFmtId="14" fontId="17" fillId="10" borderId="33" xfId="0" applyNumberFormat="1" applyFont="1" applyFill="1" applyBorder="1" applyAlignment="1">
      <alignment horizontal="center" vertical="center"/>
    </xf>
    <xf numFmtId="2" fontId="8" fillId="10" borderId="7" xfId="0" applyNumberFormat="1" applyFont="1" applyFill="1" applyBorder="1" applyAlignment="1">
      <alignment horizontal="center" vertical="center" wrapText="1"/>
    </xf>
    <xf numFmtId="2" fontId="8" fillId="10" borderId="33" xfId="0" applyNumberFormat="1" applyFont="1" applyFill="1" applyBorder="1" applyAlignment="1">
      <alignment horizontal="center" vertical="center" wrapText="1"/>
    </xf>
    <xf numFmtId="0" fontId="8" fillId="10" borderId="33" xfId="0" applyFont="1" applyFill="1" applyBorder="1" applyAlignment="1">
      <alignment horizontal="center" vertical="center"/>
    </xf>
    <xf numFmtId="14" fontId="17" fillId="10" borderId="7" xfId="0" applyNumberFormat="1" applyFont="1" applyFill="1" applyBorder="1" applyAlignment="1">
      <alignment horizontal="center" vertical="center" wrapText="1"/>
    </xf>
    <xf numFmtId="14" fontId="17" fillId="10" borderId="33" xfId="0" applyNumberFormat="1" applyFont="1" applyFill="1" applyBorder="1" applyAlignment="1">
      <alignment horizontal="center" vertical="center" wrapText="1"/>
    </xf>
    <xf numFmtId="0" fontId="17" fillId="10" borderId="7" xfId="0" applyFont="1" applyFill="1" applyBorder="1" applyAlignment="1">
      <alignment horizontal="center"/>
    </xf>
    <xf numFmtId="0" fontId="17" fillId="10" borderId="33" xfId="0" applyFont="1" applyFill="1" applyBorder="1" applyAlignment="1">
      <alignment horizontal="center"/>
    </xf>
    <xf numFmtId="0" fontId="8" fillId="10" borderId="33" xfId="0" applyFont="1" applyFill="1" applyBorder="1" applyAlignment="1">
      <alignment horizontal="center"/>
    </xf>
    <xf numFmtId="4" fontId="7" fillId="3" borderId="7" xfId="0" applyNumberFormat="1" applyFont="1" applyFill="1" applyBorder="1" applyAlignment="1">
      <alignment horizontal="center" vertical="center" wrapText="1"/>
    </xf>
    <xf numFmtId="0" fontId="4" fillId="2" borderId="33" xfId="0" applyFont="1" applyFill="1" applyBorder="1" applyAlignment="1">
      <alignment horizontal="center" vertical="center" wrapText="1"/>
    </xf>
    <xf numFmtId="0" fontId="7" fillId="0" borderId="22" xfId="0" applyFont="1" applyFill="1" applyBorder="1" applyAlignment="1">
      <alignment horizontal="center" vertical="center"/>
    </xf>
    <xf numFmtId="0" fontId="7" fillId="0" borderId="26" xfId="0" applyFont="1" applyFill="1" applyBorder="1" applyAlignment="1">
      <alignment horizontal="center" vertical="center"/>
    </xf>
    <xf numFmtId="49" fontId="7" fillId="2" borderId="37" xfId="0" applyNumberFormat="1" applyFont="1" applyFill="1" applyBorder="1" applyAlignment="1">
      <alignment horizontal="center" vertical="center"/>
    </xf>
    <xf numFmtId="49" fontId="7" fillId="2" borderId="34" xfId="0" applyNumberFormat="1" applyFont="1" applyFill="1" applyBorder="1" applyAlignment="1">
      <alignment horizontal="center" vertical="center"/>
    </xf>
    <xf numFmtId="0" fontId="7" fillId="3" borderId="34" xfId="0" applyFont="1" applyFill="1" applyBorder="1" applyAlignment="1">
      <alignment horizontal="center" vertical="center" wrapText="1"/>
    </xf>
    <xf numFmtId="0" fontId="8" fillId="2" borderId="34" xfId="0" applyFont="1" applyFill="1" applyBorder="1" applyAlignment="1">
      <alignment horizontal="center" vertical="center"/>
    </xf>
    <xf numFmtId="9" fontId="8" fillId="2" borderId="34" xfId="0" applyNumberFormat="1" applyFont="1" applyFill="1" applyBorder="1" applyAlignment="1">
      <alignment horizontal="center" vertical="center" wrapText="1"/>
    </xf>
    <xf numFmtId="41" fontId="8" fillId="2" borderId="34" xfId="2" applyFont="1" applyFill="1" applyBorder="1" applyAlignment="1">
      <alignment horizontal="center" vertical="center" wrapText="1"/>
    </xf>
    <xf numFmtId="14" fontId="17" fillId="2" borderId="34" xfId="0" applyNumberFormat="1" applyFont="1" applyFill="1" applyBorder="1" applyAlignment="1">
      <alignment horizontal="center" vertical="center"/>
    </xf>
    <xf numFmtId="14" fontId="17" fillId="2" borderId="34" xfId="0" applyNumberFormat="1" applyFont="1" applyFill="1" applyBorder="1" applyAlignment="1">
      <alignment horizontal="center"/>
    </xf>
    <xf numFmtId="0" fontId="8" fillId="2" borderId="34" xfId="0" applyFont="1" applyFill="1" applyBorder="1" applyAlignment="1">
      <alignment vertical="center" wrapText="1"/>
    </xf>
    <xf numFmtId="49" fontId="17" fillId="2" borderId="34" xfId="0" applyNumberFormat="1" applyFont="1" applyFill="1" applyBorder="1" applyAlignment="1">
      <alignment horizontal="center" vertical="center"/>
    </xf>
    <xf numFmtId="14" fontId="8" fillId="2" borderId="34" xfId="0" applyNumberFormat="1" applyFont="1" applyFill="1" applyBorder="1" applyAlignment="1">
      <alignment horizontal="center" vertical="center" wrapText="1"/>
    </xf>
    <xf numFmtId="164" fontId="8" fillId="2" borderId="34" xfId="1" applyFont="1" applyFill="1" applyBorder="1" applyAlignment="1">
      <alignment horizontal="center" vertical="center" wrapText="1"/>
    </xf>
    <xf numFmtId="0" fontId="8" fillId="2" borderId="34" xfId="0" applyFont="1" applyFill="1" applyBorder="1" applyAlignment="1">
      <alignment horizontal="left" vertical="center" wrapText="1"/>
    </xf>
    <xf numFmtId="0" fontId="17" fillId="2" borderId="34" xfId="0" applyFont="1" applyFill="1" applyBorder="1" applyAlignment="1">
      <alignment horizontal="center"/>
    </xf>
    <xf numFmtId="0" fontId="8" fillId="2" borderId="34" xfId="0" applyFont="1" applyFill="1" applyBorder="1" applyAlignment="1">
      <alignment horizontal="center"/>
    </xf>
    <xf numFmtId="14" fontId="17" fillId="0" borderId="34" xfId="0" applyNumberFormat="1" applyFont="1" applyBorder="1" applyAlignment="1">
      <alignment horizontal="center"/>
    </xf>
    <xf numFmtId="0" fontId="8" fillId="3" borderId="34" xfId="0" applyFont="1" applyFill="1" applyBorder="1" applyAlignment="1">
      <alignment horizontal="center" vertical="center" wrapText="1"/>
    </xf>
    <xf numFmtId="0" fontId="17" fillId="0" borderId="34" xfId="0" applyFont="1" applyBorder="1" applyAlignment="1">
      <alignment horizontal="center"/>
    </xf>
    <xf numFmtId="0" fontId="17" fillId="0" borderId="34" xfId="0" applyFont="1" applyBorder="1"/>
    <xf numFmtId="0" fontId="8" fillId="0" borderId="34" xfId="0" applyFont="1" applyBorder="1" applyAlignment="1">
      <alignment horizontal="center" vertical="center" wrapText="1"/>
    </xf>
    <xf numFmtId="0" fontId="7" fillId="0" borderId="34" xfId="0" applyFont="1" applyBorder="1" applyAlignment="1">
      <alignment horizontal="center" vertical="center" wrapText="1"/>
    </xf>
    <xf numFmtId="0" fontId="17" fillId="2" borderId="34" xfId="0" applyFont="1" applyFill="1" applyBorder="1" applyAlignment="1">
      <alignment horizontal="center" vertical="center" wrapText="1"/>
    </xf>
    <xf numFmtId="0" fontId="16" fillId="2" borderId="34" xfId="0" applyFont="1" applyFill="1" applyBorder="1" applyAlignment="1">
      <alignment horizontal="center" vertical="center" wrapText="1"/>
    </xf>
    <xf numFmtId="49" fontId="7" fillId="2" borderId="34" xfId="0" applyNumberFormat="1" applyFont="1" applyFill="1" applyBorder="1" applyAlignment="1">
      <alignment horizontal="center" vertical="center" wrapText="1"/>
    </xf>
    <xf numFmtId="1" fontId="7" fillId="2" borderId="34" xfId="0" applyNumberFormat="1" applyFont="1" applyFill="1" applyBorder="1" applyAlignment="1">
      <alignment horizontal="center" vertical="center" wrapText="1"/>
    </xf>
    <xf numFmtId="1" fontId="7" fillId="2" borderId="34" xfId="0" applyNumberFormat="1" applyFont="1" applyFill="1" applyBorder="1" applyAlignment="1">
      <alignment horizontal="center" vertical="center"/>
    </xf>
    <xf numFmtId="0" fontId="8" fillId="6" borderId="34" xfId="0" applyFont="1" applyFill="1" applyBorder="1" applyAlignment="1">
      <alignment horizontal="center" vertical="center" wrapText="1"/>
    </xf>
    <xf numFmtId="0" fontId="8" fillId="0" borderId="34" xfId="0" applyFont="1" applyFill="1" applyBorder="1" applyAlignment="1">
      <alignment horizontal="center" vertical="center" wrapText="1"/>
    </xf>
    <xf numFmtId="10" fontId="8" fillId="5" borderId="34" xfId="0" applyNumberFormat="1" applyFont="1" applyFill="1" applyBorder="1" applyAlignment="1">
      <alignment horizontal="center" vertical="center" wrapText="1"/>
    </xf>
    <xf numFmtId="0" fontId="16" fillId="3" borderId="34" xfId="0" applyFont="1" applyFill="1" applyBorder="1" applyAlignment="1">
      <alignment horizontal="center" vertical="center" wrapText="1"/>
    </xf>
    <xf numFmtId="1" fontId="8" fillId="2" borderId="34" xfId="0" applyNumberFormat="1" applyFont="1" applyFill="1" applyBorder="1" applyAlignment="1">
      <alignment horizontal="center" vertical="center" wrapText="1"/>
    </xf>
    <xf numFmtId="4" fontId="17" fillId="0" borderId="34" xfId="0" applyNumberFormat="1" applyFont="1" applyBorder="1"/>
    <xf numFmtId="4" fontId="17" fillId="0" borderId="34" xfId="0" applyNumberFormat="1" applyFont="1" applyBorder="1" applyAlignment="1">
      <alignment horizontal="center"/>
    </xf>
    <xf numFmtId="0" fontId="17" fillId="0" borderId="34" xfId="0" applyFont="1" applyBorder="1" applyAlignment="1">
      <alignment vertical="center"/>
    </xf>
    <xf numFmtId="164" fontId="8" fillId="2" borderId="34" xfId="0" applyNumberFormat="1" applyFont="1" applyFill="1" applyBorder="1" applyAlignment="1">
      <alignment horizontal="center"/>
    </xf>
    <xf numFmtId="164" fontId="7" fillId="2" borderId="34" xfId="1" applyFont="1" applyFill="1" applyBorder="1" applyAlignment="1">
      <alignment horizontal="center" vertical="center" wrapText="1"/>
    </xf>
    <xf numFmtId="2" fontId="8" fillId="2" borderId="34" xfId="0" applyNumberFormat="1" applyFont="1" applyFill="1" applyBorder="1" applyAlignment="1">
      <alignment horizontal="center" vertical="center" wrapText="1"/>
    </xf>
    <xf numFmtId="0" fontId="17" fillId="0" borderId="34" xfId="0" applyFont="1" applyBorder="1" applyAlignment="1">
      <alignment horizontal="center" vertical="center"/>
    </xf>
    <xf numFmtId="2" fontId="7" fillId="2" borderId="34" xfId="0" applyNumberFormat="1" applyFont="1" applyFill="1" applyBorder="1" applyAlignment="1">
      <alignment horizontal="center" vertical="center" wrapText="1"/>
    </xf>
    <xf numFmtId="0" fontId="0" fillId="0" borderId="33" xfId="0" applyBorder="1" applyAlignment="1">
      <alignment horizontal="center"/>
    </xf>
    <xf numFmtId="9" fontId="8" fillId="0" borderId="33" xfId="0" applyNumberFormat="1" applyFont="1" applyFill="1" applyBorder="1" applyAlignment="1">
      <alignment horizontal="center"/>
    </xf>
    <xf numFmtId="49" fontId="7" fillId="2" borderId="48" xfId="0" applyNumberFormat="1" applyFont="1" applyFill="1" applyBorder="1" applyAlignment="1">
      <alignment horizontal="center" vertical="center"/>
    </xf>
    <xf numFmtId="49" fontId="17" fillId="0" borderId="22" xfId="0" applyNumberFormat="1" applyFont="1" applyFill="1" applyBorder="1" applyAlignment="1">
      <alignment horizontal="center" vertical="center"/>
    </xf>
    <xf numFmtId="14" fontId="17" fillId="0" borderId="22" xfId="0" applyNumberFormat="1" applyFont="1" applyFill="1" applyBorder="1" applyAlignment="1">
      <alignment horizontal="center" vertical="center"/>
    </xf>
    <xf numFmtId="14" fontId="8" fillId="0" borderId="22" xfId="0" applyNumberFormat="1" applyFont="1" applyFill="1" applyBorder="1" applyAlignment="1">
      <alignment horizontal="center" vertical="center" wrapText="1"/>
    </xf>
    <xf numFmtId="164" fontId="8" fillId="0" borderId="22" xfId="1" applyFont="1" applyFill="1" applyBorder="1" applyAlignment="1">
      <alignment horizontal="center" vertical="center" wrapText="1"/>
    </xf>
    <xf numFmtId="0" fontId="8" fillId="0" borderId="22" xfId="0" applyFont="1" applyFill="1" applyBorder="1" applyAlignment="1">
      <alignment horizontal="left" vertical="center" wrapText="1"/>
    </xf>
    <xf numFmtId="14" fontId="17" fillId="0" borderId="22" xfId="0" applyNumberFormat="1" applyFont="1" applyFill="1" applyBorder="1" applyAlignment="1">
      <alignment horizontal="center"/>
    </xf>
    <xf numFmtId="0" fontId="17" fillId="0" borderId="22" xfId="0" applyFont="1" applyFill="1" applyBorder="1" applyAlignment="1">
      <alignment horizontal="center"/>
    </xf>
    <xf numFmtId="9" fontId="8" fillId="4" borderId="22" xfId="0" applyNumberFormat="1" applyFont="1" applyFill="1" applyBorder="1" applyAlignment="1">
      <alignment horizontal="center" vertical="center" wrapText="1"/>
    </xf>
    <xf numFmtId="167" fontId="8" fillId="2" borderId="22" xfId="3" applyNumberFormat="1" applyFont="1" applyFill="1" applyBorder="1" applyAlignment="1">
      <alignment horizontal="center" vertical="center" wrapText="1"/>
    </xf>
    <xf numFmtId="4" fontId="17" fillId="0" borderId="22" xfId="0" applyNumberFormat="1" applyFont="1" applyBorder="1" applyAlignment="1">
      <alignment horizontal="center" vertical="center"/>
    </xf>
    <xf numFmtId="9" fontId="17" fillId="0" borderId="22" xfId="0" applyNumberFormat="1" applyFont="1" applyBorder="1" applyAlignment="1">
      <alignment horizontal="center" vertical="center"/>
    </xf>
    <xf numFmtId="4" fontId="8" fillId="2" borderId="22" xfId="1" applyNumberFormat="1" applyFont="1" applyFill="1" applyBorder="1" applyAlignment="1">
      <alignment horizontal="center" vertical="center" wrapText="1"/>
    </xf>
    <xf numFmtId="2" fontId="17" fillId="0" borderId="22" xfId="0" applyNumberFormat="1" applyFont="1" applyBorder="1" applyAlignment="1">
      <alignment horizontal="center"/>
    </xf>
    <xf numFmtId="10" fontId="7" fillId="5" borderId="3" xfId="3" applyNumberFormat="1" applyFont="1" applyFill="1" applyBorder="1" applyAlignment="1">
      <alignment horizontal="left" vertical="center" wrapText="1"/>
    </xf>
    <xf numFmtId="10" fontId="8" fillId="5" borderId="27" xfId="3" applyNumberFormat="1" applyFont="1" applyFill="1" applyBorder="1" applyAlignment="1">
      <alignment horizontal="center" vertical="center" wrapText="1"/>
    </xf>
    <xf numFmtId="10" fontId="8" fillId="5" borderId="22" xfId="3" applyNumberFormat="1" applyFont="1" applyFill="1" applyBorder="1" applyAlignment="1">
      <alignment horizontal="center" vertical="center" wrapText="1"/>
    </xf>
    <xf numFmtId="10" fontId="8" fillId="5" borderId="34" xfId="3" applyNumberFormat="1" applyFont="1" applyFill="1" applyBorder="1" applyAlignment="1">
      <alignment horizontal="center" vertical="center" wrapText="1"/>
    </xf>
    <xf numFmtId="10" fontId="4" fillId="5" borderId="0" xfId="3" applyNumberFormat="1" applyFont="1" applyFill="1" applyBorder="1"/>
    <xf numFmtId="10" fontId="4" fillId="5" borderId="2" xfId="3" applyNumberFormat="1" applyFont="1" applyFill="1" applyBorder="1"/>
    <xf numFmtId="0" fontId="8" fillId="0" borderId="27" xfId="0" applyFont="1" applyFill="1" applyBorder="1" applyAlignment="1">
      <alignment horizontal="center" vertical="center"/>
    </xf>
    <xf numFmtId="0" fontId="8" fillId="0" borderId="22" xfId="0" applyFont="1" applyFill="1" applyBorder="1" applyAlignment="1">
      <alignment horizontal="center" vertical="center"/>
    </xf>
    <xf numFmtId="0" fontId="8" fillId="0" borderId="7" xfId="0" applyFont="1" applyFill="1" applyBorder="1" applyAlignment="1">
      <alignment vertical="center" wrapText="1"/>
    </xf>
    <xf numFmtId="0" fontId="8" fillId="0" borderId="33" xfId="0" applyFont="1" applyFill="1" applyBorder="1" applyAlignment="1">
      <alignment vertical="center" wrapText="1"/>
    </xf>
    <xf numFmtId="0" fontId="8" fillId="0" borderId="22" xfId="0" applyFont="1" applyFill="1" applyBorder="1" applyAlignment="1">
      <alignment vertical="center" wrapText="1"/>
    </xf>
    <xf numFmtId="9" fontId="8" fillId="0" borderId="7" xfId="0" applyNumberFormat="1" applyFont="1" applyFill="1" applyBorder="1" applyAlignment="1">
      <alignment horizontal="center" vertical="center" wrapText="1"/>
    </xf>
    <xf numFmtId="0" fontId="8" fillId="0" borderId="33" xfId="0" applyFont="1" applyFill="1" applyBorder="1" applyAlignment="1">
      <alignment horizontal="center" vertical="center"/>
    </xf>
    <xf numFmtId="164" fontId="8" fillId="0" borderId="7" xfId="1" applyFont="1" applyFill="1" applyBorder="1" applyAlignment="1">
      <alignment horizontal="center" vertical="center" wrapText="1"/>
    </xf>
    <xf numFmtId="164" fontId="8" fillId="0" borderId="33" xfId="1" applyFont="1" applyFill="1" applyBorder="1" applyAlignment="1">
      <alignment horizontal="center" vertical="center"/>
    </xf>
    <xf numFmtId="41" fontId="8" fillId="0" borderId="27" xfId="2" applyFont="1" applyFill="1" applyBorder="1" applyAlignment="1">
      <alignment horizontal="center" vertical="center" wrapText="1"/>
    </xf>
    <xf numFmtId="164" fontId="8" fillId="0" borderId="22" xfId="1" applyFont="1" applyFill="1" applyBorder="1" applyAlignment="1">
      <alignment horizontal="center" vertical="center"/>
    </xf>
    <xf numFmtId="0" fontId="8" fillId="0" borderId="27" xfId="0" applyFont="1" applyFill="1" applyBorder="1" applyAlignment="1">
      <alignment vertical="center" wrapText="1"/>
    </xf>
    <xf numFmtId="0" fontId="8" fillId="0" borderId="33" xfId="0" applyFont="1" applyFill="1" applyBorder="1"/>
    <xf numFmtId="0" fontId="8" fillId="0" borderId="22" xfId="0" applyFont="1" applyFill="1" applyBorder="1"/>
    <xf numFmtId="14" fontId="17" fillId="0" borderId="7" xfId="0" applyNumberFormat="1" applyFont="1" applyFill="1" applyBorder="1"/>
    <xf numFmtId="14" fontId="17" fillId="0" borderId="33" xfId="0" applyNumberFormat="1" applyFont="1" applyFill="1" applyBorder="1"/>
    <xf numFmtId="14" fontId="17" fillId="0" borderId="27" xfId="0" applyNumberFormat="1" applyFont="1" applyFill="1" applyBorder="1"/>
    <xf numFmtId="14" fontId="17" fillId="0" borderId="22" xfId="0" applyNumberFormat="1" applyFont="1" applyFill="1" applyBorder="1"/>
    <xf numFmtId="49" fontId="17" fillId="0" borderId="7" xfId="0" applyNumberFormat="1" applyFont="1" applyFill="1" applyBorder="1" applyAlignment="1">
      <alignment horizontal="center" vertical="center"/>
    </xf>
    <xf numFmtId="49" fontId="8" fillId="0" borderId="33" xfId="0" applyNumberFormat="1" applyFont="1" applyFill="1" applyBorder="1" applyAlignment="1">
      <alignment horizontal="center" vertical="center"/>
    </xf>
    <xf numFmtId="49" fontId="17" fillId="0" borderId="27" xfId="0" applyNumberFormat="1" applyFont="1" applyFill="1" applyBorder="1" applyAlignment="1">
      <alignment horizontal="center" vertical="center"/>
    </xf>
    <xf numFmtId="49" fontId="8" fillId="0" borderId="22" xfId="0" applyNumberFormat="1" applyFont="1" applyFill="1" applyBorder="1" applyAlignment="1">
      <alignment horizontal="center" vertical="center"/>
    </xf>
    <xf numFmtId="14" fontId="17" fillId="0" borderId="7" xfId="0" applyNumberFormat="1" applyFont="1" applyFill="1" applyBorder="1" applyAlignment="1">
      <alignment horizontal="center"/>
    </xf>
    <xf numFmtId="14" fontId="17" fillId="0" borderId="33" xfId="0" applyNumberFormat="1" applyFont="1" applyFill="1" applyBorder="1" applyAlignment="1">
      <alignment horizontal="center"/>
    </xf>
    <xf numFmtId="14" fontId="17" fillId="0" borderId="27" xfId="0" applyNumberFormat="1" applyFont="1" applyFill="1" applyBorder="1" applyAlignment="1">
      <alignment horizontal="center" vertical="center"/>
    </xf>
    <xf numFmtId="2" fontId="8" fillId="0" borderId="7" xfId="0" applyNumberFormat="1" applyFont="1" applyFill="1" applyBorder="1" applyAlignment="1">
      <alignment horizontal="center" vertical="center" wrapText="1"/>
    </xf>
    <xf numFmtId="2" fontId="8" fillId="0" borderId="33" xfId="0" applyNumberFormat="1" applyFont="1" applyFill="1" applyBorder="1" applyAlignment="1">
      <alignment horizontal="center" vertical="center" wrapText="1"/>
    </xf>
    <xf numFmtId="14" fontId="8" fillId="0" borderId="27" xfId="0" applyNumberFormat="1" applyFont="1" applyFill="1" applyBorder="1" applyAlignment="1">
      <alignment horizontal="center" vertical="center" wrapText="1"/>
    </xf>
    <xf numFmtId="2" fontId="8" fillId="0" borderId="22" xfId="0" applyNumberFormat="1" applyFont="1" applyFill="1" applyBorder="1" applyAlignment="1">
      <alignment horizontal="center" vertical="center" wrapText="1"/>
    </xf>
    <xf numFmtId="164" fontId="8" fillId="0" borderId="27" xfId="1" applyFont="1" applyFill="1" applyBorder="1" applyAlignment="1">
      <alignment horizontal="center" vertical="center" wrapText="1"/>
    </xf>
    <xf numFmtId="0" fontId="8" fillId="0" borderId="7" xfId="0" applyFont="1" applyFill="1" applyBorder="1" applyAlignment="1">
      <alignment horizontal="left" vertical="center" wrapText="1"/>
    </xf>
    <xf numFmtId="0" fontId="8" fillId="0" borderId="33" xfId="0" applyFont="1" applyFill="1" applyBorder="1" applyAlignment="1">
      <alignment horizontal="left" vertical="center" wrapText="1"/>
    </xf>
    <xf numFmtId="0" fontId="8" fillId="0" borderId="27" xfId="0" applyFont="1" applyFill="1" applyBorder="1" applyAlignment="1">
      <alignment horizontal="left" vertical="center" wrapText="1"/>
    </xf>
    <xf numFmtId="0" fontId="8" fillId="0" borderId="33" xfId="0" applyFont="1" applyFill="1" applyBorder="1" applyAlignment="1">
      <alignment wrapText="1"/>
    </xf>
    <xf numFmtId="0" fontId="8" fillId="0" borderId="22" xfId="0" applyFont="1" applyFill="1" applyBorder="1" applyAlignment="1">
      <alignment wrapText="1"/>
    </xf>
    <xf numFmtId="14" fontId="17" fillId="0" borderId="27" xfId="0" applyNumberFormat="1" applyFont="1" applyFill="1" applyBorder="1" applyAlignment="1">
      <alignment horizontal="center"/>
    </xf>
    <xf numFmtId="0" fontId="17" fillId="0" borderId="7" xfId="0" applyFont="1" applyFill="1" applyBorder="1" applyAlignment="1">
      <alignment horizontal="center"/>
    </xf>
    <xf numFmtId="0" fontId="17" fillId="0" borderId="33" xfId="0" applyFont="1" applyFill="1" applyBorder="1" applyAlignment="1">
      <alignment horizontal="center"/>
    </xf>
    <xf numFmtId="0" fontId="17" fillId="0" borderId="27" xfId="0" applyFont="1" applyFill="1" applyBorder="1" applyAlignment="1">
      <alignment horizontal="center"/>
    </xf>
    <xf numFmtId="14" fontId="8" fillId="0" borderId="33" xfId="0" applyNumberFormat="1" applyFont="1" applyFill="1" applyBorder="1" applyAlignment="1">
      <alignment horizontal="center" vertical="center" wrapText="1"/>
    </xf>
    <xf numFmtId="0" fontId="8" fillId="0" borderId="27" xfId="0" applyFont="1" applyFill="1" applyBorder="1" applyAlignment="1">
      <alignment horizontal="center"/>
    </xf>
    <xf numFmtId="14" fontId="8" fillId="0" borderId="33" xfId="0" applyNumberFormat="1" applyFont="1" applyFill="1" applyBorder="1" applyAlignment="1">
      <alignment horizontal="center"/>
    </xf>
    <xf numFmtId="14" fontId="8" fillId="0" borderId="22" xfId="0" applyNumberFormat="1" applyFont="1" applyFill="1" applyBorder="1" applyAlignment="1">
      <alignment horizontal="center"/>
    </xf>
    <xf numFmtId="0" fontId="8" fillId="0" borderId="1" xfId="0" applyFont="1" applyFill="1" applyBorder="1" applyAlignment="1">
      <alignment vertical="center" wrapText="1"/>
    </xf>
    <xf numFmtId="0" fontId="8" fillId="0" borderId="1" xfId="0" applyFont="1" applyFill="1" applyBorder="1" applyAlignment="1">
      <alignment horizontal="center" vertical="center"/>
    </xf>
    <xf numFmtId="164" fontId="8" fillId="0" borderId="1" xfId="1" applyFont="1" applyFill="1" applyBorder="1" applyAlignment="1">
      <alignment horizontal="center" vertical="center"/>
    </xf>
    <xf numFmtId="0" fontId="8" fillId="0" borderId="1" xfId="0" applyFont="1" applyFill="1" applyBorder="1"/>
    <xf numFmtId="14" fontId="17" fillId="0" borderId="1" xfId="0" applyNumberFormat="1" applyFont="1" applyFill="1" applyBorder="1"/>
    <xf numFmtId="49" fontId="8" fillId="0" borderId="1" xfId="0" applyNumberFormat="1" applyFont="1" applyFill="1" applyBorder="1" applyAlignment="1">
      <alignment horizontal="center" vertical="center"/>
    </xf>
    <xf numFmtId="49" fontId="17" fillId="0" borderId="33" xfId="0" applyNumberFormat="1" applyFont="1" applyFill="1" applyBorder="1" applyAlignment="1">
      <alignment horizontal="center" vertical="center"/>
    </xf>
    <xf numFmtId="2" fontId="8" fillId="0" borderId="1" xfId="0" applyNumberFormat="1" applyFont="1" applyFill="1" applyBorder="1" applyAlignment="1">
      <alignment horizontal="center" vertical="center" wrapText="1"/>
    </xf>
    <xf numFmtId="14" fontId="8" fillId="0" borderId="1" xfId="0" applyNumberFormat="1" applyFont="1" applyFill="1" applyBorder="1" applyAlignment="1">
      <alignment horizontal="center"/>
    </xf>
    <xf numFmtId="0" fontId="5" fillId="2" borderId="0" xfId="0" applyFont="1" applyFill="1" applyBorder="1" applyAlignment="1">
      <alignment wrapText="1"/>
    </xf>
    <xf numFmtId="0" fontId="18" fillId="2" borderId="16" xfId="0" applyFont="1" applyFill="1" applyBorder="1" applyAlignment="1">
      <alignment wrapText="1"/>
    </xf>
    <xf numFmtId="0" fontId="8" fillId="2" borderId="7"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3" xfId="0" applyFont="1" applyFill="1" applyBorder="1" applyAlignment="1">
      <alignment horizontal="center" vertical="center"/>
    </xf>
    <xf numFmtId="0" fontId="8" fillId="2" borderId="3" xfId="0" applyFont="1" applyFill="1" applyBorder="1" applyAlignment="1">
      <alignment horizontal="center" vertical="center"/>
    </xf>
    <xf numFmtId="0" fontId="16" fillId="2" borderId="27"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33" xfId="0" applyFont="1" applyFill="1" applyBorder="1" applyAlignment="1">
      <alignment horizontal="center" vertical="center" wrapText="1"/>
    </xf>
    <xf numFmtId="164" fontId="7" fillId="2" borderId="7" xfId="1" applyFont="1" applyFill="1" applyBorder="1" applyAlignment="1">
      <alignment horizontal="center" vertical="center" wrapText="1"/>
    </xf>
    <xf numFmtId="0" fontId="8" fillId="2" borderId="3" xfId="0" applyFont="1" applyFill="1" applyBorder="1" applyAlignment="1">
      <alignment horizontal="center"/>
    </xf>
    <xf numFmtId="0" fontId="8" fillId="0" borderId="3" xfId="0" applyFont="1" applyFill="1" applyBorder="1"/>
    <xf numFmtId="14" fontId="17" fillId="0" borderId="3" xfId="0" applyNumberFormat="1" applyFont="1" applyFill="1" applyBorder="1"/>
    <xf numFmtId="0" fontId="8" fillId="2" borderId="2" xfId="0" applyFont="1" applyFill="1" applyBorder="1" applyAlignment="1">
      <alignment horizontal="center" vertical="center" wrapText="1"/>
    </xf>
    <xf numFmtId="14" fontId="17" fillId="2" borderId="2" xfId="0" applyNumberFormat="1" applyFont="1" applyFill="1" applyBorder="1" applyAlignment="1">
      <alignment horizontal="center"/>
    </xf>
    <xf numFmtId="14" fontId="8" fillId="2" borderId="1" xfId="0" applyNumberFormat="1" applyFont="1" applyFill="1" applyBorder="1" applyAlignment="1">
      <alignment vertical="center" wrapText="1"/>
    </xf>
    <xf numFmtId="10" fontId="8" fillId="2" borderId="22" xfId="0" applyNumberFormat="1" applyFont="1" applyFill="1" applyBorder="1" applyAlignment="1">
      <alignment horizontal="center" vertical="center" wrapText="1"/>
    </xf>
    <xf numFmtId="9" fontId="8" fillId="5" borderId="34" xfId="0" applyNumberFormat="1"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33" xfId="0" applyFont="1" applyFill="1" applyBorder="1" applyAlignment="1">
      <alignment horizontal="center" vertical="center" wrapText="1"/>
    </xf>
    <xf numFmtId="9" fontId="8" fillId="2" borderId="34" xfId="0" applyNumberFormat="1" applyFont="1" applyFill="1" applyBorder="1" applyAlignment="1">
      <alignment horizontal="center" vertical="center" wrapText="1"/>
    </xf>
    <xf numFmtId="10" fontId="8" fillId="7" borderId="7" xfId="3" applyNumberFormat="1" applyFont="1" applyFill="1" applyBorder="1" applyAlignment="1">
      <alignment horizontal="center" vertical="center" wrapText="1"/>
    </xf>
    <xf numFmtId="3" fontId="8" fillId="2" borderId="33" xfId="0" applyNumberFormat="1" applyFont="1" applyFill="1" applyBorder="1" applyAlignment="1">
      <alignment horizontal="right" vertical="center" wrapText="1"/>
    </xf>
    <xf numFmtId="0" fontId="17" fillId="0" borderId="3" xfId="0" applyFont="1" applyBorder="1" applyAlignment="1">
      <alignment horizontal="right"/>
    </xf>
    <xf numFmtId="0" fontId="17" fillId="0" borderId="7" xfId="0" applyFont="1" applyBorder="1" applyAlignment="1">
      <alignment horizontal="right"/>
    </xf>
    <xf numFmtId="49" fontId="7" fillId="2" borderId="1" xfId="0" applyNumberFormat="1" applyFont="1" applyFill="1" applyBorder="1" applyAlignment="1">
      <alignment horizontal="center" vertical="center"/>
    </xf>
    <xf numFmtId="49" fontId="7" fillId="13" borderId="1" xfId="0" applyNumberFormat="1" applyFont="1" applyFill="1" applyBorder="1" applyAlignment="1">
      <alignment horizontal="center" vertical="center"/>
    </xf>
    <xf numFmtId="0" fontId="11" fillId="13" borderId="1" xfId="0" applyFont="1" applyFill="1" applyBorder="1" applyAlignment="1">
      <alignment horizontal="center" vertical="center"/>
    </xf>
    <xf numFmtId="0" fontId="16" fillId="0" borderId="1" xfId="0" applyFont="1" applyBorder="1" applyAlignment="1">
      <alignment horizontal="center"/>
    </xf>
    <xf numFmtId="0" fontId="16" fillId="13" borderId="1" xfId="0" applyFont="1" applyFill="1" applyBorder="1" applyAlignment="1">
      <alignment horizontal="center"/>
    </xf>
    <xf numFmtId="0" fontId="7" fillId="2" borderId="1" xfId="0" applyFont="1" applyFill="1" applyBorder="1"/>
    <xf numFmtId="0" fontId="16"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13" borderId="1" xfId="0" applyFont="1" applyFill="1" applyBorder="1" applyAlignment="1">
      <alignment horizontal="center" vertical="center" wrapText="1"/>
    </xf>
    <xf numFmtId="2" fontId="0" fillId="0" borderId="0" xfId="3" applyNumberFormat="1" applyFont="1"/>
    <xf numFmtId="2" fontId="0" fillId="0" borderId="0" xfId="0" applyNumberFormat="1"/>
    <xf numFmtId="0" fontId="0" fillId="7" borderId="0" xfId="0" applyFill="1"/>
    <xf numFmtId="0" fontId="8" fillId="2" borderId="3"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0" fillId="0" borderId="1" xfId="0" applyBorder="1" applyAlignment="1">
      <alignment horizontal="center"/>
    </xf>
    <xf numFmtId="0" fontId="0" fillId="13" borderId="1" xfId="0" applyFill="1" applyBorder="1" applyAlignment="1">
      <alignment horizontal="center"/>
    </xf>
    <xf numFmtId="2" fontId="0" fillId="0" borderId="1" xfId="3" applyNumberFormat="1" applyFont="1" applyFill="1" applyBorder="1" applyAlignment="1">
      <alignment horizontal="center"/>
    </xf>
    <xf numFmtId="0" fontId="0" fillId="0" borderId="0" xfId="0" applyAlignment="1">
      <alignment horizontal="center"/>
    </xf>
    <xf numFmtId="2" fontId="26" fillId="0" borderId="1" xfId="0" applyNumberFormat="1" applyFont="1" applyBorder="1" applyAlignment="1">
      <alignment horizontal="center"/>
    </xf>
    <xf numFmtId="0" fontId="26" fillId="0" borderId="44" xfId="0" applyFont="1" applyBorder="1" applyAlignment="1">
      <alignment wrapText="1"/>
    </xf>
    <xf numFmtId="0" fontId="26" fillId="0" borderId="0" xfId="0" applyFont="1" applyFill="1" applyBorder="1" applyAlignment="1"/>
    <xf numFmtId="0" fontId="0" fillId="14" borderId="1" xfId="0" applyFill="1" applyBorder="1" applyAlignment="1">
      <alignment horizontal="center"/>
    </xf>
    <xf numFmtId="2" fontId="0" fillId="14" borderId="1" xfId="3" applyNumberFormat="1" applyFont="1" applyFill="1" applyBorder="1" applyAlignment="1">
      <alignment horizontal="center"/>
    </xf>
    <xf numFmtId="2" fontId="26" fillId="14" borderId="1" xfId="0" applyNumberFormat="1" applyFont="1" applyFill="1" applyBorder="1" applyAlignment="1">
      <alignment horizontal="center"/>
    </xf>
    <xf numFmtId="2" fontId="0" fillId="13" borderId="1" xfId="3" applyNumberFormat="1" applyFont="1" applyFill="1" applyBorder="1" applyAlignment="1">
      <alignment horizontal="center"/>
    </xf>
    <xf numFmtId="2" fontId="26" fillId="13" borderId="1" xfId="0" applyNumberFormat="1" applyFont="1" applyFill="1" applyBorder="1" applyAlignment="1">
      <alignment horizontal="center"/>
    </xf>
    <xf numFmtId="0" fontId="27" fillId="15" borderId="51" xfId="0" applyFont="1" applyFill="1" applyBorder="1" applyAlignment="1">
      <alignment horizontal="center" vertical="center" wrapText="1"/>
    </xf>
    <xf numFmtId="0" fontId="27" fillId="15" borderId="52" xfId="0" applyFont="1" applyFill="1" applyBorder="1" applyAlignment="1">
      <alignment horizontal="center" vertical="center" wrapText="1"/>
    </xf>
    <xf numFmtId="0" fontId="28" fillId="15" borderId="51" xfId="0" applyFont="1" applyFill="1" applyBorder="1" applyAlignment="1">
      <alignment horizontal="center" vertical="center" wrapText="1"/>
    </xf>
    <xf numFmtId="0" fontId="28" fillId="0" borderId="51" xfId="0" applyFont="1" applyBorder="1" applyAlignment="1">
      <alignment horizontal="center" vertical="center" wrapText="1"/>
    </xf>
    <xf numFmtId="0" fontId="28" fillId="0" borderId="52" xfId="0" applyFont="1" applyBorder="1" applyAlignment="1">
      <alignment vertical="center" wrapText="1"/>
    </xf>
    <xf numFmtId="0" fontId="29" fillId="0" borderId="52" xfId="0" applyFont="1" applyBorder="1" applyAlignment="1">
      <alignment horizontal="center" vertical="center" wrapText="1"/>
    </xf>
    <xf numFmtId="42" fontId="29" fillId="0" borderId="52" xfId="0" applyNumberFormat="1" applyFont="1" applyBorder="1" applyAlignment="1">
      <alignment horizontal="center" vertical="center" wrapText="1"/>
    </xf>
    <xf numFmtId="0" fontId="28" fillId="5" borderId="51" xfId="0" applyFont="1" applyFill="1" applyBorder="1" applyAlignment="1">
      <alignment horizontal="center" vertical="center" wrapText="1"/>
    </xf>
    <xf numFmtId="42" fontId="29" fillId="5" borderId="52" xfId="0" applyNumberFormat="1" applyFont="1" applyFill="1" applyBorder="1" applyAlignment="1">
      <alignment horizontal="center" vertical="center" wrapText="1"/>
    </xf>
    <xf numFmtId="42" fontId="31" fillId="5" borderId="52" xfId="0" applyNumberFormat="1" applyFont="1" applyFill="1" applyBorder="1" applyAlignment="1">
      <alignment vertical="center" wrapText="1"/>
    </xf>
    <xf numFmtId="44" fontId="17" fillId="0" borderId="53" xfId="4" applyFont="1" applyBorder="1" applyAlignment="1">
      <alignment horizontal="center" vertical="center"/>
    </xf>
    <xf numFmtId="44" fontId="29" fillId="5" borderId="52" xfId="0" applyNumberFormat="1" applyFont="1" applyFill="1" applyBorder="1" applyAlignment="1">
      <alignment horizontal="center" vertical="center" wrapText="1"/>
    </xf>
    <xf numFmtId="44" fontId="29" fillId="0" borderId="52" xfId="0" applyNumberFormat="1" applyFont="1" applyBorder="1" applyAlignment="1">
      <alignment horizontal="center" vertical="center" wrapText="1"/>
    </xf>
    <xf numFmtId="44" fontId="29" fillId="0" borderId="52" xfId="4" applyFont="1" applyBorder="1" applyAlignment="1">
      <alignment horizontal="center" vertical="center" wrapText="1"/>
    </xf>
    <xf numFmtId="44" fontId="31" fillId="5" borderId="52" xfId="0" applyNumberFormat="1" applyFont="1" applyFill="1" applyBorder="1" applyAlignment="1">
      <alignment vertical="center" wrapText="1"/>
    </xf>
    <xf numFmtId="164" fontId="29" fillId="0" borderId="52" xfId="1" applyFont="1" applyBorder="1" applyAlignment="1">
      <alignment horizontal="center" vertical="center" wrapText="1"/>
    </xf>
    <xf numFmtId="43" fontId="31" fillId="5" borderId="52" xfId="0" applyNumberFormat="1" applyFont="1" applyFill="1" applyBorder="1" applyAlignment="1">
      <alignment horizontal="center" vertical="center" wrapText="1"/>
    </xf>
    <xf numFmtId="43" fontId="29" fillId="5" borderId="52" xfId="0" applyNumberFormat="1" applyFont="1" applyFill="1" applyBorder="1" applyAlignment="1">
      <alignment horizontal="center" vertical="center" wrapText="1"/>
    </xf>
    <xf numFmtId="43" fontId="29" fillId="0" borderId="52" xfId="0" applyNumberFormat="1" applyFont="1" applyBorder="1" applyAlignment="1">
      <alignment horizontal="center" vertical="center" wrapText="1"/>
    </xf>
    <xf numFmtId="164" fontId="29" fillId="5" borderId="52" xfId="1" applyFont="1" applyFill="1" applyBorder="1" applyAlignment="1">
      <alignment horizontal="center" vertical="center" wrapText="1"/>
    </xf>
    <xf numFmtId="43" fontId="31" fillId="5" borderId="52" xfId="0" applyNumberFormat="1" applyFont="1" applyFill="1" applyBorder="1" applyAlignment="1">
      <alignment vertical="center" wrapText="1"/>
    </xf>
    <xf numFmtId="169" fontId="29" fillId="0" borderId="52" xfId="0" applyNumberFormat="1" applyFont="1" applyBorder="1" applyAlignment="1">
      <alignment horizontal="center" vertical="center" wrapText="1"/>
    </xf>
    <xf numFmtId="169" fontId="29" fillId="5" borderId="52" xfId="0" applyNumberFormat="1" applyFont="1" applyFill="1" applyBorder="1" applyAlignment="1">
      <alignment horizontal="center" vertical="center" wrapText="1"/>
    </xf>
    <xf numFmtId="170" fontId="31" fillId="5" borderId="52" xfId="0" applyNumberFormat="1" applyFont="1" applyFill="1" applyBorder="1" applyAlignment="1">
      <alignment vertical="center" wrapText="1"/>
    </xf>
    <xf numFmtId="0" fontId="27" fillId="15" borderId="51" xfId="0" applyFont="1" applyFill="1" applyBorder="1" applyAlignment="1" applyProtection="1">
      <alignment horizontal="center" vertical="center" wrapText="1"/>
      <protection hidden="1"/>
    </xf>
    <xf numFmtId="0" fontId="27" fillId="15" borderId="52" xfId="0" applyFont="1" applyFill="1" applyBorder="1" applyAlignment="1" applyProtection="1">
      <alignment horizontal="center" vertical="center" wrapText="1"/>
      <protection hidden="1"/>
    </xf>
    <xf numFmtId="0" fontId="28" fillId="15" borderId="51" xfId="0" applyFont="1" applyFill="1" applyBorder="1" applyAlignment="1" applyProtection="1">
      <alignment horizontal="center" vertical="center" wrapText="1"/>
      <protection hidden="1"/>
    </xf>
    <xf numFmtId="0" fontId="28" fillId="0" borderId="51" xfId="0" applyFont="1" applyBorder="1" applyAlignment="1" applyProtection="1">
      <alignment horizontal="center" vertical="center" wrapText="1"/>
      <protection hidden="1"/>
    </xf>
    <xf numFmtId="0" fontId="28" fillId="0" borderId="52" xfId="0" applyFont="1" applyBorder="1" applyAlignment="1" applyProtection="1">
      <alignment vertical="center" wrapText="1"/>
      <protection hidden="1"/>
    </xf>
    <xf numFmtId="0" fontId="29" fillId="0" borderId="52" xfId="0" applyFont="1" applyBorder="1" applyAlignment="1" applyProtection="1">
      <alignment horizontal="center" vertical="center" wrapText="1"/>
      <protection hidden="1"/>
    </xf>
    <xf numFmtId="41" fontId="29" fillId="0" borderId="52" xfId="0" applyNumberFormat="1" applyFont="1" applyBorder="1" applyAlignment="1" applyProtection="1">
      <alignment horizontal="center" vertical="center" wrapText="1"/>
      <protection hidden="1"/>
    </xf>
    <xf numFmtId="0" fontId="28" fillId="5" borderId="51" xfId="0" applyFont="1" applyFill="1" applyBorder="1" applyAlignment="1" applyProtection="1">
      <alignment horizontal="center" vertical="center" wrapText="1"/>
      <protection hidden="1"/>
    </xf>
    <xf numFmtId="44" fontId="29" fillId="5" borderId="52" xfId="4" applyFont="1" applyFill="1" applyBorder="1" applyAlignment="1" applyProtection="1">
      <alignment horizontal="center" vertical="center" wrapText="1"/>
      <protection hidden="1"/>
    </xf>
    <xf numFmtId="44" fontId="29" fillId="0" borderId="52" xfId="4" applyFont="1" applyBorder="1" applyAlignment="1" applyProtection="1">
      <alignment horizontal="center" vertical="center" wrapText="1"/>
      <protection hidden="1"/>
    </xf>
    <xf numFmtId="44" fontId="29" fillId="5" borderId="52" xfId="0" applyNumberFormat="1" applyFont="1" applyFill="1" applyBorder="1" applyAlignment="1" applyProtection="1">
      <alignment horizontal="center" vertical="center" wrapText="1"/>
      <protection hidden="1"/>
    </xf>
    <xf numFmtId="171" fontId="29" fillId="0" borderId="52" xfId="4" applyNumberFormat="1" applyFont="1" applyBorder="1" applyAlignment="1" applyProtection="1">
      <alignment horizontal="center" vertical="center" wrapText="1"/>
      <protection hidden="1"/>
    </xf>
    <xf numFmtId="171" fontId="29" fillId="5" borderId="52" xfId="4" applyNumberFormat="1" applyFont="1" applyFill="1" applyBorder="1" applyAlignment="1" applyProtection="1">
      <alignment horizontal="center" vertical="center" wrapText="1"/>
      <protection hidden="1"/>
    </xf>
    <xf numFmtId="171" fontId="29" fillId="5" borderId="52" xfId="0" applyNumberFormat="1" applyFont="1" applyFill="1" applyBorder="1" applyAlignment="1" applyProtection="1">
      <alignment horizontal="center" vertical="center" wrapText="1"/>
      <protection hidden="1"/>
    </xf>
    <xf numFmtId="171" fontId="31" fillId="5" borderId="52" xfId="0" applyNumberFormat="1" applyFont="1" applyFill="1" applyBorder="1" applyAlignment="1" applyProtection="1">
      <alignment vertical="center" wrapText="1"/>
      <protection hidden="1"/>
    </xf>
    <xf numFmtId="0" fontId="27" fillId="15" borderId="31" xfId="0" applyFont="1" applyFill="1" applyBorder="1" applyAlignment="1">
      <alignment horizontal="center" vertical="center" wrapText="1"/>
    </xf>
    <xf numFmtId="0" fontId="27" fillId="15" borderId="49" xfId="0" applyFont="1" applyFill="1" applyBorder="1" applyAlignment="1">
      <alignment horizontal="center" vertical="center" wrapText="1"/>
    </xf>
    <xf numFmtId="0" fontId="27" fillId="15" borderId="49" xfId="0" applyFont="1" applyFill="1" applyBorder="1" applyAlignment="1">
      <alignment horizontal="center" wrapText="1"/>
    </xf>
    <xf numFmtId="0" fontId="27" fillId="15" borderId="50" xfId="0" applyFont="1" applyFill="1" applyBorder="1" applyAlignment="1">
      <alignment horizontal="center" vertical="center" wrapText="1"/>
    </xf>
    <xf numFmtId="1" fontId="33" fillId="0" borderId="54" xfId="0" applyNumberFormat="1" applyFont="1" applyBorder="1" applyAlignment="1">
      <alignment horizontal="center" vertical="center" shrinkToFit="1"/>
    </xf>
    <xf numFmtId="0" fontId="34" fillId="0" borderId="54" xfId="0" applyFont="1" applyBorder="1" applyAlignment="1">
      <alignment horizontal="justify" vertical="center" wrapText="1"/>
    </xf>
    <xf numFmtId="1" fontId="36" fillId="0" borderId="54" xfId="0" applyNumberFormat="1" applyFont="1" applyBorder="1" applyAlignment="1">
      <alignment horizontal="center" vertical="center" shrinkToFit="1"/>
    </xf>
    <xf numFmtId="172" fontId="0" fillId="0" borderId="54" xfId="1" applyNumberFormat="1" applyFont="1" applyBorder="1" applyAlignment="1">
      <alignment horizontal="center" vertical="center" wrapText="1"/>
    </xf>
    <xf numFmtId="0" fontId="37" fillId="0" borderId="54" xfId="0" applyFont="1" applyBorder="1" applyAlignment="1">
      <alignment horizontal="center" vertical="center" wrapText="1"/>
    </xf>
    <xf numFmtId="172" fontId="37" fillId="0" borderId="54" xfId="0" applyNumberFormat="1" applyFont="1" applyBorder="1" applyAlignment="1">
      <alignment horizontal="center" vertical="center" wrapText="1"/>
    </xf>
    <xf numFmtId="0" fontId="34" fillId="0" borderId="54" xfId="0" applyFont="1" applyBorder="1" applyAlignment="1">
      <alignment horizontal="justify" vertical="justify" wrapText="1"/>
    </xf>
    <xf numFmtId="1" fontId="33" fillId="16" borderId="54" xfId="0" applyNumberFormat="1" applyFont="1" applyFill="1" applyBorder="1" applyAlignment="1">
      <alignment horizontal="center" vertical="center" shrinkToFit="1"/>
    </xf>
    <xf numFmtId="172" fontId="40" fillId="16" borderId="54" xfId="0" applyNumberFormat="1" applyFont="1" applyFill="1" applyBorder="1" applyAlignment="1">
      <alignment vertical="center" wrapText="1"/>
    </xf>
    <xf numFmtId="0" fontId="34" fillId="0" borderId="54" xfId="0" applyFont="1" applyBorder="1" applyAlignment="1">
      <alignment horizontal="left" vertical="top" wrapText="1"/>
    </xf>
    <xf numFmtId="0" fontId="37" fillId="0" borderId="54" xfId="0" applyFont="1" applyBorder="1" applyAlignment="1">
      <alignment horizontal="center" vertical="top" wrapText="1"/>
    </xf>
    <xf numFmtId="172" fontId="37" fillId="0" borderId="54" xfId="1" applyNumberFormat="1" applyFont="1" applyBorder="1" applyAlignment="1">
      <alignment horizontal="center" vertical="center" wrapText="1"/>
    </xf>
    <xf numFmtId="1" fontId="41" fillId="16" borderId="54" xfId="0" applyNumberFormat="1" applyFont="1" applyFill="1" applyBorder="1" applyAlignment="1">
      <alignment horizontal="center" vertical="top" shrinkToFit="1"/>
    </xf>
    <xf numFmtId="172" fontId="40" fillId="16" borderId="54" xfId="0" applyNumberFormat="1" applyFont="1" applyFill="1" applyBorder="1" applyAlignment="1">
      <alignment horizontal="center" vertical="center" wrapText="1"/>
    </xf>
    <xf numFmtId="172" fontId="0" fillId="0" borderId="54" xfId="1" applyNumberFormat="1" applyFont="1" applyBorder="1" applyAlignment="1">
      <alignment horizontal="left" vertical="center" wrapText="1"/>
    </xf>
    <xf numFmtId="2" fontId="36" fillId="0" borderId="54" xfId="0" applyNumberFormat="1" applyFont="1" applyBorder="1" applyAlignment="1">
      <alignment horizontal="center" vertical="center" shrinkToFit="1"/>
    </xf>
    <xf numFmtId="1" fontId="33" fillId="0" borderId="58" xfId="0" applyNumberFormat="1" applyFont="1" applyBorder="1" applyAlignment="1">
      <alignment horizontal="center" vertical="center" shrinkToFit="1"/>
    </xf>
    <xf numFmtId="0" fontId="34" fillId="0" borderId="58" xfId="0" applyFont="1" applyBorder="1" applyAlignment="1">
      <alignment horizontal="justify" vertical="center" wrapText="1"/>
    </xf>
    <xf numFmtId="1" fontId="36" fillId="0" borderId="58" xfId="0" applyNumberFormat="1" applyFont="1" applyBorder="1" applyAlignment="1">
      <alignment horizontal="center" vertical="center" shrinkToFit="1"/>
    </xf>
    <xf numFmtId="172" fontId="0" fillId="0" borderId="58" xfId="1" applyNumberFormat="1" applyFont="1" applyBorder="1" applyAlignment="1">
      <alignment horizontal="left" vertical="center" wrapText="1"/>
    </xf>
    <xf numFmtId="2" fontId="36" fillId="0" borderId="58" xfId="0" applyNumberFormat="1" applyFont="1" applyBorder="1" applyAlignment="1">
      <alignment horizontal="center" vertical="center" shrinkToFit="1"/>
    </xf>
    <xf numFmtId="172" fontId="37" fillId="0" borderId="58" xfId="0" applyNumberFormat="1" applyFont="1" applyBorder="1" applyAlignment="1">
      <alignment horizontal="center" vertical="center" wrapText="1"/>
    </xf>
    <xf numFmtId="1" fontId="41" fillId="16" borderId="59" xfId="0" applyNumberFormat="1" applyFont="1" applyFill="1" applyBorder="1" applyAlignment="1">
      <alignment horizontal="center" vertical="center" shrinkToFit="1"/>
    </xf>
    <xf numFmtId="172" fontId="40" fillId="16" borderId="62" xfId="0" applyNumberFormat="1" applyFont="1" applyFill="1" applyBorder="1" applyAlignment="1">
      <alignment horizontal="center" vertical="center" wrapText="1"/>
    </xf>
    <xf numFmtId="1" fontId="33" fillId="0" borderId="59" xfId="0" applyNumberFormat="1" applyFont="1" applyBorder="1" applyAlignment="1">
      <alignment horizontal="center" vertical="center" shrinkToFit="1"/>
    </xf>
    <xf numFmtId="0" fontId="34" fillId="0" borderId="64" xfId="0" applyFont="1" applyBorder="1" applyAlignment="1">
      <alignment horizontal="left" vertical="top" wrapText="1"/>
    </xf>
    <xf numFmtId="2" fontId="36" fillId="0" borderId="64" xfId="0" applyNumberFormat="1" applyFont="1" applyBorder="1" applyAlignment="1">
      <alignment horizontal="center" vertical="center" shrinkToFit="1"/>
    </xf>
    <xf numFmtId="172" fontId="37" fillId="0" borderId="62" xfId="0" applyNumberFormat="1" applyFont="1" applyBorder="1" applyAlignment="1">
      <alignment horizontal="center" vertical="center" wrapText="1"/>
    </xf>
    <xf numFmtId="1" fontId="41" fillId="16" borderId="65" xfId="0" applyNumberFormat="1" applyFont="1" applyFill="1" applyBorder="1" applyAlignment="1">
      <alignment horizontal="left" vertical="top" indent="1" shrinkToFit="1"/>
    </xf>
    <xf numFmtId="173" fontId="40" fillId="16" borderId="65" xfId="0" applyNumberFormat="1" applyFont="1" applyFill="1" applyBorder="1" applyAlignment="1">
      <alignment horizontal="right" vertical="center" wrapText="1"/>
    </xf>
    <xf numFmtId="1" fontId="41" fillId="16" borderId="54" xfId="0" applyNumberFormat="1" applyFont="1" applyFill="1" applyBorder="1" applyAlignment="1">
      <alignment horizontal="left" vertical="top" indent="1" shrinkToFit="1"/>
    </xf>
    <xf numFmtId="173" fontId="40" fillId="16" borderId="54" xfId="0" applyNumberFormat="1" applyFont="1" applyFill="1" applyBorder="1" applyAlignment="1">
      <alignment horizontal="right" vertical="center" wrapText="1"/>
    </xf>
    <xf numFmtId="1" fontId="33" fillId="16" borderId="54" xfId="0" applyNumberFormat="1" applyFont="1" applyFill="1" applyBorder="1" applyAlignment="1">
      <alignment horizontal="left" vertical="center" indent="1" shrinkToFit="1"/>
    </xf>
    <xf numFmtId="173" fontId="7" fillId="16" borderId="54" xfId="0" applyNumberFormat="1" applyFont="1" applyFill="1" applyBorder="1" applyAlignment="1">
      <alignment horizontal="right" vertical="center" wrapText="1"/>
    </xf>
    <xf numFmtId="44" fontId="31" fillId="5" borderId="52" xfId="0" applyNumberFormat="1" applyFont="1" applyFill="1" applyBorder="1" applyAlignment="1">
      <alignment horizontal="center" vertical="center" wrapText="1"/>
    </xf>
    <xf numFmtId="0" fontId="28" fillId="7" borderId="51" xfId="0" applyFont="1" applyFill="1" applyBorder="1" applyAlignment="1">
      <alignment horizontal="center" vertical="center" wrapText="1"/>
    </xf>
    <xf numFmtId="0" fontId="28" fillId="7" borderId="52" xfId="0" applyFont="1" applyFill="1" applyBorder="1" applyAlignment="1">
      <alignment vertical="center" wrapText="1"/>
    </xf>
    <xf numFmtId="0" fontId="29" fillId="7" borderId="52" xfId="0" applyFont="1" applyFill="1" applyBorder="1" applyAlignment="1">
      <alignment horizontal="center" vertical="center" wrapText="1"/>
    </xf>
    <xf numFmtId="44" fontId="29" fillId="7" borderId="52" xfId="0" applyNumberFormat="1" applyFont="1" applyFill="1" applyBorder="1" applyAlignment="1">
      <alignment horizontal="center" vertical="center" wrapText="1"/>
    </xf>
    <xf numFmtId="44" fontId="0" fillId="0" borderId="0" xfId="0" applyNumberFormat="1"/>
    <xf numFmtId="41" fontId="29" fillId="0" borderId="52" xfId="2" applyFont="1" applyBorder="1" applyAlignment="1">
      <alignment horizontal="center" vertical="center" wrapText="1"/>
    </xf>
    <xf numFmtId="41" fontId="29" fillId="0" borderId="52" xfId="0" applyNumberFormat="1" applyFont="1" applyBorder="1" applyAlignment="1">
      <alignment horizontal="center" vertical="center" wrapText="1"/>
    </xf>
    <xf numFmtId="41" fontId="29" fillId="5" borderId="52" xfId="0" applyNumberFormat="1" applyFont="1" applyFill="1" applyBorder="1" applyAlignment="1">
      <alignment horizontal="center" vertical="center" wrapText="1"/>
    </xf>
    <xf numFmtId="41" fontId="29" fillId="5" borderId="52" xfId="2" applyFont="1" applyFill="1" applyBorder="1" applyAlignment="1">
      <alignment horizontal="center" vertical="center" wrapText="1"/>
    </xf>
    <xf numFmtId="41" fontId="31" fillId="5" borderId="52" xfId="0" applyNumberFormat="1" applyFont="1" applyFill="1" applyBorder="1" applyAlignment="1">
      <alignment vertical="center" wrapText="1"/>
    </xf>
    <xf numFmtId="44" fontId="29" fillId="5" borderId="52" xfId="4" applyFont="1" applyFill="1" applyBorder="1" applyAlignment="1">
      <alignment horizontal="center" vertical="center" wrapText="1"/>
    </xf>
    <xf numFmtId="0" fontId="29" fillId="5" borderId="52" xfId="0" applyFont="1" applyFill="1" applyBorder="1" applyAlignment="1">
      <alignment horizontal="center" vertical="center" wrapText="1"/>
    </xf>
    <xf numFmtId="171" fontId="29" fillId="0" borderId="52" xfId="4" applyNumberFormat="1" applyFont="1" applyBorder="1" applyAlignment="1">
      <alignment horizontal="center" vertical="center" wrapText="1"/>
    </xf>
    <xf numFmtId="171" fontId="29" fillId="5" borderId="52" xfId="4" applyNumberFormat="1" applyFont="1" applyFill="1" applyBorder="1" applyAlignment="1">
      <alignment horizontal="center" vertical="center" wrapText="1"/>
    </xf>
    <xf numFmtId="171" fontId="29" fillId="5" borderId="52" xfId="0" applyNumberFormat="1" applyFont="1" applyFill="1" applyBorder="1" applyAlignment="1">
      <alignment horizontal="center" vertical="center" wrapText="1"/>
    </xf>
    <xf numFmtId="171" fontId="31" fillId="5" borderId="52" xfId="0" applyNumberFormat="1" applyFont="1" applyFill="1" applyBorder="1" applyAlignment="1">
      <alignment vertical="center" wrapText="1"/>
    </xf>
    <xf numFmtId="0" fontId="43" fillId="17" borderId="1" xfId="0" applyFont="1" applyFill="1" applyBorder="1" applyAlignment="1">
      <alignment horizontal="center" vertical="center" wrapText="1"/>
    </xf>
    <xf numFmtId="0" fontId="44" fillId="17" borderId="1" xfId="0" applyFont="1" applyFill="1" applyBorder="1" applyAlignment="1">
      <alignment horizontal="center" vertical="center"/>
    </xf>
    <xf numFmtId="0" fontId="44" fillId="0" borderId="1" xfId="0" applyFont="1" applyBorder="1" applyAlignment="1">
      <alignment horizontal="center" vertical="center"/>
    </xf>
    <xf numFmtId="0" fontId="44" fillId="0" borderId="1" xfId="0" applyFont="1" applyBorder="1" applyAlignment="1">
      <alignment horizontal="justify" vertical="center" wrapText="1"/>
    </xf>
    <xf numFmtId="42" fontId="44" fillId="0" borderId="1" xfId="5" applyNumberFormat="1" applyFont="1" applyBorder="1" applyAlignment="1">
      <alignment horizontal="center" vertical="center"/>
    </xf>
    <xf numFmtId="0" fontId="44" fillId="18" borderId="1" xfId="0" applyFont="1" applyFill="1" applyBorder="1" applyAlignment="1">
      <alignment horizontal="center" vertical="center"/>
    </xf>
    <xf numFmtId="42" fontId="44" fillId="18" borderId="1" xfId="5" applyFont="1" applyFill="1" applyBorder="1" applyAlignment="1">
      <alignment horizontal="center" vertical="center"/>
    </xf>
    <xf numFmtId="42" fontId="44" fillId="0" borderId="1" xfId="5" applyFont="1" applyBorder="1" applyAlignment="1">
      <alignment horizontal="center" vertical="center"/>
    </xf>
    <xf numFmtId="42" fontId="44" fillId="0" borderId="3" xfId="5" applyNumberFormat="1" applyFont="1" applyBorder="1" applyAlignment="1">
      <alignment horizontal="center" vertical="center"/>
    </xf>
    <xf numFmtId="42" fontId="44" fillId="18" borderId="1" xfId="0" applyNumberFormat="1" applyFont="1" applyFill="1" applyBorder="1" applyAlignment="1">
      <alignment horizontal="center" vertical="center"/>
    </xf>
    <xf numFmtId="42" fontId="44" fillId="0" borderId="1" xfId="5" applyFont="1" applyBorder="1" applyAlignment="1">
      <alignment vertical="center"/>
    </xf>
    <xf numFmtId="42" fontId="44" fillId="18" borderId="1" xfId="5" applyFont="1" applyFill="1" applyBorder="1" applyAlignment="1">
      <alignment vertical="center"/>
    </xf>
    <xf numFmtId="171" fontId="29" fillId="0" borderId="52" xfId="0" applyNumberFormat="1" applyFont="1" applyBorder="1" applyAlignment="1">
      <alignment horizontal="center" vertical="center" wrapText="1"/>
    </xf>
    <xf numFmtId="171" fontId="31" fillId="5" borderId="52" xfId="0" applyNumberFormat="1" applyFont="1" applyFill="1" applyBorder="1" applyAlignment="1">
      <alignment horizontal="center" vertical="center" wrapText="1"/>
    </xf>
    <xf numFmtId="171" fontId="0" fillId="0" borderId="0" xfId="4" applyNumberFormat="1" applyFont="1"/>
    <xf numFmtId="9" fontId="26" fillId="4" borderId="0" xfId="0" applyNumberFormat="1" applyFont="1" applyFill="1"/>
    <xf numFmtId="10" fontId="0" fillId="0" borderId="0" xfId="0" applyNumberFormat="1"/>
    <xf numFmtId="171" fontId="0" fillId="0" borderId="0" xfId="0" applyNumberFormat="1"/>
    <xf numFmtId="3" fontId="0" fillId="0" borderId="0" xfId="0" applyNumberFormat="1"/>
    <xf numFmtId="0" fontId="27" fillId="15" borderId="38" xfId="0" applyFont="1" applyFill="1" applyBorder="1" applyAlignment="1">
      <alignment horizontal="center" vertical="center" wrapText="1"/>
    </xf>
    <xf numFmtId="0" fontId="45" fillId="19" borderId="1" xfId="0" applyFont="1" applyFill="1" applyBorder="1" applyAlignment="1">
      <alignment horizontal="center" vertical="center" wrapText="1"/>
    </xf>
    <xf numFmtId="0" fontId="46" fillId="19" borderId="72" xfId="0" applyFont="1" applyFill="1" applyBorder="1" applyAlignment="1">
      <alignment horizontal="center" vertical="center" wrapText="1"/>
    </xf>
    <xf numFmtId="0" fontId="45" fillId="19" borderId="73" xfId="0" applyFont="1" applyFill="1" applyBorder="1" applyAlignment="1">
      <alignment horizontal="center" vertical="center" wrapText="1"/>
    </xf>
    <xf numFmtId="0" fontId="47" fillId="0" borderId="1" xfId="0" applyFont="1" applyBorder="1" applyAlignment="1">
      <alignment horizontal="center" vertical="center" wrapText="1"/>
    </xf>
    <xf numFmtId="0" fontId="47" fillId="0" borderId="1" xfId="0" applyFont="1" applyBorder="1" applyAlignment="1">
      <alignment vertical="center" wrapText="1"/>
    </xf>
    <xf numFmtId="44" fontId="47" fillId="0" borderId="1" xfId="4" applyFont="1" applyBorder="1" applyAlignment="1">
      <alignment vertical="center" wrapText="1"/>
    </xf>
    <xf numFmtId="44" fontId="47" fillId="0" borderId="1" xfId="0" applyNumberFormat="1" applyFont="1" applyBorder="1" applyAlignment="1">
      <alignment horizontal="center" vertical="center" wrapText="1"/>
    </xf>
    <xf numFmtId="0" fontId="46" fillId="5" borderId="72" xfId="0" applyFont="1" applyFill="1" applyBorder="1" applyAlignment="1">
      <alignment horizontal="center" vertical="center" wrapText="1"/>
    </xf>
    <xf numFmtId="44" fontId="46" fillId="5" borderId="73" xfId="0" applyNumberFormat="1" applyFont="1" applyFill="1" applyBorder="1" applyAlignment="1">
      <alignment horizontal="center" vertical="center" wrapText="1"/>
    </xf>
    <xf numFmtId="0" fontId="46" fillId="19" borderId="1" xfId="0" applyFont="1" applyFill="1" applyBorder="1" applyAlignment="1">
      <alignment horizontal="center" vertical="center" wrapText="1"/>
    </xf>
    <xf numFmtId="0" fontId="47" fillId="0" borderId="72" xfId="0" applyFont="1" applyBorder="1" applyAlignment="1">
      <alignment horizontal="center" vertical="center" wrapText="1"/>
    </xf>
    <xf numFmtId="44" fontId="47" fillId="0" borderId="73" xfId="4" applyFont="1" applyBorder="1" applyAlignment="1">
      <alignment horizontal="center" vertical="center" wrapText="1"/>
    </xf>
    <xf numFmtId="0" fontId="46" fillId="5" borderId="1" xfId="0" applyFont="1" applyFill="1" applyBorder="1" applyAlignment="1">
      <alignment horizontal="center" vertical="center" wrapText="1"/>
    </xf>
    <xf numFmtId="44" fontId="46" fillId="5" borderId="1" xfId="4" applyFont="1" applyFill="1" applyBorder="1" applyAlignment="1">
      <alignment horizontal="center" vertical="center" wrapText="1"/>
    </xf>
    <xf numFmtId="44" fontId="46" fillId="5" borderId="1" xfId="0" applyNumberFormat="1" applyFont="1" applyFill="1" applyBorder="1" applyAlignment="1">
      <alignment horizontal="center" vertical="center" wrapText="1"/>
    </xf>
    <xf numFmtId="44" fontId="47" fillId="0" borderId="1" xfId="0" applyNumberFormat="1" applyFont="1" applyBorder="1" applyAlignment="1">
      <alignment vertical="center" wrapText="1"/>
    </xf>
    <xf numFmtId="44" fontId="47" fillId="0" borderId="1" xfId="4" applyFont="1" applyBorder="1" applyAlignment="1">
      <alignment horizontal="center" vertical="center" wrapText="1"/>
    </xf>
    <xf numFmtId="0" fontId="47" fillId="0" borderId="0" xfId="0" applyFont="1" applyAlignment="1">
      <alignment horizontal="center" vertical="center"/>
    </xf>
    <xf numFmtId="44" fontId="47" fillId="5" borderId="1" xfId="4" applyFont="1" applyFill="1" applyBorder="1" applyAlignment="1">
      <alignment horizontal="center" vertical="center" wrapText="1"/>
    </xf>
    <xf numFmtId="44" fontId="47" fillId="5" borderId="1" xfId="0" applyNumberFormat="1" applyFont="1" applyFill="1" applyBorder="1" applyAlignment="1">
      <alignment vertical="center" wrapText="1"/>
    </xf>
    <xf numFmtId="0" fontId="49" fillId="0" borderId="0" xfId="0" applyFont="1" applyAlignment="1">
      <alignment horizontal="center" vertical="center"/>
    </xf>
    <xf numFmtId="44" fontId="49" fillId="0" borderId="0" xfId="4" applyFont="1" applyAlignment="1">
      <alignment horizontal="center" vertical="center"/>
    </xf>
    <xf numFmtId="44" fontId="49" fillId="0" borderId="0" xfId="4" applyNumberFormat="1" applyFont="1" applyAlignment="1">
      <alignment horizontal="center" vertical="center"/>
    </xf>
    <xf numFmtId="44" fontId="49" fillId="0" borderId="0" xfId="0" applyNumberFormat="1" applyFont="1" applyAlignment="1">
      <alignment horizontal="center" vertical="center"/>
    </xf>
    <xf numFmtId="44" fontId="49" fillId="0" borderId="0" xfId="4" applyFont="1" applyAlignment="1">
      <alignment horizontal="left" vertical="center"/>
    </xf>
    <xf numFmtId="0" fontId="50" fillId="0" borderId="0" xfId="0" applyFont="1" applyAlignment="1">
      <alignment horizontal="right" vertical="center"/>
    </xf>
    <xf numFmtId="44" fontId="50" fillId="0" borderId="0" xfId="4" applyFont="1" applyAlignment="1">
      <alignment horizontal="center" vertical="center"/>
    </xf>
    <xf numFmtId="174" fontId="27" fillId="15" borderId="52" xfId="0" applyNumberFormat="1" applyFont="1" applyFill="1" applyBorder="1" applyAlignment="1">
      <alignment horizontal="center" vertical="center" wrapText="1"/>
    </xf>
    <xf numFmtId="175" fontId="29" fillId="0" borderId="52" xfId="0" applyNumberFormat="1" applyFont="1" applyBorder="1" applyAlignment="1">
      <alignment horizontal="center" vertical="center" wrapText="1"/>
    </xf>
    <xf numFmtId="174" fontId="29" fillId="5" borderId="52" xfId="0" applyNumberFormat="1" applyFont="1" applyFill="1" applyBorder="1" applyAlignment="1">
      <alignment horizontal="center" vertical="center" wrapText="1"/>
    </xf>
    <xf numFmtId="174" fontId="29" fillId="0" borderId="52" xfId="0" applyNumberFormat="1" applyFont="1" applyBorder="1" applyAlignment="1">
      <alignment horizontal="center" vertical="center" wrapText="1"/>
    </xf>
    <xf numFmtId="172" fontId="29" fillId="0" borderId="52" xfId="1" applyNumberFormat="1" applyFont="1" applyBorder="1" applyAlignment="1">
      <alignment horizontal="center" vertical="center" wrapText="1"/>
    </xf>
    <xf numFmtId="175" fontId="27" fillId="15" borderId="52" xfId="0" applyNumberFormat="1" applyFont="1" applyFill="1" applyBorder="1" applyAlignment="1">
      <alignment horizontal="center" vertical="center" wrapText="1"/>
    </xf>
    <xf numFmtId="175" fontId="29" fillId="5" borderId="52" xfId="0" applyNumberFormat="1" applyFont="1" applyFill="1" applyBorder="1" applyAlignment="1">
      <alignment horizontal="center" vertical="center" wrapText="1"/>
    </xf>
    <xf numFmtId="175" fontId="31" fillId="5" borderId="52" xfId="0" applyNumberFormat="1" applyFont="1" applyFill="1" applyBorder="1" applyAlignment="1">
      <alignment vertical="center" wrapText="1"/>
    </xf>
    <xf numFmtId="175" fontId="0" fillId="0" borderId="0" xfId="0" applyNumberFormat="1"/>
    <xf numFmtId="44" fontId="27" fillId="15" borderId="52" xfId="4" applyFont="1" applyFill="1" applyBorder="1" applyAlignment="1">
      <alignment horizontal="center" vertical="center" wrapText="1"/>
    </xf>
    <xf numFmtId="0" fontId="27" fillId="15" borderId="0" xfId="0" applyFont="1" applyFill="1" applyBorder="1" applyAlignment="1">
      <alignment horizontal="center" vertical="center" wrapText="1"/>
    </xf>
    <xf numFmtId="171" fontId="29" fillId="0" borderId="0" xfId="0" applyNumberFormat="1" applyFont="1" applyBorder="1" applyAlignment="1">
      <alignment horizontal="center" vertical="center" wrapText="1"/>
    </xf>
    <xf numFmtId="171" fontId="31" fillId="5" borderId="0" xfId="0" applyNumberFormat="1" applyFont="1" applyFill="1" applyBorder="1" applyAlignment="1">
      <alignment horizontal="center" vertical="center" wrapText="1"/>
    </xf>
    <xf numFmtId="171" fontId="29" fillId="5" borderId="0" xfId="0" applyNumberFormat="1" applyFont="1" applyFill="1" applyBorder="1" applyAlignment="1">
      <alignment horizontal="center" vertical="center" wrapText="1"/>
    </xf>
    <xf numFmtId="171" fontId="31" fillId="5" borderId="0" xfId="0" applyNumberFormat="1" applyFont="1" applyFill="1" applyBorder="1" applyAlignment="1">
      <alignment vertical="center" wrapText="1"/>
    </xf>
    <xf numFmtId="0" fontId="11" fillId="7" borderId="33" xfId="0" applyFont="1" applyFill="1" applyBorder="1" applyAlignment="1">
      <alignment horizontal="center"/>
    </xf>
    <xf numFmtId="164" fontId="7" fillId="7" borderId="7" xfId="0" applyNumberFormat="1" applyFont="1" applyFill="1" applyBorder="1" applyAlignment="1">
      <alignment horizontal="center" vertical="center" wrapText="1"/>
    </xf>
    <xf numFmtId="0" fontId="4" fillId="7" borderId="33" xfId="0" applyFont="1" applyFill="1" applyBorder="1" applyAlignment="1">
      <alignment horizontal="center"/>
    </xf>
    <xf numFmtId="2" fontId="7" fillId="7" borderId="7" xfId="0" applyNumberFormat="1" applyFont="1" applyFill="1" applyBorder="1" applyAlignment="1">
      <alignment horizontal="center" vertical="center" wrapText="1"/>
    </xf>
    <xf numFmtId="0" fontId="7" fillId="7" borderId="33" xfId="0" applyFont="1" applyFill="1" applyBorder="1" applyAlignment="1">
      <alignment horizontal="center" vertical="center" wrapText="1"/>
    </xf>
    <xf numFmtId="10" fontId="26" fillId="0" borderId="0" xfId="3" applyNumberFormat="1" applyFont="1" applyAlignment="1">
      <alignment wrapText="1"/>
    </xf>
    <xf numFmtId="10" fontId="0" fillId="14" borderId="1" xfId="3" applyNumberFormat="1" applyFont="1" applyFill="1" applyBorder="1" applyAlignment="1">
      <alignment horizontal="center"/>
    </xf>
    <xf numFmtId="10" fontId="0" fillId="0" borderId="1" xfId="3" applyNumberFormat="1" applyFont="1" applyBorder="1" applyAlignment="1">
      <alignment horizontal="center"/>
    </xf>
    <xf numFmtId="10" fontId="0" fillId="13" borderId="1" xfId="3" applyNumberFormat="1" applyFont="1" applyFill="1" applyBorder="1" applyAlignment="1">
      <alignment horizontal="center"/>
    </xf>
    <xf numFmtId="10" fontId="0" fillId="0" borderId="0" xfId="3" applyNumberFormat="1" applyFont="1"/>
    <xf numFmtId="2" fontId="26" fillId="0" borderId="0" xfId="0" applyNumberFormat="1" applyFont="1" applyBorder="1" applyAlignment="1"/>
    <xf numFmtId="4" fontId="26" fillId="0" borderId="0" xfId="0" applyNumberFormat="1" applyFont="1" applyBorder="1" applyAlignment="1"/>
    <xf numFmtId="4" fontId="0" fillId="0" borderId="0" xfId="0" applyNumberFormat="1"/>
    <xf numFmtId="10" fontId="26" fillId="0" borderId="0" xfId="3" applyNumberFormat="1" applyFont="1" applyFill="1" applyBorder="1" applyAlignment="1">
      <alignment wrapText="1"/>
    </xf>
    <xf numFmtId="0" fontId="16" fillId="4" borderId="1" xfId="0" applyFont="1" applyFill="1" applyBorder="1" applyAlignment="1">
      <alignment horizontal="center"/>
    </xf>
    <xf numFmtId="0" fontId="0" fillId="4" borderId="0" xfId="0" applyFill="1"/>
    <xf numFmtId="0" fontId="16" fillId="4" borderId="1" xfId="0" applyFont="1" applyFill="1" applyBorder="1" applyAlignment="1">
      <alignment horizontal="center" vertical="center" wrapText="1"/>
    </xf>
    <xf numFmtId="0" fontId="16" fillId="4" borderId="1" xfId="0" applyFont="1" applyFill="1" applyBorder="1" applyAlignment="1">
      <alignment horizontal="center" vertical="center"/>
    </xf>
    <xf numFmtId="49" fontId="7" fillId="4" borderId="1" xfId="0" applyNumberFormat="1" applyFont="1" applyFill="1" applyBorder="1" applyAlignment="1">
      <alignment horizontal="center" vertical="center"/>
    </xf>
    <xf numFmtId="0" fontId="7" fillId="4" borderId="1" xfId="0" applyFont="1" applyFill="1" applyBorder="1" applyAlignment="1">
      <alignment horizontal="center" vertical="center" wrapText="1"/>
    </xf>
    <xf numFmtId="10" fontId="0" fillId="4" borderId="1" xfId="3" applyNumberFormat="1" applyFont="1" applyFill="1" applyBorder="1" applyAlignment="1">
      <alignment horizontal="center"/>
    </xf>
    <xf numFmtId="2" fontId="26" fillId="4" borderId="1" xfId="0" applyNumberFormat="1" applyFont="1" applyFill="1" applyBorder="1" applyAlignment="1">
      <alignment horizontal="center"/>
    </xf>
    <xf numFmtId="0" fontId="29" fillId="8" borderId="5" xfId="0" applyFont="1" applyFill="1" applyBorder="1" applyAlignment="1">
      <alignment vertical="top" wrapText="1" indent="1"/>
    </xf>
    <xf numFmtId="0" fontId="29" fillId="4" borderId="1" xfId="0" applyFont="1" applyFill="1" applyBorder="1" applyAlignment="1">
      <alignment vertical="top" wrapText="1" indent="1"/>
    </xf>
    <xf numFmtId="0" fontId="29" fillId="8" borderId="1" xfId="0" applyFont="1" applyFill="1" applyBorder="1" applyAlignment="1">
      <alignment vertical="top" wrapText="1" indent="1"/>
    </xf>
    <xf numFmtId="0" fontId="29" fillId="5" borderId="1" xfId="0" applyFont="1" applyFill="1" applyBorder="1" applyAlignment="1">
      <alignment vertical="top" wrapText="1" indent="1"/>
    </xf>
    <xf numFmtId="0" fontId="29" fillId="9" borderId="1" xfId="0" applyFont="1" applyFill="1" applyBorder="1" applyAlignment="1">
      <alignment vertical="top" wrapText="1" indent="1"/>
    </xf>
    <xf numFmtId="0" fontId="29" fillId="7" borderId="1" xfId="0" applyFont="1" applyFill="1" applyBorder="1" applyAlignment="1">
      <alignment vertical="top" wrapText="1" indent="1"/>
    </xf>
    <xf numFmtId="0" fontId="29" fillId="9" borderId="80" xfId="0" applyFont="1" applyFill="1" applyBorder="1" applyAlignment="1">
      <alignment vertical="top" wrapText="1" indent="1"/>
    </xf>
    <xf numFmtId="0" fontId="52" fillId="0" borderId="0" xfId="0" applyFont="1"/>
    <xf numFmtId="42" fontId="0" fillId="0" borderId="0" xfId="0" applyNumberFormat="1"/>
    <xf numFmtId="4" fontId="51" fillId="8" borderId="1" xfId="0" applyNumberFormat="1" applyFont="1" applyFill="1" applyBorder="1" applyAlignment="1">
      <alignment horizontal="right" vertical="top" wrapText="1" indent="1"/>
    </xf>
    <xf numFmtId="4" fontId="51" fillId="4" borderId="1" xfId="0" applyNumberFormat="1" applyFont="1" applyFill="1" applyBorder="1" applyAlignment="1">
      <alignment horizontal="right" vertical="top" wrapText="1" indent="1"/>
    </xf>
    <xf numFmtId="4" fontId="51" fillId="5" borderId="1" xfId="0" applyNumberFormat="1" applyFont="1" applyFill="1" applyBorder="1" applyAlignment="1">
      <alignment horizontal="right" vertical="top" wrapText="1" indent="1"/>
    </xf>
    <xf numFmtId="4" fontId="51" fillId="9" borderId="1" xfId="0" applyNumberFormat="1" applyFont="1" applyFill="1" applyBorder="1" applyAlignment="1">
      <alignment horizontal="right" vertical="top" wrapText="1" indent="1"/>
    </xf>
    <xf numFmtId="4" fontId="51" fillId="7" borderId="1" xfId="0" applyNumberFormat="1" applyFont="1" applyFill="1" applyBorder="1" applyAlignment="1">
      <alignment horizontal="right" vertical="top" wrapText="1" indent="1"/>
    </xf>
    <xf numFmtId="4" fontId="51" fillId="9" borderId="80" xfId="0" applyNumberFormat="1" applyFont="1" applyFill="1" applyBorder="1" applyAlignment="1">
      <alignment horizontal="right" vertical="top" wrapText="1" indent="1"/>
    </xf>
    <xf numFmtId="164" fontId="0" fillId="0" borderId="0" xfId="1" applyFont="1"/>
    <xf numFmtId="164" fontId="26" fillId="0" borderId="0" xfId="1" applyFont="1" applyFill="1" applyBorder="1" applyAlignment="1"/>
    <xf numFmtId="164" fontId="26" fillId="14" borderId="1" xfId="1" applyFont="1" applyFill="1" applyBorder="1" applyAlignment="1">
      <alignment horizontal="center"/>
    </xf>
    <xf numFmtId="164" fontId="26" fillId="0" borderId="1" xfId="1" applyFont="1" applyBorder="1" applyAlignment="1">
      <alignment horizontal="center"/>
    </xf>
    <xf numFmtId="164" fontId="26" fillId="13" borderId="1" xfId="1" applyFont="1" applyFill="1" applyBorder="1" applyAlignment="1">
      <alignment horizontal="center"/>
    </xf>
    <xf numFmtId="164" fontId="26" fillId="4" borderId="1" xfId="1" applyFont="1" applyFill="1" applyBorder="1" applyAlignment="1">
      <alignment horizontal="center"/>
    </xf>
    <xf numFmtId="0" fontId="0" fillId="4" borderId="1" xfId="0" applyFill="1" applyBorder="1" applyAlignment="1">
      <alignment horizontal="center"/>
    </xf>
    <xf numFmtId="2" fontId="0" fillId="14" borderId="1" xfId="0" applyNumberFormat="1" applyFill="1" applyBorder="1" applyAlignment="1">
      <alignment horizontal="center"/>
    </xf>
    <xf numFmtId="4" fontId="0" fillId="14" borderId="1" xfId="0" applyNumberFormat="1" applyFill="1" applyBorder="1" applyAlignment="1">
      <alignment horizontal="center"/>
    </xf>
    <xf numFmtId="2" fontId="0" fillId="0" borderId="1" xfId="0" applyNumberFormat="1" applyBorder="1" applyAlignment="1">
      <alignment horizontal="center"/>
    </xf>
    <xf numFmtId="2" fontId="0" fillId="0" borderId="1" xfId="0" applyNumberFormat="1" applyFill="1" applyBorder="1" applyAlignment="1">
      <alignment horizontal="center"/>
    </xf>
    <xf numFmtId="4" fontId="0" fillId="0" borderId="1" xfId="0" applyNumberFormat="1" applyFill="1" applyBorder="1" applyAlignment="1">
      <alignment horizontal="center"/>
    </xf>
    <xf numFmtId="2" fontId="0" fillId="13" borderId="1" xfId="0" applyNumberFormat="1" applyFill="1" applyBorder="1" applyAlignment="1">
      <alignment horizontal="center"/>
    </xf>
    <xf numFmtId="4" fontId="0" fillId="13" borderId="1" xfId="0" applyNumberFormat="1" applyFill="1" applyBorder="1" applyAlignment="1">
      <alignment horizontal="center"/>
    </xf>
    <xf numFmtId="2" fontId="0" fillId="4" borderId="1" xfId="0" applyNumberFormat="1" applyFill="1" applyBorder="1" applyAlignment="1">
      <alignment horizontal="center"/>
    </xf>
    <xf numFmtId="2" fontId="0" fillId="4" borderId="1" xfId="3" applyNumberFormat="1" applyFont="1" applyFill="1" applyBorder="1" applyAlignment="1">
      <alignment horizontal="center"/>
    </xf>
    <xf numFmtId="4" fontId="0" fillId="4" borderId="1" xfId="0" applyNumberFormat="1" applyFill="1" applyBorder="1" applyAlignment="1">
      <alignment horizontal="center"/>
    </xf>
    <xf numFmtId="0" fontId="4" fillId="6" borderId="3"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34"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36" xfId="0" applyFont="1" applyFill="1" applyBorder="1" applyAlignment="1">
      <alignment horizontal="center" vertical="center"/>
    </xf>
    <xf numFmtId="0" fontId="24" fillId="2" borderId="0" xfId="0" applyFont="1" applyFill="1" applyBorder="1" applyAlignment="1">
      <alignment horizontal="center" wrapText="1"/>
    </xf>
    <xf numFmtId="0" fontId="25" fillId="2" borderId="30" xfId="0" applyFont="1" applyFill="1" applyBorder="1" applyAlignment="1">
      <alignment horizontal="center" wrapText="1"/>
    </xf>
    <xf numFmtId="0" fontId="25" fillId="2" borderId="0" xfId="0" applyFont="1" applyFill="1" applyBorder="1" applyAlignment="1">
      <alignment horizontal="center" wrapText="1"/>
    </xf>
    <xf numFmtId="0" fontId="7" fillId="7" borderId="27" xfId="0" applyFont="1" applyFill="1" applyBorder="1" applyAlignment="1">
      <alignment horizontal="center" vertical="center"/>
    </xf>
    <xf numFmtId="0" fontId="7" fillId="7" borderId="34" xfId="0" applyFont="1" applyFill="1" applyBorder="1" applyAlignment="1">
      <alignment horizontal="center" vertical="center"/>
    </xf>
    <xf numFmtId="0" fontId="7" fillId="7" borderId="35" xfId="0" applyFont="1" applyFill="1" applyBorder="1" applyAlignment="1">
      <alignment horizontal="center" vertical="center"/>
    </xf>
    <xf numFmtId="0" fontId="7" fillId="7" borderId="36" xfId="0" applyFont="1" applyFill="1" applyBorder="1" applyAlignment="1">
      <alignment horizontal="center" vertical="center"/>
    </xf>
    <xf numFmtId="164" fontId="7" fillId="2" borderId="27" xfId="0" applyNumberFormat="1" applyFont="1" applyFill="1" applyBorder="1" applyAlignment="1">
      <alignment horizontal="center" vertical="center" wrapText="1"/>
    </xf>
    <xf numFmtId="164" fontId="7" fillId="2" borderId="17" xfId="0" applyNumberFormat="1" applyFont="1" applyFill="1" applyBorder="1" applyAlignment="1">
      <alignment horizontal="center" vertical="center" wrapText="1"/>
    </xf>
    <xf numFmtId="0" fontId="7" fillId="2" borderId="27" xfId="0" applyFont="1" applyFill="1" applyBorder="1" applyAlignment="1">
      <alignment horizontal="center" vertical="center" wrapText="1"/>
    </xf>
    <xf numFmtId="0" fontId="7" fillId="2" borderId="17" xfId="0" applyFont="1" applyFill="1" applyBorder="1" applyAlignment="1">
      <alignment horizontal="center" vertical="center" wrapText="1"/>
    </xf>
    <xf numFmtId="10" fontId="8" fillId="5" borderId="27" xfId="3" applyNumberFormat="1" applyFont="1" applyFill="1" applyBorder="1" applyAlignment="1">
      <alignment horizontal="center" vertical="center" wrapText="1"/>
    </xf>
    <xf numFmtId="10" fontId="8" fillId="5" borderId="17" xfId="3" applyNumberFormat="1" applyFont="1" applyFill="1" applyBorder="1" applyAlignment="1">
      <alignment horizontal="center" vertical="center" wrapText="1"/>
    </xf>
    <xf numFmtId="10" fontId="8" fillId="5" borderId="34" xfId="3" applyNumberFormat="1"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34" xfId="0" applyFont="1" applyFill="1" applyBorder="1" applyAlignment="1">
      <alignment horizontal="center" vertical="center" wrapText="1"/>
    </xf>
    <xf numFmtId="9" fontId="8" fillId="5" borderId="27" xfId="0" applyNumberFormat="1" applyFont="1" applyFill="1" applyBorder="1" applyAlignment="1">
      <alignment horizontal="center" vertical="center" wrapText="1"/>
    </xf>
    <xf numFmtId="9" fontId="8" fillId="5" borderId="17" xfId="0" applyNumberFormat="1" applyFont="1" applyFill="1" applyBorder="1" applyAlignment="1">
      <alignment horizontal="center" vertical="center" wrapText="1"/>
    </xf>
    <xf numFmtId="9" fontId="8" fillId="5" borderId="34" xfId="0" applyNumberFormat="1" applyFont="1" applyFill="1" applyBorder="1" applyAlignment="1">
      <alignment horizontal="center" vertical="center" wrapText="1"/>
    </xf>
    <xf numFmtId="10" fontId="8" fillId="5" borderId="27" xfId="0" applyNumberFormat="1" applyFont="1" applyFill="1" applyBorder="1" applyAlignment="1">
      <alignment horizontal="center" vertical="center" wrapText="1"/>
    </xf>
    <xf numFmtId="10" fontId="8" fillId="5" borderId="17" xfId="0" applyNumberFormat="1" applyFont="1" applyFill="1" applyBorder="1" applyAlignment="1">
      <alignment horizontal="center" vertical="center" wrapText="1"/>
    </xf>
    <xf numFmtId="10" fontId="8" fillId="5" borderId="34" xfId="0" applyNumberFormat="1" applyFont="1" applyFill="1" applyBorder="1" applyAlignment="1">
      <alignment horizontal="center" vertical="center" wrapText="1"/>
    </xf>
    <xf numFmtId="0" fontId="7" fillId="2" borderId="7"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3" xfId="0" applyFont="1" applyFill="1" applyBorder="1" applyAlignment="1">
      <alignment horizontal="center" vertical="center" wrapText="1"/>
    </xf>
    <xf numFmtId="164" fontId="7" fillId="2" borderId="7" xfId="0" applyNumberFormat="1" applyFont="1" applyFill="1" applyBorder="1" applyAlignment="1">
      <alignment horizontal="center" vertical="center" wrapText="1"/>
    </xf>
    <xf numFmtId="164" fontId="7" fillId="2" borderId="33" xfId="0" applyNumberFormat="1" applyFont="1" applyFill="1" applyBorder="1" applyAlignment="1">
      <alignment horizontal="center" vertical="center" wrapText="1"/>
    </xf>
    <xf numFmtId="2" fontId="8" fillId="2" borderId="7" xfId="0" applyNumberFormat="1" applyFont="1" applyFill="1" applyBorder="1" applyAlignment="1">
      <alignment horizontal="center" vertical="center" wrapText="1"/>
    </xf>
    <xf numFmtId="2" fontId="8" fillId="2" borderId="33" xfId="0" applyNumberFormat="1" applyFont="1" applyFill="1" applyBorder="1" applyAlignment="1">
      <alignment horizontal="center" vertical="center" wrapText="1"/>
    </xf>
    <xf numFmtId="0" fontId="0" fillId="0" borderId="17" xfId="0" applyBorder="1" applyAlignment="1"/>
    <xf numFmtId="165" fontId="8" fillId="2" borderId="7" xfId="1" applyNumberFormat="1" applyFont="1" applyFill="1" applyBorder="1" applyAlignment="1">
      <alignment horizontal="center" vertical="center"/>
    </xf>
    <xf numFmtId="165" fontId="8" fillId="2" borderId="33" xfId="1" applyNumberFormat="1" applyFont="1" applyFill="1" applyBorder="1" applyAlignment="1">
      <alignment horizontal="center" vertical="center"/>
    </xf>
    <xf numFmtId="164" fontId="7" fillId="2" borderId="7" xfId="1" applyFont="1" applyFill="1" applyBorder="1" applyAlignment="1">
      <alignment horizontal="center" vertical="center" wrapText="1"/>
    </xf>
    <xf numFmtId="164" fontId="7" fillId="2" borderId="33" xfId="1" applyFont="1" applyFill="1" applyBorder="1" applyAlignment="1">
      <alignment horizontal="center" vertical="center" wrapText="1"/>
    </xf>
    <xf numFmtId="0" fontId="8" fillId="2" borderId="40" xfId="0" applyFont="1" applyFill="1" applyBorder="1" applyAlignment="1">
      <alignment horizontal="center" vertical="center"/>
    </xf>
    <xf numFmtId="0" fontId="8" fillId="2" borderId="41" xfId="0" applyFont="1" applyFill="1" applyBorder="1" applyAlignment="1">
      <alignment horizontal="center" vertical="center"/>
    </xf>
    <xf numFmtId="0" fontId="8" fillId="2" borderId="42"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164" fontId="8" fillId="2" borderId="27" xfId="1" applyFont="1" applyFill="1" applyBorder="1" applyAlignment="1">
      <alignment horizontal="center" vertical="center" wrapText="1"/>
    </xf>
    <xf numFmtId="164" fontId="8" fillId="2" borderId="34" xfId="1" applyFont="1" applyFill="1" applyBorder="1" applyAlignment="1">
      <alignment horizontal="center" vertical="center" wrapText="1"/>
    </xf>
    <xf numFmtId="2" fontId="8" fillId="2" borderId="3" xfId="0" applyNumberFormat="1" applyFont="1" applyFill="1" applyBorder="1" applyAlignment="1">
      <alignment horizontal="center" vertical="center" wrapText="1"/>
    </xf>
    <xf numFmtId="41" fontId="8" fillId="0" borderId="7" xfId="2" applyFont="1" applyFill="1" applyBorder="1" applyAlignment="1">
      <alignment horizontal="center" vertical="center" wrapText="1"/>
    </xf>
    <xf numFmtId="41" fontId="8" fillId="0" borderId="3" xfId="2" applyFont="1" applyFill="1" applyBorder="1" applyAlignment="1">
      <alignment horizontal="center" vertical="center" wrapText="1"/>
    </xf>
    <xf numFmtId="0" fontId="8" fillId="2" borderId="3" xfId="0" applyFont="1" applyFill="1" applyBorder="1" applyAlignment="1">
      <alignment horizontal="center" vertical="center" wrapText="1"/>
    </xf>
    <xf numFmtId="0" fontId="7" fillId="2" borderId="33" xfId="0" applyFont="1" applyFill="1" applyBorder="1" applyAlignment="1">
      <alignment horizontal="center" vertical="center"/>
    </xf>
    <xf numFmtId="164" fontId="7" fillId="2" borderId="27" xfId="1" applyFont="1" applyFill="1" applyBorder="1" applyAlignment="1">
      <alignment horizontal="center" vertical="center" wrapText="1"/>
    </xf>
    <xf numFmtId="164" fontId="7" fillId="2" borderId="17" xfId="1" applyFont="1" applyFill="1" applyBorder="1" applyAlignment="1">
      <alignment horizontal="center" vertical="center" wrapText="1"/>
    </xf>
    <xf numFmtId="2" fontId="8" fillId="2" borderId="27" xfId="0" applyNumberFormat="1" applyFont="1" applyFill="1" applyBorder="1" applyAlignment="1">
      <alignment horizontal="center" vertical="center" wrapText="1"/>
    </xf>
    <xf numFmtId="2" fontId="8" fillId="2" borderId="17" xfId="0" applyNumberFormat="1" applyFont="1" applyFill="1" applyBorder="1" applyAlignment="1">
      <alignment horizontal="center" vertical="center" wrapText="1"/>
    </xf>
    <xf numFmtId="41" fontId="8" fillId="0" borderId="27" xfId="2" applyFont="1" applyFill="1" applyBorder="1" applyAlignment="1">
      <alignment horizontal="center" vertical="center" wrapText="1"/>
    </xf>
    <xf numFmtId="41" fontId="8" fillId="0" borderId="17" xfId="2"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34" xfId="0" applyFont="1" applyFill="1" applyBorder="1" applyAlignment="1">
      <alignment horizontal="center" vertical="center" wrapText="1"/>
    </xf>
    <xf numFmtId="49" fontId="7" fillId="2" borderId="28"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0" fontId="0" fillId="0" borderId="39" xfId="0" applyBorder="1" applyAlignment="1"/>
    <xf numFmtId="0" fontId="0" fillId="2" borderId="17" xfId="0" applyFill="1" applyBorder="1" applyAlignment="1"/>
    <xf numFmtId="0" fontId="8" fillId="2" borderId="27"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3" xfId="0" applyFont="1" applyFill="1" applyBorder="1" applyAlignment="1">
      <alignment horizontal="center"/>
    </xf>
    <xf numFmtId="0" fontId="0" fillId="2" borderId="17" xfId="0" applyFill="1" applyBorder="1" applyAlignment="1">
      <alignment horizontal="center"/>
    </xf>
    <xf numFmtId="1" fontId="8" fillId="2" borderId="27" xfId="0" applyNumberFormat="1" applyFont="1" applyFill="1" applyBorder="1" applyAlignment="1">
      <alignment horizontal="center" vertical="center" wrapText="1"/>
    </xf>
    <xf numFmtId="1" fontId="8" fillId="2" borderId="17" xfId="0" applyNumberFormat="1" applyFont="1" applyFill="1" applyBorder="1" applyAlignment="1">
      <alignment horizontal="center" vertical="center" wrapText="1"/>
    </xf>
    <xf numFmtId="164" fontId="8" fillId="2" borderId="17" xfId="1" applyFont="1" applyFill="1" applyBorder="1" applyAlignment="1">
      <alignment horizontal="center" vertical="center" wrapText="1"/>
    </xf>
    <xf numFmtId="0" fontId="8" fillId="2" borderId="27" xfId="0" applyFont="1" applyFill="1" applyBorder="1" applyAlignment="1">
      <alignment horizontal="center"/>
    </xf>
    <xf numFmtId="0" fontId="8" fillId="2" borderId="17" xfId="0" applyFont="1" applyFill="1" applyBorder="1" applyAlignment="1">
      <alignment horizontal="center"/>
    </xf>
    <xf numFmtId="0" fontId="8" fillId="2" borderId="1" xfId="0" applyFont="1" applyFill="1" applyBorder="1" applyAlignment="1">
      <alignment horizontal="center" vertical="center" wrapText="1"/>
    </xf>
    <xf numFmtId="0" fontId="0" fillId="0" borderId="3" xfId="0" applyBorder="1" applyAlignment="1"/>
    <xf numFmtId="0" fontId="16" fillId="2" borderId="7"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7" fillId="7" borderId="27" xfId="0" applyFont="1" applyFill="1" applyBorder="1" applyAlignment="1">
      <alignment horizontal="center" vertical="center" wrapText="1"/>
    </xf>
    <xf numFmtId="0" fontId="7" fillId="7" borderId="17" xfId="0" applyFont="1" applyFill="1" applyBorder="1" applyAlignment="1">
      <alignment horizontal="center" vertical="center" wrapText="1"/>
    </xf>
    <xf numFmtId="0" fontId="0" fillId="7" borderId="17" xfId="0" applyFill="1" applyBorder="1" applyAlignment="1"/>
    <xf numFmtId="0" fontId="7" fillId="7" borderId="17" xfId="0" applyFont="1" applyFill="1" applyBorder="1" applyAlignment="1">
      <alignment horizontal="center" vertical="center"/>
    </xf>
    <xf numFmtId="49" fontId="7" fillId="2" borderId="6" xfId="0" applyNumberFormat="1" applyFont="1" applyFill="1" applyBorder="1" applyAlignment="1">
      <alignment horizontal="center" vertical="center"/>
    </xf>
    <xf numFmtId="49" fontId="7" fillId="2" borderId="32" xfId="0" applyNumberFormat="1" applyFont="1" applyFill="1" applyBorder="1" applyAlignment="1">
      <alignment horizontal="center" vertical="center"/>
    </xf>
    <xf numFmtId="0" fontId="8" fillId="2" borderId="7" xfId="0" applyFont="1" applyFill="1" applyBorder="1" applyAlignment="1">
      <alignment horizontal="center" vertical="center"/>
    </xf>
    <xf numFmtId="0" fontId="8" fillId="2" borderId="33" xfId="0" applyFont="1" applyFill="1" applyBorder="1" applyAlignment="1">
      <alignment horizontal="center" vertical="center"/>
    </xf>
    <xf numFmtId="164" fontId="8" fillId="2" borderId="7" xfId="1" applyFont="1" applyFill="1" applyBorder="1" applyAlignment="1">
      <alignment horizontal="center" vertical="center" wrapText="1"/>
    </xf>
    <xf numFmtId="164" fontId="8" fillId="2" borderId="33" xfId="1" applyFont="1" applyFill="1" applyBorder="1" applyAlignment="1">
      <alignment horizontal="center" vertical="center" wrapText="1"/>
    </xf>
    <xf numFmtId="164" fontId="7" fillId="2" borderId="3" xfId="0" applyNumberFormat="1" applyFont="1" applyFill="1" applyBorder="1" applyAlignment="1">
      <alignment horizontal="center" vertical="center" wrapText="1"/>
    </xf>
    <xf numFmtId="41" fontId="8" fillId="0" borderId="33" xfId="2" applyFont="1" applyFill="1" applyBorder="1" applyAlignment="1">
      <alignment horizontal="center" vertical="center" wrapText="1"/>
    </xf>
    <xf numFmtId="0" fontId="16" fillId="2" borderId="33" xfId="0" applyFont="1" applyFill="1" applyBorder="1" applyAlignment="1">
      <alignment horizontal="center" vertical="center" wrapText="1"/>
    </xf>
    <xf numFmtId="0" fontId="8" fillId="2" borderId="7" xfId="0" applyFont="1" applyFill="1" applyBorder="1" applyAlignment="1">
      <alignment horizontal="center"/>
    </xf>
    <xf numFmtId="0" fontId="8" fillId="2" borderId="33" xfId="0" applyFont="1" applyFill="1" applyBorder="1" applyAlignment="1">
      <alignment horizontal="center"/>
    </xf>
    <xf numFmtId="0" fontId="7" fillId="4" borderId="27" xfId="0" applyFont="1" applyFill="1" applyBorder="1" applyAlignment="1">
      <alignment horizontal="center" vertical="center"/>
    </xf>
    <xf numFmtId="0" fontId="7" fillId="4" borderId="17" xfId="0" applyFont="1" applyFill="1" applyBorder="1" applyAlignment="1">
      <alignment horizontal="center" vertical="center"/>
    </xf>
    <xf numFmtId="0" fontId="8" fillId="2" borderId="3" xfId="0" applyFont="1" applyFill="1" applyBorder="1" applyAlignment="1">
      <alignment horizontal="center" vertical="center"/>
    </xf>
    <xf numFmtId="0" fontId="7" fillId="2" borderId="27" xfId="0" applyNumberFormat="1" applyFont="1" applyFill="1" applyBorder="1" applyAlignment="1">
      <alignment horizontal="center" vertical="center" wrapText="1"/>
    </xf>
    <xf numFmtId="0" fontId="7" fillId="2" borderId="34" xfId="0" applyNumberFormat="1" applyFont="1" applyFill="1" applyBorder="1" applyAlignment="1">
      <alignment horizontal="center" vertical="center" wrapText="1"/>
    </xf>
    <xf numFmtId="165" fontId="8" fillId="2" borderId="3" xfId="1" applyNumberFormat="1" applyFont="1" applyFill="1" applyBorder="1" applyAlignment="1">
      <alignment horizontal="center" vertical="center"/>
    </xf>
    <xf numFmtId="0" fontId="8" fillId="2" borderId="18" xfId="0" applyFont="1" applyFill="1" applyBorder="1" applyAlignment="1">
      <alignment horizontal="center" vertical="center"/>
    </xf>
    <xf numFmtId="0" fontId="8" fillId="2" borderId="44" xfId="0" applyFont="1" applyFill="1" applyBorder="1" applyAlignment="1">
      <alignment horizontal="center" vertical="center"/>
    </xf>
    <xf numFmtId="0" fontId="8" fillId="2" borderId="45" xfId="0" applyFont="1" applyFill="1" applyBorder="1" applyAlignment="1">
      <alignment horizontal="center" vertical="center"/>
    </xf>
    <xf numFmtId="164" fontId="7" fillId="2" borderId="3" xfId="1" applyFont="1" applyFill="1" applyBorder="1" applyAlignment="1">
      <alignment horizontal="center" vertical="center" wrapText="1"/>
    </xf>
    <xf numFmtId="49" fontId="7" fillId="2" borderId="43" xfId="0" applyNumberFormat="1" applyFont="1" applyFill="1" applyBorder="1" applyAlignment="1">
      <alignment horizontal="center" vertical="center"/>
    </xf>
    <xf numFmtId="164" fontId="8" fillId="2" borderId="3" xfId="1" applyFont="1" applyFill="1" applyBorder="1" applyAlignment="1">
      <alignment horizontal="center" vertical="center" wrapText="1"/>
    </xf>
    <xf numFmtId="1" fontId="8" fillId="2" borderId="7" xfId="0" applyNumberFormat="1" applyFont="1" applyFill="1" applyBorder="1" applyAlignment="1">
      <alignment horizontal="center" vertical="center" wrapText="1"/>
    </xf>
    <xf numFmtId="1" fontId="8" fillId="2" borderId="33" xfId="0" applyNumberFormat="1" applyFont="1" applyFill="1" applyBorder="1" applyAlignment="1">
      <alignment horizontal="center" vertical="center" wrapText="1"/>
    </xf>
    <xf numFmtId="0" fontId="0" fillId="0" borderId="34" xfId="0" applyBorder="1" applyAlignment="1">
      <alignment horizontal="center" vertical="center" wrapText="1"/>
    </xf>
    <xf numFmtId="0" fontId="7" fillId="2" borderId="23"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5" xfId="0" applyFont="1" applyFill="1" applyBorder="1" applyAlignment="1">
      <alignment horizontal="center" vertical="center" wrapText="1"/>
    </xf>
    <xf numFmtId="49" fontId="7" fillId="2" borderId="7"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1" fontId="7" fillId="2" borderId="7"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1" xfId="0" applyNumberFormat="1" applyFont="1" applyFill="1" applyBorder="1" applyAlignment="1">
      <alignment horizontal="center" vertical="center" wrapText="1"/>
    </xf>
    <xf numFmtId="49" fontId="7" fillId="2" borderId="42" xfId="0" applyNumberFormat="1" applyFont="1" applyFill="1" applyBorder="1" applyAlignment="1">
      <alignment horizontal="center" vertical="center" wrapText="1"/>
    </xf>
    <xf numFmtId="41" fontId="8" fillId="2" borderId="7" xfId="2" applyFont="1" applyFill="1" applyBorder="1" applyAlignment="1">
      <alignment horizontal="center" vertical="center" wrapText="1"/>
    </xf>
    <xf numFmtId="41" fontId="8" fillId="2" borderId="33" xfId="2" applyFont="1" applyFill="1" applyBorder="1" applyAlignment="1">
      <alignment horizontal="center" vertical="center" wrapText="1"/>
    </xf>
    <xf numFmtId="0" fontId="4" fillId="2" borderId="40"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42" xfId="0" applyFont="1" applyFill="1" applyBorder="1" applyAlignment="1">
      <alignment horizontal="center" vertical="center"/>
    </xf>
    <xf numFmtId="0" fontId="17" fillId="2" borderId="10" xfId="0" applyFont="1" applyFill="1" applyBorder="1" applyAlignment="1">
      <alignment horizontal="center" vertical="center" wrapText="1"/>
    </xf>
    <xf numFmtId="0" fontId="17" fillId="2" borderId="11" xfId="0" applyFont="1" applyFill="1" applyBorder="1" applyAlignment="1">
      <alignment horizontal="center" vertical="center" wrapText="1"/>
    </xf>
    <xf numFmtId="0" fontId="17" fillId="2" borderId="12" xfId="0" applyFont="1" applyFill="1" applyBorder="1" applyAlignment="1">
      <alignment horizontal="center" vertical="center" wrapText="1"/>
    </xf>
    <xf numFmtId="164" fontId="8" fillId="2" borderId="7" xfId="1" applyFont="1" applyFill="1" applyBorder="1" applyAlignment="1">
      <alignment horizontal="right" vertical="center" wrapText="1"/>
    </xf>
    <xf numFmtId="164" fontId="8" fillId="2" borderId="33" xfId="1" applyFont="1" applyFill="1" applyBorder="1" applyAlignment="1">
      <alignment horizontal="right" vertical="center" wrapText="1"/>
    </xf>
    <xf numFmtId="0" fontId="7" fillId="2" borderId="3" xfId="0" applyFont="1" applyFill="1" applyBorder="1" applyAlignment="1">
      <alignment horizontal="left" vertical="center" wrapText="1"/>
    </xf>
    <xf numFmtId="0" fontId="7" fillId="2" borderId="17"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20" xfId="0" applyFont="1" applyFill="1" applyBorder="1" applyAlignment="1">
      <alignment horizontal="left" vertical="center" wrapText="1"/>
    </xf>
    <xf numFmtId="49" fontId="7" fillId="2" borderId="7" xfId="0" applyNumberFormat="1" applyFont="1" applyFill="1" applyBorder="1" applyAlignment="1">
      <alignment horizontal="center" vertical="center" wrapText="1"/>
    </xf>
    <xf numFmtId="49" fontId="7" fillId="2" borderId="10"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7" borderId="7"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7" xfId="0" applyFont="1" applyFill="1" applyBorder="1" applyAlignment="1">
      <alignment horizontal="center" vertical="center"/>
    </xf>
    <xf numFmtId="0" fontId="7" fillId="7" borderId="33" xfId="0" applyFont="1" applyFill="1" applyBorder="1" applyAlignment="1">
      <alignment horizontal="center" vertical="center"/>
    </xf>
    <xf numFmtId="49" fontId="7" fillId="2" borderId="1" xfId="0" applyNumberFormat="1" applyFont="1" applyFill="1" applyBorder="1" applyAlignment="1">
      <alignment horizontal="left" vertical="center" wrapText="1"/>
    </xf>
    <xf numFmtId="49" fontId="7" fillId="2" borderId="3" xfId="0" applyNumberFormat="1" applyFont="1" applyFill="1" applyBorder="1" applyAlignment="1">
      <alignment horizontal="left" vertical="center" wrapText="1"/>
    </xf>
    <xf numFmtId="49" fontId="5" fillId="2" borderId="7"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0" fontId="7" fillId="7" borderId="34" xfId="0" applyFont="1" applyFill="1" applyBorder="1" applyAlignment="1">
      <alignment horizontal="center" vertical="center" wrapText="1"/>
    </xf>
    <xf numFmtId="164" fontId="7" fillId="7" borderId="7" xfId="0" applyNumberFormat="1" applyFont="1" applyFill="1" applyBorder="1" applyAlignment="1">
      <alignment horizontal="center" vertical="center" wrapText="1"/>
    </xf>
    <xf numFmtId="164" fontId="7" fillId="7" borderId="33" xfId="0" applyNumberFormat="1" applyFont="1" applyFill="1" applyBorder="1" applyAlignment="1">
      <alignment horizontal="center" vertical="center" wrapText="1"/>
    </xf>
    <xf numFmtId="164" fontId="7" fillId="2" borderId="34" xfId="0" applyNumberFormat="1" applyFont="1" applyFill="1" applyBorder="1" applyAlignment="1">
      <alignment horizontal="center" vertical="center" wrapText="1"/>
    </xf>
    <xf numFmtId="49" fontId="5" fillId="2" borderId="7" xfId="0" applyNumberFormat="1"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10" xfId="0" applyNumberFormat="1" applyFont="1" applyFill="1" applyBorder="1" applyAlignment="1">
      <alignment horizontal="center" vertical="center" wrapText="1"/>
    </xf>
    <xf numFmtId="0" fontId="7" fillId="2" borderId="11" xfId="0" applyNumberFormat="1" applyFont="1" applyFill="1" applyBorder="1" applyAlignment="1">
      <alignment horizontal="center" vertical="center" wrapText="1"/>
    </xf>
    <xf numFmtId="0" fontId="7" fillId="2" borderId="12" xfId="0" applyNumberFormat="1" applyFont="1" applyFill="1" applyBorder="1" applyAlignment="1">
      <alignment horizontal="center" vertical="center" wrapText="1"/>
    </xf>
    <xf numFmtId="0" fontId="7" fillId="0" borderId="27" xfId="0" applyFont="1" applyFill="1" applyBorder="1" applyAlignment="1">
      <alignment horizontal="center" vertical="center" wrapText="1"/>
    </xf>
    <xf numFmtId="0" fontId="7" fillId="0" borderId="34" xfId="0" applyFont="1" applyFill="1" applyBorder="1" applyAlignment="1">
      <alignment horizontal="center" vertical="center" wrapText="1"/>
    </xf>
    <xf numFmtId="41" fontId="8" fillId="0" borderId="34" xfId="2"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49" fontId="5" fillId="2" borderId="3" xfId="0" applyNumberFormat="1" applyFont="1" applyFill="1" applyBorder="1" applyAlignment="1">
      <alignment horizontal="left" vertical="center" wrapText="1"/>
    </xf>
    <xf numFmtId="168" fontId="8" fillId="2" borderId="27" xfId="1" applyNumberFormat="1" applyFont="1" applyFill="1" applyBorder="1" applyAlignment="1">
      <alignment horizontal="center" vertical="center" wrapText="1"/>
    </xf>
    <xf numFmtId="168" fontId="8" fillId="2" borderId="17" xfId="1" applyNumberFormat="1" applyFont="1" applyFill="1" applyBorder="1" applyAlignment="1">
      <alignment horizontal="center" vertical="center" wrapText="1"/>
    </xf>
    <xf numFmtId="165" fontId="8" fillId="2" borderId="27" xfId="1" applyNumberFormat="1" applyFont="1" applyFill="1" applyBorder="1" applyAlignment="1">
      <alignment horizontal="center" vertical="center"/>
    </xf>
    <xf numFmtId="165" fontId="8" fillId="2" borderId="17" xfId="1" applyNumberFormat="1" applyFont="1" applyFill="1" applyBorder="1" applyAlignment="1">
      <alignment horizontal="center" vertical="center"/>
    </xf>
    <xf numFmtId="49" fontId="7" fillId="7" borderId="10" xfId="0" applyNumberFormat="1" applyFont="1" applyFill="1" applyBorder="1" applyAlignment="1" applyProtection="1">
      <alignment horizontal="center" vertical="center" wrapText="1"/>
      <protection locked="0"/>
    </xf>
    <xf numFmtId="49" fontId="7" fillId="7" borderId="11" xfId="0" applyNumberFormat="1" applyFont="1" applyFill="1" applyBorder="1" applyAlignment="1" applyProtection="1">
      <alignment horizontal="center" vertical="center" wrapText="1"/>
      <protection locked="0"/>
    </xf>
    <xf numFmtId="49" fontId="7" fillId="7" borderId="12" xfId="0" applyNumberFormat="1" applyFont="1" applyFill="1" applyBorder="1" applyAlignment="1" applyProtection="1">
      <alignment horizontal="center" vertical="center" wrapText="1"/>
      <protection locked="0"/>
    </xf>
    <xf numFmtId="0" fontId="7" fillId="7" borderId="4"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17" fillId="0" borderId="27" xfId="0" applyFont="1" applyBorder="1" applyAlignment="1">
      <alignment horizontal="center"/>
    </xf>
    <xf numFmtId="0" fontId="17" fillId="0" borderId="34" xfId="0" applyFont="1" applyBorder="1" applyAlignment="1">
      <alignment horizontal="center"/>
    </xf>
    <xf numFmtId="49" fontId="7" fillId="2" borderId="7" xfId="0" applyNumberFormat="1" applyFont="1" applyFill="1" applyBorder="1" applyAlignment="1" applyProtection="1">
      <alignment horizontal="center" vertical="center" wrapText="1"/>
      <protection locked="0"/>
    </xf>
    <xf numFmtId="0" fontId="8" fillId="7" borderId="7" xfId="0" applyFont="1" applyFill="1" applyBorder="1" applyAlignment="1">
      <alignment horizontal="center" vertical="center"/>
    </xf>
    <xf numFmtId="0" fontId="8" fillId="7" borderId="33" xfId="0" applyFont="1" applyFill="1" applyBorder="1" applyAlignment="1">
      <alignment horizontal="center" vertical="center"/>
    </xf>
    <xf numFmtId="0" fontId="9" fillId="2" borderId="7"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8" fillId="7" borderId="7" xfId="0" applyFont="1" applyFill="1" applyBorder="1" applyAlignment="1">
      <alignment horizontal="center" vertical="center" wrapText="1"/>
    </xf>
    <xf numFmtId="0" fontId="8" fillId="7" borderId="33" xfId="0" applyFont="1" applyFill="1" applyBorder="1" applyAlignment="1">
      <alignment horizontal="center" vertical="center" wrapText="1"/>
    </xf>
    <xf numFmtId="49" fontId="7" fillId="2" borderId="11" xfId="0" applyNumberFormat="1" applyFont="1" applyFill="1" applyBorder="1" applyAlignment="1">
      <alignment horizontal="center" vertical="center" wrapText="1"/>
    </xf>
    <xf numFmtId="49" fontId="7" fillId="2" borderId="12" xfId="0" applyNumberFormat="1" applyFont="1" applyFill="1" applyBorder="1" applyAlignment="1">
      <alignment horizontal="center" vertical="center" wrapText="1"/>
    </xf>
    <xf numFmtId="0" fontId="7" fillId="2" borderId="4"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4" borderId="34"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34" xfId="0"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7" fillId="2" borderId="1" xfId="0" applyFont="1" applyFill="1" applyBorder="1" applyAlignment="1">
      <alignment vertical="center" wrapText="1"/>
    </xf>
    <xf numFmtId="0" fontId="7" fillId="0" borderId="7" xfId="0" applyFont="1" applyFill="1" applyBorder="1" applyAlignment="1">
      <alignment horizontal="center" vertical="center" wrapText="1"/>
    </xf>
    <xf numFmtId="0" fontId="9" fillId="2" borderId="1" xfId="0" applyFont="1" applyFill="1" applyBorder="1" applyAlignment="1">
      <alignment vertical="center" wrapText="1"/>
    </xf>
    <xf numFmtId="164" fontId="8" fillId="0" borderId="7" xfId="1" applyFont="1" applyFill="1" applyBorder="1" applyAlignment="1">
      <alignment horizontal="center" vertical="center" wrapText="1"/>
    </xf>
    <xf numFmtId="164" fontId="8" fillId="0" borderId="33" xfId="1"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4" xfId="0" applyFont="1" applyFill="1" applyBorder="1" applyAlignment="1">
      <alignment vertical="center" wrapText="1"/>
    </xf>
    <xf numFmtId="0" fontId="7" fillId="2" borderId="13" xfId="0" applyFont="1" applyFill="1" applyBorder="1" applyAlignment="1">
      <alignment vertical="center" wrapText="1"/>
    </xf>
    <xf numFmtId="0" fontId="7" fillId="2" borderId="5" xfId="0" applyFont="1" applyFill="1" applyBorder="1" applyAlignment="1">
      <alignment vertical="center" wrapText="1"/>
    </xf>
    <xf numFmtId="0" fontId="7" fillId="2" borderId="4"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33" xfId="0" applyFont="1" applyFill="1" applyBorder="1" applyAlignment="1">
      <alignment horizontal="center" vertical="center"/>
    </xf>
    <xf numFmtId="0" fontId="7" fillId="0" borderId="33" xfId="0" applyFont="1" applyFill="1" applyBorder="1" applyAlignment="1">
      <alignment horizontal="center" vertical="center" wrapText="1"/>
    </xf>
    <xf numFmtId="0" fontId="7" fillId="0" borderId="27" xfId="0" applyNumberFormat="1" applyFont="1" applyFill="1" applyBorder="1" applyAlignment="1">
      <alignment horizontal="center" vertical="center" wrapText="1"/>
    </xf>
    <xf numFmtId="0" fontId="7" fillId="0" borderId="34" xfId="0" applyNumberFormat="1"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10" borderId="10" xfId="0" applyFont="1" applyFill="1" applyBorder="1" applyAlignment="1">
      <alignment horizontal="center" vertical="center" wrapText="1"/>
    </xf>
    <xf numFmtId="0" fontId="8" fillId="10" borderId="11" xfId="0" applyFont="1" applyFill="1" applyBorder="1" applyAlignment="1">
      <alignment horizontal="center" vertical="center" wrapText="1"/>
    </xf>
    <xf numFmtId="0" fontId="8" fillId="10" borderId="12" xfId="0" applyFont="1" applyFill="1" applyBorder="1" applyAlignment="1">
      <alignment horizontal="center" vertical="center" wrapText="1"/>
    </xf>
    <xf numFmtId="0" fontId="8" fillId="10" borderId="40"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2" xfId="0" applyFont="1" applyFill="1" applyBorder="1" applyAlignment="1">
      <alignment horizontal="center" vertical="center" wrapText="1"/>
    </xf>
    <xf numFmtId="0" fontId="8" fillId="10" borderId="7" xfId="0" applyFont="1" applyFill="1" applyBorder="1" applyAlignment="1">
      <alignment horizontal="center" vertical="center" wrapText="1"/>
    </xf>
    <xf numFmtId="0" fontId="8" fillId="10" borderId="33" xfId="0" applyFont="1" applyFill="1" applyBorder="1" applyAlignment="1">
      <alignment horizontal="center" vertical="center" wrapText="1"/>
    </xf>
    <xf numFmtId="164" fontId="8" fillId="10" borderId="7" xfId="1" applyFont="1" applyFill="1" applyBorder="1" applyAlignment="1">
      <alignment horizontal="right" vertical="center" wrapText="1"/>
    </xf>
    <xf numFmtId="164" fontId="8" fillId="10" borderId="33" xfId="1" applyFont="1" applyFill="1" applyBorder="1" applyAlignment="1">
      <alignment horizontal="right" vertical="center" wrapText="1"/>
    </xf>
    <xf numFmtId="10" fontId="8" fillId="7" borderId="27" xfId="3" applyNumberFormat="1" applyFont="1" applyFill="1" applyBorder="1" applyAlignment="1">
      <alignment horizontal="center" vertical="center" wrapText="1"/>
    </xf>
    <xf numFmtId="10" fontId="8" fillId="7" borderId="34" xfId="3" applyNumberFormat="1" applyFont="1" applyFill="1" applyBorder="1" applyAlignment="1">
      <alignment horizontal="center" vertical="center" wrapText="1"/>
    </xf>
    <xf numFmtId="0" fontId="17" fillId="2" borderId="10" xfId="0" applyFont="1" applyFill="1" applyBorder="1" applyAlignment="1">
      <alignment horizontal="center" vertical="center"/>
    </xf>
    <xf numFmtId="0" fontId="17" fillId="2" borderId="11" xfId="0" applyFont="1" applyFill="1" applyBorder="1" applyAlignment="1">
      <alignment horizontal="center" vertical="center"/>
    </xf>
    <xf numFmtId="0" fontId="17" fillId="2" borderId="12"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8" fillId="0" borderId="27"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2" borderId="37" xfId="0" applyNumberFormat="1" applyFont="1" applyFill="1" applyBorder="1" applyAlignment="1">
      <alignment horizontal="center" vertical="center"/>
    </xf>
    <xf numFmtId="49" fontId="7" fillId="2" borderId="27" xfId="0" applyNumberFormat="1" applyFont="1" applyFill="1" applyBorder="1" applyAlignment="1">
      <alignment horizontal="center" vertical="center"/>
    </xf>
    <xf numFmtId="49" fontId="7" fillId="2" borderId="34"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xf>
    <xf numFmtId="49" fontId="7" fillId="2" borderId="25" xfId="0" applyNumberFormat="1"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0" borderId="29"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8" fillId="0" borderId="15" xfId="0" applyFont="1" applyFill="1" applyBorder="1" applyAlignment="1">
      <alignment horizontal="center" vertical="center" wrapText="1"/>
    </xf>
    <xf numFmtId="2" fontId="8" fillId="2" borderId="34" xfId="0" applyNumberFormat="1" applyFont="1" applyFill="1" applyBorder="1" applyAlignment="1">
      <alignment horizontal="center" vertical="center" wrapText="1"/>
    </xf>
    <xf numFmtId="164" fontId="7" fillId="2" borderId="34" xfId="1" applyFont="1" applyFill="1" applyBorder="1" applyAlignment="1">
      <alignment horizontal="center" vertical="center" wrapText="1"/>
    </xf>
    <xf numFmtId="165" fontId="8" fillId="2" borderId="34" xfId="1" applyNumberFormat="1" applyFont="1" applyFill="1" applyBorder="1" applyAlignment="1">
      <alignment horizontal="center" vertical="center"/>
    </xf>
    <xf numFmtId="1" fontId="8" fillId="2" borderId="34" xfId="0" applyNumberFormat="1" applyFont="1" applyFill="1" applyBorder="1" applyAlignment="1">
      <alignment horizontal="center" vertical="center" wrapText="1"/>
    </xf>
    <xf numFmtId="9" fontId="8" fillId="2" borderId="27" xfId="0" applyNumberFormat="1" applyFont="1" applyFill="1" applyBorder="1" applyAlignment="1">
      <alignment horizontal="center" vertical="center" wrapText="1"/>
    </xf>
    <xf numFmtId="9" fontId="8" fillId="2" borderId="34" xfId="0" applyNumberFormat="1" applyFont="1" applyFill="1" applyBorder="1" applyAlignment="1">
      <alignment horizontal="center" vertical="center" wrapText="1"/>
    </xf>
    <xf numFmtId="0" fontId="16" fillId="2" borderId="27" xfId="0" applyFont="1" applyFill="1" applyBorder="1" applyAlignment="1">
      <alignment horizontal="center" vertical="center" wrapText="1"/>
    </xf>
    <xf numFmtId="0" fontId="16" fillId="2" borderId="34" xfId="0" applyFont="1" applyFill="1" applyBorder="1" applyAlignment="1">
      <alignment horizontal="center" vertical="center" wrapText="1"/>
    </xf>
    <xf numFmtId="0" fontId="8" fillId="2" borderId="34" xfId="0" applyFont="1" applyFill="1" applyBorder="1" applyAlignment="1">
      <alignment horizontal="center" vertical="center"/>
    </xf>
    <xf numFmtId="0" fontId="8" fillId="2" borderId="34" xfId="0" applyFont="1" applyFill="1" applyBorder="1" applyAlignment="1">
      <alignment horizontal="center"/>
    </xf>
    <xf numFmtId="1" fontId="8" fillId="2" borderId="7" xfId="0" applyNumberFormat="1" applyFont="1" applyFill="1" applyBorder="1" applyAlignment="1">
      <alignment horizontal="center" vertical="center"/>
    </xf>
    <xf numFmtId="0" fontId="7" fillId="4" borderId="27"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8" fillId="0" borderId="27"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34" xfId="0" applyFont="1" applyFill="1" applyBorder="1" applyAlignment="1">
      <alignment horizontal="center" vertical="center"/>
    </xf>
    <xf numFmtId="0" fontId="7" fillId="0" borderId="17" xfId="0" applyFont="1" applyFill="1" applyBorder="1" applyAlignment="1">
      <alignment horizontal="center" vertical="center" wrapText="1"/>
    </xf>
    <xf numFmtId="0" fontId="7" fillId="0" borderId="1" xfId="0" applyFont="1" applyFill="1" applyBorder="1" applyAlignment="1">
      <alignment horizontal="center" vertical="center" wrapText="1"/>
    </xf>
    <xf numFmtId="4" fontId="8" fillId="0" borderId="27" xfId="1" applyNumberFormat="1" applyFont="1" applyFill="1" applyBorder="1" applyAlignment="1">
      <alignment horizontal="center" vertical="center" wrapText="1"/>
    </xf>
    <xf numFmtId="4" fontId="8" fillId="0" borderId="17" xfId="1" applyNumberFormat="1" applyFont="1" applyFill="1" applyBorder="1" applyAlignment="1">
      <alignment horizontal="center" vertical="center" wrapText="1"/>
    </xf>
    <xf numFmtId="4" fontId="8" fillId="0" borderId="34" xfId="1" applyNumberFormat="1"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46"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38"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47" xfId="0" applyFont="1" applyFill="1" applyBorder="1" applyAlignment="1">
      <alignment horizontal="center" vertical="center" wrapText="1"/>
    </xf>
    <xf numFmtId="0" fontId="16" fillId="2" borderId="17" xfId="0" applyFont="1" applyFill="1" applyBorder="1" applyAlignment="1">
      <alignment horizontal="center" vertical="center" wrapText="1"/>
    </xf>
    <xf numFmtId="1" fontId="8" fillId="2" borderId="27" xfId="0" applyNumberFormat="1" applyFont="1" applyFill="1" applyBorder="1" applyAlignment="1">
      <alignment horizontal="center" vertical="center"/>
    </xf>
    <xf numFmtId="1" fontId="8" fillId="2" borderId="17" xfId="0" applyNumberFormat="1" applyFont="1" applyFill="1" applyBorder="1" applyAlignment="1">
      <alignment horizontal="center" vertical="center"/>
    </xf>
    <xf numFmtId="1" fontId="8" fillId="2" borderId="34"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 fontId="8" fillId="2" borderId="27" xfId="2" applyNumberFormat="1" applyFont="1" applyFill="1" applyBorder="1" applyAlignment="1">
      <alignment horizontal="center" vertical="center" wrapText="1"/>
    </xf>
    <xf numFmtId="4" fontId="8" fillId="2" borderId="17" xfId="2" applyNumberFormat="1" applyFont="1" applyFill="1" applyBorder="1" applyAlignment="1">
      <alignment horizontal="center" vertical="center" wrapText="1"/>
    </xf>
    <xf numFmtId="4" fontId="8" fillId="2" borderId="34" xfId="2" applyNumberFormat="1" applyFont="1" applyFill="1" applyBorder="1" applyAlignment="1">
      <alignment horizontal="center" vertical="center" wrapText="1"/>
    </xf>
    <xf numFmtId="0" fontId="7" fillId="2" borderId="2" xfId="0" applyNumberFormat="1" applyFont="1" applyFill="1" applyBorder="1" applyAlignment="1">
      <alignment horizontal="center" vertical="center" wrapText="1"/>
    </xf>
    <xf numFmtId="164" fontId="26" fillId="13" borderId="1" xfId="1" applyFont="1" applyFill="1" applyBorder="1" applyAlignment="1">
      <alignment horizontal="center"/>
    </xf>
    <xf numFmtId="164" fontId="26" fillId="0" borderId="1" xfId="1" applyFont="1" applyBorder="1" applyAlignment="1">
      <alignment horizontal="center" wrapText="1"/>
    </xf>
    <xf numFmtId="164" fontId="26" fillId="0" borderId="1" xfId="1" applyFont="1" applyBorder="1" applyAlignment="1">
      <alignment horizontal="center"/>
    </xf>
    <xf numFmtId="0" fontId="0" fillId="4" borderId="0" xfId="0" applyFill="1" applyAlignment="1">
      <alignment horizontal="center"/>
    </xf>
    <xf numFmtId="164" fontId="26" fillId="0" borderId="4" xfId="1" applyFont="1" applyBorder="1" applyAlignment="1">
      <alignment horizontal="center"/>
    </xf>
    <xf numFmtId="164" fontId="26" fillId="0" borderId="5" xfId="1" applyFont="1" applyBorder="1" applyAlignment="1">
      <alignment horizontal="center"/>
    </xf>
    <xf numFmtId="164" fontId="26" fillId="14" borderId="1" xfId="1" applyFont="1" applyFill="1" applyBorder="1" applyAlignment="1">
      <alignment horizontal="center"/>
    </xf>
    <xf numFmtId="164" fontId="26" fillId="4" borderId="1" xfId="1" applyFont="1" applyFill="1" applyBorder="1" applyAlignment="1">
      <alignment horizontal="center"/>
    </xf>
    <xf numFmtId="10" fontId="0" fillId="13" borderId="1" xfId="3" applyNumberFormat="1" applyFont="1" applyFill="1" applyBorder="1" applyAlignment="1">
      <alignment horizontal="center"/>
    </xf>
    <xf numFmtId="2" fontId="0" fillId="13" borderId="1" xfId="0" applyNumberFormat="1" applyFill="1" applyBorder="1" applyAlignment="1">
      <alignment horizontal="center"/>
    </xf>
    <xf numFmtId="2" fontId="26" fillId="0" borderId="1" xfId="0" applyNumberFormat="1" applyFont="1" applyBorder="1" applyAlignment="1">
      <alignment horizontal="center"/>
    </xf>
    <xf numFmtId="2" fontId="26" fillId="13" borderId="1" xfId="0" applyNumberFormat="1" applyFont="1" applyFill="1" applyBorder="1" applyAlignment="1">
      <alignment horizontal="center"/>
    </xf>
    <xf numFmtId="2" fontId="26" fillId="4" borderId="1" xfId="0" applyNumberFormat="1" applyFont="1" applyFill="1" applyBorder="1" applyAlignment="1">
      <alignment horizontal="center"/>
    </xf>
    <xf numFmtId="2" fontId="0" fillId="0" borderId="1" xfId="0" applyNumberFormat="1" applyFill="1" applyBorder="1" applyAlignment="1">
      <alignment horizontal="center"/>
    </xf>
    <xf numFmtId="2" fontId="0" fillId="14" borderId="1" xfId="0" applyNumberFormat="1" applyFill="1" applyBorder="1" applyAlignment="1">
      <alignment horizontal="center"/>
    </xf>
    <xf numFmtId="2" fontId="0" fillId="4" borderId="1" xfId="0" applyNumberFormat="1" applyFill="1" applyBorder="1" applyAlignment="1">
      <alignment horizontal="center"/>
    </xf>
    <xf numFmtId="2" fontId="26" fillId="14" borderId="1" xfId="0" applyNumberFormat="1" applyFont="1" applyFill="1" applyBorder="1" applyAlignment="1">
      <alignment horizontal="center"/>
    </xf>
    <xf numFmtId="4" fontId="0" fillId="13" borderId="1" xfId="0" applyNumberFormat="1" applyFill="1" applyBorder="1" applyAlignment="1">
      <alignment horizontal="center"/>
    </xf>
    <xf numFmtId="0" fontId="0" fillId="13" borderId="1" xfId="0" applyFill="1" applyBorder="1" applyAlignment="1">
      <alignment horizontal="center"/>
    </xf>
    <xf numFmtId="10" fontId="0" fillId="4" borderId="1" xfId="3" applyNumberFormat="1" applyFont="1" applyFill="1" applyBorder="1" applyAlignment="1">
      <alignment horizontal="center"/>
    </xf>
    <xf numFmtId="4" fontId="0" fillId="4" borderId="1" xfId="0" applyNumberFormat="1" applyFill="1" applyBorder="1" applyAlignment="1">
      <alignment horizontal="center"/>
    </xf>
    <xf numFmtId="0" fontId="0" fillId="7" borderId="1" xfId="0" applyFill="1" applyBorder="1" applyAlignment="1">
      <alignment horizontal="center"/>
    </xf>
    <xf numFmtId="0" fontId="0" fillId="14" borderId="1" xfId="0" applyFill="1" applyBorder="1" applyAlignment="1">
      <alignment horizontal="center"/>
    </xf>
    <xf numFmtId="2" fontId="0" fillId="0" borderId="1" xfId="0" applyNumberFormat="1" applyBorder="1" applyAlignment="1">
      <alignment horizontal="center"/>
    </xf>
    <xf numFmtId="2" fontId="0" fillId="13" borderId="1" xfId="3" applyNumberFormat="1" applyFont="1" applyFill="1" applyBorder="1" applyAlignment="1">
      <alignment horizontal="center"/>
    </xf>
    <xf numFmtId="2" fontId="0" fillId="14" borderId="4" xfId="0" applyNumberFormat="1" applyFill="1" applyBorder="1" applyAlignment="1">
      <alignment horizontal="center"/>
    </xf>
    <xf numFmtId="2" fontId="0" fillId="14" borderId="5" xfId="0" applyNumberFormat="1" applyFill="1" applyBorder="1" applyAlignment="1">
      <alignment horizontal="center"/>
    </xf>
    <xf numFmtId="4" fontId="0" fillId="0" borderId="1" xfId="0" applyNumberFormat="1" applyFill="1" applyBorder="1" applyAlignment="1">
      <alignment horizontal="center"/>
    </xf>
    <xf numFmtId="10" fontId="0" fillId="0" borderId="1" xfId="3" applyNumberFormat="1" applyFont="1" applyBorder="1" applyAlignment="1">
      <alignment horizontal="center"/>
    </xf>
    <xf numFmtId="10" fontId="0" fillId="0" borderId="1" xfId="3" applyNumberFormat="1" applyFont="1" applyFill="1" applyBorder="1" applyAlignment="1">
      <alignment horizontal="center"/>
    </xf>
    <xf numFmtId="2" fontId="0" fillId="4" borderId="1" xfId="3" applyNumberFormat="1" applyFont="1" applyFill="1" applyBorder="1" applyAlignment="1">
      <alignment horizontal="center"/>
    </xf>
    <xf numFmtId="0" fontId="0" fillId="4" borderId="1" xfId="0" applyFill="1" applyBorder="1" applyAlignment="1">
      <alignment horizontal="center"/>
    </xf>
    <xf numFmtId="10" fontId="0" fillId="14" borderId="1" xfId="3" applyNumberFormat="1" applyFont="1" applyFill="1" applyBorder="1" applyAlignment="1">
      <alignment horizontal="center"/>
    </xf>
    <xf numFmtId="2" fontId="0" fillId="0" borderId="1" xfId="3" applyNumberFormat="1" applyFont="1" applyFill="1" applyBorder="1" applyAlignment="1">
      <alignment horizontal="center"/>
    </xf>
    <xf numFmtId="0" fontId="0" fillId="0" borderId="1" xfId="0" applyBorder="1" applyAlignment="1">
      <alignment horizontal="center"/>
    </xf>
    <xf numFmtId="2" fontId="0" fillId="14" borderId="1" xfId="3" applyNumberFormat="1" applyFont="1" applyFill="1" applyBorder="1" applyAlignment="1">
      <alignment horizontal="center"/>
    </xf>
    <xf numFmtId="4" fontId="0" fillId="14" borderId="1" xfId="0" applyNumberFormat="1" applyFill="1" applyBorder="1" applyAlignment="1">
      <alignment horizontal="center"/>
    </xf>
    <xf numFmtId="0" fontId="26" fillId="0" borderId="1" xfId="0" applyFont="1" applyBorder="1" applyAlignment="1">
      <alignment horizontal="center"/>
    </xf>
    <xf numFmtId="0" fontId="0" fillId="0" borderId="1" xfId="0" applyFill="1" applyBorder="1" applyAlignment="1">
      <alignment horizontal="center"/>
    </xf>
    <xf numFmtId="0" fontId="0" fillId="14" borderId="4" xfId="0" applyFill="1" applyBorder="1" applyAlignment="1">
      <alignment horizontal="center"/>
    </xf>
    <xf numFmtId="0" fontId="0" fillId="14" borderId="5" xfId="0" applyFill="1" applyBorder="1" applyAlignment="1">
      <alignment horizontal="center"/>
    </xf>
    <xf numFmtId="49" fontId="7" fillId="13" borderId="1" xfId="0" applyNumberFormat="1" applyFont="1" applyFill="1" applyBorder="1" applyAlignment="1">
      <alignment horizontal="center" vertical="center"/>
    </xf>
    <xf numFmtId="49" fontId="7" fillId="2" borderId="1" xfId="0" applyNumberFormat="1" applyFont="1" applyFill="1" applyBorder="1" applyAlignment="1">
      <alignment horizontal="center" vertical="center"/>
    </xf>
    <xf numFmtId="0" fontId="7" fillId="13"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xf>
    <xf numFmtId="0" fontId="7" fillId="4" borderId="1" xfId="0" applyFont="1" applyFill="1" applyBorder="1" applyAlignment="1">
      <alignment horizontal="center" vertical="center" wrapText="1"/>
    </xf>
    <xf numFmtId="0" fontId="26" fillId="0" borderId="1" xfId="0" applyFont="1" applyBorder="1" applyAlignment="1"/>
    <xf numFmtId="0" fontId="7" fillId="13" borderId="3" xfId="0" applyFont="1" applyFill="1" applyBorder="1" applyAlignment="1">
      <alignment horizontal="center" vertical="center" wrapText="1"/>
    </xf>
    <xf numFmtId="0" fontId="7" fillId="13" borderId="2" xfId="0" applyFont="1" applyFill="1" applyBorder="1" applyAlignment="1">
      <alignment horizontal="center" vertical="center" wrapText="1"/>
    </xf>
    <xf numFmtId="2" fontId="26" fillId="0" borderId="1" xfId="0" applyNumberFormat="1" applyFont="1" applyBorder="1" applyAlignment="1">
      <alignment horizontal="center" wrapText="1"/>
    </xf>
    <xf numFmtId="0" fontId="26" fillId="0" borderId="44" xfId="0" applyFont="1" applyBorder="1" applyAlignment="1">
      <alignment horizontal="center"/>
    </xf>
    <xf numFmtId="0" fontId="26" fillId="0" borderId="0" xfId="0" applyFont="1" applyBorder="1" applyAlignment="1">
      <alignment horizontal="center"/>
    </xf>
    <xf numFmtId="0" fontId="26" fillId="0" borderId="0" xfId="0" applyFont="1" applyAlignment="1">
      <alignment horizontal="center"/>
    </xf>
    <xf numFmtId="0" fontId="26" fillId="0" borderId="0" xfId="0" applyFont="1" applyFill="1" applyBorder="1" applyAlignment="1">
      <alignment horizontal="center"/>
    </xf>
    <xf numFmtId="0" fontId="26" fillId="0" borderId="16" xfId="0" applyFont="1" applyFill="1" applyBorder="1" applyAlignment="1">
      <alignment horizontal="center"/>
    </xf>
    <xf numFmtId="0" fontId="28" fillId="5" borderId="31" xfId="0" applyFont="1" applyFill="1" applyBorder="1" applyAlignment="1">
      <alignment horizontal="center" vertical="center" wrapText="1"/>
    </xf>
    <xf numFmtId="0" fontId="28" fillId="5" borderId="49" xfId="0" applyFont="1" applyFill="1" applyBorder="1" applyAlignment="1">
      <alignment horizontal="center" vertical="center" wrapText="1"/>
    </xf>
    <xf numFmtId="0" fontId="28" fillId="5" borderId="50" xfId="0" applyFont="1" applyFill="1" applyBorder="1" applyAlignment="1">
      <alignment horizontal="center" vertical="center" wrapText="1"/>
    </xf>
    <xf numFmtId="0" fontId="30" fillId="5" borderId="31" xfId="0" applyFont="1" applyFill="1" applyBorder="1" applyAlignment="1">
      <alignment horizontal="center" vertical="center" wrapText="1"/>
    </xf>
    <xf numFmtId="0" fontId="30" fillId="5" borderId="49" xfId="0" applyFont="1" applyFill="1" applyBorder="1" applyAlignment="1">
      <alignment horizontal="center" vertical="center" wrapText="1"/>
    </xf>
    <xf numFmtId="0" fontId="30" fillId="5" borderId="50" xfId="0" applyFont="1" applyFill="1" applyBorder="1" applyAlignment="1">
      <alignment horizontal="center" vertical="center" wrapText="1"/>
    </xf>
    <xf numFmtId="0" fontId="27" fillId="15" borderId="31" xfId="0" applyFont="1" applyFill="1" applyBorder="1" applyAlignment="1">
      <alignment horizontal="center" vertical="center" wrapText="1"/>
    </xf>
    <xf numFmtId="0" fontId="27" fillId="15" borderId="49" xfId="0" applyFont="1" applyFill="1" applyBorder="1" applyAlignment="1">
      <alignment horizontal="center" vertical="center" wrapText="1"/>
    </xf>
    <xf numFmtId="0" fontId="27" fillId="15" borderId="50" xfId="0" applyFont="1" applyFill="1" applyBorder="1" applyAlignment="1">
      <alignment horizontal="center" vertical="center" wrapText="1"/>
    </xf>
    <xf numFmtId="42" fontId="29" fillId="0" borderId="31" xfId="0" applyNumberFormat="1" applyFont="1" applyBorder="1" applyAlignment="1">
      <alignment horizontal="center" vertical="center" wrapText="1"/>
    </xf>
    <xf numFmtId="0" fontId="29" fillId="0" borderId="50" xfId="0" applyFont="1" applyBorder="1" applyAlignment="1">
      <alignment horizontal="center" vertical="center" wrapText="1"/>
    </xf>
    <xf numFmtId="44" fontId="29" fillId="0" borderId="31" xfId="0" applyNumberFormat="1" applyFont="1" applyBorder="1" applyAlignment="1">
      <alignment horizontal="center" vertical="center" wrapText="1"/>
    </xf>
    <xf numFmtId="43" fontId="29" fillId="0" borderId="31" xfId="0" applyNumberFormat="1" applyFont="1" applyBorder="1" applyAlignment="1">
      <alignment horizontal="center" vertical="center" wrapText="1"/>
    </xf>
    <xf numFmtId="164" fontId="29" fillId="0" borderId="31" xfId="1" applyFont="1" applyBorder="1" applyAlignment="1">
      <alignment horizontal="center" vertical="center" wrapText="1"/>
    </xf>
    <xf numFmtId="164" fontId="29" fillId="0" borderId="50" xfId="1" applyFont="1" applyBorder="1" applyAlignment="1">
      <alignment horizontal="center" vertical="center" wrapText="1"/>
    </xf>
    <xf numFmtId="169" fontId="29" fillId="0" borderId="31" xfId="0" applyNumberFormat="1" applyFont="1" applyBorder="1" applyAlignment="1">
      <alignment horizontal="center" vertical="center" wrapText="1"/>
    </xf>
    <xf numFmtId="169" fontId="29" fillId="0" borderId="50" xfId="0" applyNumberFormat="1" applyFont="1" applyBorder="1" applyAlignment="1">
      <alignment horizontal="center" vertical="center" wrapText="1"/>
    </xf>
    <xf numFmtId="0" fontId="28" fillId="5" borderId="31" xfId="0" applyFont="1" applyFill="1" applyBorder="1" applyAlignment="1" applyProtection="1">
      <alignment horizontal="center" vertical="center" wrapText="1"/>
      <protection hidden="1"/>
    </xf>
    <xf numFmtId="0" fontId="28" fillId="5" borderId="49" xfId="0" applyFont="1" applyFill="1" applyBorder="1" applyAlignment="1" applyProtection="1">
      <alignment horizontal="center" vertical="center" wrapText="1"/>
      <protection hidden="1"/>
    </xf>
    <xf numFmtId="0" fontId="28" fillId="5" borderId="50" xfId="0" applyFont="1" applyFill="1" applyBorder="1" applyAlignment="1" applyProtection="1">
      <alignment horizontal="center" vertical="center" wrapText="1"/>
      <protection hidden="1"/>
    </xf>
    <xf numFmtId="0" fontId="30" fillId="5" borderId="31" xfId="0" applyFont="1" applyFill="1" applyBorder="1" applyAlignment="1" applyProtection="1">
      <alignment horizontal="center" vertical="center" wrapText="1"/>
      <protection hidden="1"/>
    </xf>
    <xf numFmtId="0" fontId="30" fillId="5" borderId="49" xfId="0" applyFont="1" applyFill="1" applyBorder="1" applyAlignment="1" applyProtection="1">
      <alignment horizontal="center" vertical="center" wrapText="1"/>
      <protection hidden="1"/>
    </xf>
    <xf numFmtId="0" fontId="30" fillId="5" borderId="50" xfId="0" applyFont="1" applyFill="1" applyBorder="1" applyAlignment="1" applyProtection="1">
      <alignment horizontal="center" vertical="center" wrapText="1"/>
      <protection hidden="1"/>
    </xf>
    <xf numFmtId="0" fontId="27" fillId="15" borderId="31" xfId="0" applyFont="1" applyFill="1" applyBorder="1" applyAlignment="1" applyProtection="1">
      <alignment horizontal="center" vertical="center" wrapText="1"/>
      <protection hidden="1"/>
    </xf>
    <xf numFmtId="0" fontId="27" fillId="15" borderId="49" xfId="0" applyFont="1" applyFill="1" applyBorder="1" applyAlignment="1" applyProtection="1">
      <alignment horizontal="center" vertical="center" wrapText="1"/>
      <protection hidden="1"/>
    </xf>
    <xf numFmtId="0" fontId="27" fillId="15" borderId="50" xfId="0" applyFont="1" applyFill="1" applyBorder="1" applyAlignment="1" applyProtection="1">
      <alignment horizontal="center" vertical="center" wrapText="1"/>
      <protection hidden="1"/>
    </xf>
    <xf numFmtId="44" fontId="29" fillId="0" borderId="31" xfId="0" applyNumberFormat="1" applyFont="1" applyBorder="1" applyAlignment="1" applyProtection="1">
      <alignment horizontal="center" vertical="center" wrapText="1"/>
      <protection hidden="1"/>
    </xf>
    <xf numFmtId="0" fontId="29" fillId="0" borderId="50" xfId="0" applyFont="1" applyBorder="1" applyAlignment="1" applyProtection="1">
      <alignment horizontal="center" vertical="center" wrapText="1"/>
      <protection hidden="1"/>
    </xf>
    <xf numFmtId="44" fontId="29" fillId="0" borderId="31" xfId="4" applyFont="1" applyBorder="1" applyAlignment="1" applyProtection="1">
      <alignment horizontal="center" vertical="center" wrapText="1"/>
      <protection hidden="1"/>
    </xf>
    <xf numFmtId="44" fontId="29" fillId="0" borderId="50" xfId="4" applyFont="1" applyBorder="1" applyAlignment="1" applyProtection="1">
      <alignment horizontal="center" vertical="center" wrapText="1"/>
      <protection hidden="1"/>
    </xf>
    <xf numFmtId="172" fontId="36" fillId="0" borderId="60" xfId="1" applyNumberFormat="1" applyFont="1" applyBorder="1" applyAlignment="1">
      <alignment horizontal="center" vertical="center" shrinkToFit="1"/>
    </xf>
    <xf numFmtId="172" fontId="36" fillId="0" borderId="61" xfId="1" applyNumberFormat="1" applyFont="1" applyBorder="1" applyAlignment="1">
      <alignment horizontal="center" vertical="center" shrinkToFit="1"/>
    </xf>
    <xf numFmtId="0" fontId="39" fillId="16" borderId="66" xfId="0" applyFont="1" applyFill="1" applyBorder="1" applyAlignment="1">
      <alignment horizontal="center" vertical="top" wrapText="1"/>
    </xf>
    <xf numFmtId="0" fontId="39" fillId="16" borderId="67" xfId="0" applyFont="1" applyFill="1" applyBorder="1" applyAlignment="1">
      <alignment horizontal="center" vertical="top" wrapText="1"/>
    </xf>
    <xf numFmtId="0" fontId="39" fillId="16" borderId="68" xfId="0" applyFont="1" applyFill="1" applyBorder="1" applyAlignment="1">
      <alignment horizontal="center" vertical="top" wrapText="1"/>
    </xf>
    <xf numFmtId="0" fontId="39" fillId="16" borderId="55" xfId="0" applyFont="1" applyFill="1" applyBorder="1" applyAlignment="1">
      <alignment horizontal="center" vertical="top" wrapText="1"/>
    </xf>
    <xf numFmtId="0" fontId="39" fillId="16" borderId="56" xfId="0" applyFont="1" applyFill="1" applyBorder="1" applyAlignment="1">
      <alignment horizontal="center" vertical="top" wrapText="1"/>
    </xf>
    <xf numFmtId="0" fontId="39" fillId="16" borderId="57" xfId="0" applyFont="1" applyFill="1" applyBorder="1" applyAlignment="1">
      <alignment horizontal="center" vertical="top" wrapText="1"/>
    </xf>
    <xf numFmtId="0" fontId="0" fillId="16" borderId="55" xfId="0" applyFill="1" applyBorder="1" applyAlignment="1">
      <alignment horizontal="center" vertical="top" wrapText="1"/>
    </xf>
    <xf numFmtId="0" fontId="0" fillId="16" borderId="56" xfId="0" applyFill="1" applyBorder="1" applyAlignment="1">
      <alignment horizontal="center" vertical="top" wrapText="1"/>
    </xf>
    <xf numFmtId="0" fontId="0" fillId="16" borderId="57" xfId="0" applyFill="1" applyBorder="1" applyAlignment="1">
      <alignment horizontal="center" vertical="top" wrapText="1"/>
    </xf>
    <xf numFmtId="0" fontId="39" fillId="16" borderId="55" xfId="0" applyFont="1" applyFill="1" applyBorder="1" applyAlignment="1">
      <alignment horizontal="center" vertical="center" wrapText="1"/>
    </xf>
    <xf numFmtId="0" fontId="39" fillId="16" borderId="56" xfId="0" applyFont="1" applyFill="1" applyBorder="1" applyAlignment="1">
      <alignment horizontal="center" vertical="center" wrapText="1"/>
    </xf>
    <xf numFmtId="0" fontId="39" fillId="16" borderId="57" xfId="0" applyFont="1" applyFill="1" applyBorder="1" applyAlignment="1">
      <alignment horizontal="center" vertical="center" wrapText="1"/>
    </xf>
    <xf numFmtId="0" fontId="39" fillId="16" borderId="60" xfId="0" applyFont="1" applyFill="1" applyBorder="1" applyAlignment="1">
      <alignment horizontal="center" vertical="center" wrapText="1"/>
    </xf>
    <xf numFmtId="0" fontId="39" fillId="16" borderId="49" xfId="0" applyFont="1" applyFill="1" applyBorder="1" applyAlignment="1">
      <alignment horizontal="center" vertical="center" wrapText="1"/>
    </xf>
    <xf numFmtId="0" fontId="39" fillId="16" borderId="61" xfId="0" applyFont="1" applyFill="1" applyBorder="1" applyAlignment="1">
      <alignment horizontal="center" vertical="center" wrapText="1"/>
    </xf>
    <xf numFmtId="0" fontId="27" fillId="15" borderId="63" xfId="0" applyFont="1" applyFill="1" applyBorder="1" applyAlignment="1">
      <alignment horizontal="center" vertical="center" wrapText="1"/>
    </xf>
    <xf numFmtId="0" fontId="27" fillId="15" borderId="52" xfId="0" applyFont="1" applyFill="1" applyBorder="1" applyAlignment="1">
      <alignment horizontal="center" vertical="center" wrapText="1"/>
    </xf>
    <xf numFmtId="172" fontId="0" fillId="0" borderId="78" xfId="1" applyNumberFormat="1" applyFont="1" applyBorder="1" applyAlignment="1">
      <alignment horizontal="left" vertical="top" wrapText="1"/>
    </xf>
    <xf numFmtId="172" fontId="0" fillId="0" borderId="79" xfId="1" applyNumberFormat="1" applyFont="1" applyBorder="1" applyAlignment="1">
      <alignment horizontal="left" vertical="top" wrapText="1"/>
    </xf>
    <xf numFmtId="44" fontId="29" fillId="0" borderId="31" xfId="4" applyFont="1" applyBorder="1" applyAlignment="1">
      <alignment horizontal="center" vertical="center" wrapText="1"/>
    </xf>
    <xf numFmtId="44" fontId="29" fillId="0" borderId="50" xfId="4" applyFont="1" applyBorder="1" applyAlignment="1">
      <alignment horizontal="center" vertical="center" wrapText="1"/>
    </xf>
    <xf numFmtId="44" fontId="29" fillId="7" borderId="31" xfId="0" applyNumberFormat="1" applyFont="1" applyFill="1" applyBorder="1" applyAlignment="1">
      <alignment horizontal="center" vertical="center" wrapText="1"/>
    </xf>
    <xf numFmtId="0" fontId="29" fillId="7" borderId="50" xfId="0" applyFont="1" applyFill="1" applyBorder="1" applyAlignment="1">
      <alignment horizontal="center" vertical="center" wrapText="1"/>
    </xf>
    <xf numFmtId="41" fontId="29" fillId="0" borderId="31" xfId="0" applyNumberFormat="1" applyFont="1" applyBorder="1" applyAlignment="1">
      <alignment horizontal="center" vertical="center" wrapText="1"/>
    </xf>
    <xf numFmtId="41" fontId="29" fillId="0" borderId="31" xfId="2" applyFont="1" applyBorder="1" applyAlignment="1">
      <alignment horizontal="center" vertical="center" wrapText="1"/>
    </xf>
    <xf numFmtId="41" fontId="29" fillId="0" borderId="50" xfId="2" applyFont="1" applyBorder="1" applyAlignment="1">
      <alignment horizontal="center" vertical="center" wrapText="1"/>
    </xf>
    <xf numFmtId="0" fontId="44" fillId="18" borderId="3" xfId="0" applyFont="1" applyFill="1" applyBorder="1" applyAlignment="1">
      <alignment horizontal="center" vertical="center" wrapText="1"/>
    </xf>
    <xf numFmtId="0" fontId="44" fillId="18" borderId="17" xfId="0" applyFont="1" applyFill="1" applyBorder="1" applyAlignment="1">
      <alignment horizontal="center" vertical="center" wrapText="1"/>
    </xf>
    <xf numFmtId="0" fontId="44" fillId="18" borderId="2" xfId="0" applyFont="1" applyFill="1" applyBorder="1" applyAlignment="1">
      <alignment horizontal="center" vertical="center" wrapText="1"/>
    </xf>
    <xf numFmtId="0" fontId="43" fillId="18" borderId="3" xfId="0" applyFont="1" applyFill="1" applyBorder="1" applyAlignment="1">
      <alignment horizontal="center" vertical="center" wrapText="1"/>
    </xf>
    <xf numFmtId="0" fontId="43" fillId="18" borderId="17" xfId="0" applyFont="1" applyFill="1" applyBorder="1" applyAlignment="1">
      <alignment horizontal="center" vertical="center" wrapText="1"/>
    </xf>
    <xf numFmtId="0" fontId="43" fillId="18" borderId="2" xfId="0" applyFont="1" applyFill="1" applyBorder="1" applyAlignment="1">
      <alignment horizontal="center" vertical="center" wrapText="1"/>
    </xf>
    <xf numFmtId="0" fontId="44" fillId="17" borderId="1" xfId="0" applyFont="1" applyFill="1" applyBorder="1" applyAlignment="1">
      <alignment horizontal="center" vertical="center"/>
    </xf>
    <xf numFmtId="0" fontId="44" fillId="18" borderId="1" xfId="0" applyFont="1" applyFill="1" applyBorder="1" applyAlignment="1">
      <alignment horizontal="center" vertical="center" wrapText="1"/>
    </xf>
    <xf numFmtId="0" fontId="43" fillId="17" borderId="3" xfId="0" applyFont="1" applyFill="1" applyBorder="1" applyAlignment="1">
      <alignment horizontal="center" vertical="center" wrapText="1"/>
    </xf>
    <xf numFmtId="0" fontId="43" fillId="17" borderId="2" xfId="0" applyFont="1" applyFill="1" applyBorder="1" applyAlignment="1">
      <alignment horizontal="center" vertical="center" wrapText="1"/>
    </xf>
    <xf numFmtId="0" fontId="44" fillId="0" borderId="3" xfId="0" applyFont="1" applyBorder="1" applyAlignment="1">
      <alignment horizontal="center" vertical="center"/>
    </xf>
    <xf numFmtId="0" fontId="44" fillId="0" borderId="2" xfId="0" applyFont="1" applyBorder="1" applyAlignment="1">
      <alignment horizontal="center" vertical="center"/>
    </xf>
    <xf numFmtId="42" fontId="44" fillId="0" borderId="3" xfId="5" applyFont="1" applyBorder="1" applyAlignment="1">
      <alignment horizontal="center" vertical="center"/>
    </xf>
    <xf numFmtId="42" fontId="44" fillId="0" borderId="2" xfId="5" applyFont="1" applyBorder="1" applyAlignment="1">
      <alignment horizontal="center" vertical="center"/>
    </xf>
    <xf numFmtId="0" fontId="43" fillId="17" borderId="1" xfId="0" applyFont="1" applyFill="1" applyBorder="1" applyAlignment="1">
      <alignment horizontal="center" vertical="center"/>
    </xf>
    <xf numFmtId="171" fontId="29" fillId="0" borderId="31" xfId="4" applyNumberFormat="1" applyFont="1" applyBorder="1" applyAlignment="1">
      <alignment horizontal="center" vertical="center" wrapText="1"/>
    </xf>
    <xf numFmtId="171" fontId="29" fillId="0" borderId="50" xfId="4" applyNumberFormat="1" applyFont="1" applyBorder="1" applyAlignment="1">
      <alignment horizontal="center" vertical="center" wrapText="1"/>
    </xf>
    <xf numFmtId="171" fontId="29" fillId="0" borderId="31" xfId="0" applyNumberFormat="1" applyFont="1" applyBorder="1" applyAlignment="1">
      <alignment horizontal="center" vertical="center" wrapText="1"/>
    </xf>
    <xf numFmtId="171" fontId="29" fillId="0" borderId="50" xfId="0" applyNumberFormat="1" applyFont="1" applyBorder="1" applyAlignment="1">
      <alignment horizontal="center" vertical="center" wrapText="1"/>
    </xf>
    <xf numFmtId="0" fontId="46" fillId="5" borderId="4" xfId="0" applyFont="1" applyFill="1" applyBorder="1" applyAlignment="1">
      <alignment horizontal="center" vertical="center" wrapText="1"/>
    </xf>
    <xf numFmtId="0" fontId="46" fillId="5" borderId="5" xfId="0" applyFont="1" applyFill="1" applyBorder="1" applyAlignment="1">
      <alignment horizontal="center" vertical="center" wrapText="1"/>
    </xf>
    <xf numFmtId="0" fontId="45" fillId="5" borderId="18" xfId="0" applyFont="1" applyFill="1" applyBorder="1" applyAlignment="1">
      <alignment horizontal="center" vertical="center" wrapText="1"/>
    </xf>
    <xf numFmtId="0" fontId="45" fillId="5" borderId="19" xfId="0" applyFont="1" applyFill="1" applyBorder="1" applyAlignment="1">
      <alignment horizontal="center" vertical="center" wrapText="1"/>
    </xf>
    <xf numFmtId="0" fontId="45" fillId="5" borderId="8" xfId="0" applyFont="1" applyFill="1" applyBorder="1" applyAlignment="1">
      <alignment horizontal="center" vertical="center" wrapText="1"/>
    </xf>
    <xf numFmtId="0" fontId="45" fillId="5" borderId="45" xfId="0" applyFont="1" applyFill="1" applyBorder="1" applyAlignment="1">
      <alignment horizontal="center" vertical="center" wrapText="1"/>
    </xf>
    <xf numFmtId="0" fontId="45" fillId="5" borderId="16" xfId="0" applyFont="1" applyFill="1" applyBorder="1" applyAlignment="1">
      <alignment horizontal="center" vertical="center" wrapText="1"/>
    </xf>
    <xf numFmtId="0" fontId="45" fillId="5" borderId="9" xfId="0" applyFont="1" applyFill="1" applyBorder="1" applyAlignment="1">
      <alignment horizontal="center" vertical="center" wrapText="1"/>
    </xf>
    <xf numFmtId="44" fontId="45" fillId="5" borderId="4" xfId="0" applyNumberFormat="1" applyFont="1" applyFill="1" applyBorder="1" applyAlignment="1">
      <alignment horizontal="center" vertical="center" wrapText="1"/>
    </xf>
    <xf numFmtId="44" fontId="45" fillId="5" borderId="5" xfId="0" applyNumberFormat="1" applyFont="1" applyFill="1" applyBorder="1" applyAlignment="1">
      <alignment horizontal="center" vertical="center" wrapText="1"/>
    </xf>
    <xf numFmtId="0" fontId="46" fillId="19" borderId="1" xfId="0" applyFont="1" applyFill="1" applyBorder="1" applyAlignment="1">
      <alignment horizontal="center" vertical="center" wrapText="1"/>
    </xf>
    <xf numFmtId="0" fontId="45" fillId="19" borderId="1" xfId="0" applyFont="1" applyFill="1" applyBorder="1" applyAlignment="1">
      <alignment horizontal="center" vertical="center" wrapText="1"/>
    </xf>
    <xf numFmtId="0" fontId="46" fillId="5" borderId="1" xfId="0" applyFont="1" applyFill="1" applyBorder="1" applyAlignment="1">
      <alignment horizontal="center" vertical="center" wrapText="1"/>
    </xf>
    <xf numFmtId="0" fontId="46" fillId="5" borderId="3" xfId="0" applyFont="1" applyFill="1" applyBorder="1" applyAlignment="1">
      <alignment horizontal="center" vertical="center" wrapText="1"/>
    </xf>
    <xf numFmtId="0" fontId="46" fillId="5" borderId="17" xfId="0" applyFont="1" applyFill="1" applyBorder="1" applyAlignment="1">
      <alignment horizontal="center" vertical="center" wrapText="1"/>
    </xf>
    <xf numFmtId="0" fontId="46" fillId="5" borderId="2" xfId="0" applyFont="1" applyFill="1" applyBorder="1" applyAlignment="1">
      <alignment horizontal="center" vertical="center" wrapText="1"/>
    </xf>
    <xf numFmtId="0" fontId="45" fillId="19" borderId="4" xfId="0" applyFont="1" applyFill="1" applyBorder="1" applyAlignment="1">
      <alignment horizontal="center" vertical="center" wrapText="1"/>
    </xf>
    <xf numFmtId="0" fontId="45" fillId="19" borderId="5" xfId="0" applyFont="1" applyFill="1" applyBorder="1" applyAlignment="1">
      <alignment horizontal="center" vertical="center" wrapText="1"/>
    </xf>
    <xf numFmtId="44" fontId="49" fillId="0" borderId="0" xfId="4" applyFont="1" applyAlignment="1">
      <alignment horizontal="center" vertical="center"/>
    </xf>
    <xf numFmtId="0" fontId="46" fillId="5" borderId="74" xfId="0" applyFont="1" applyFill="1" applyBorder="1" applyAlignment="1">
      <alignment horizontal="center" vertical="center" wrapText="1"/>
    </xf>
    <xf numFmtId="0" fontId="46" fillId="5" borderId="0" xfId="0" applyFont="1" applyFill="1" applyBorder="1" applyAlignment="1">
      <alignment horizontal="center" vertical="center" wrapText="1"/>
    </xf>
    <xf numFmtId="0" fontId="46" fillId="5" borderId="73" xfId="0" applyFont="1" applyFill="1" applyBorder="1" applyAlignment="1">
      <alignment horizontal="center" vertical="center" wrapText="1"/>
    </xf>
    <xf numFmtId="0" fontId="45" fillId="19" borderId="18" xfId="0" applyFont="1" applyFill="1" applyBorder="1" applyAlignment="1">
      <alignment horizontal="center" vertical="center" wrapText="1"/>
    </xf>
    <xf numFmtId="0" fontId="45" fillId="19" borderId="8" xfId="0" applyFont="1" applyFill="1" applyBorder="1" applyAlignment="1">
      <alignment horizontal="center" vertical="center" wrapText="1"/>
    </xf>
    <xf numFmtId="0" fontId="45" fillId="19" borderId="45" xfId="0" applyFont="1" applyFill="1" applyBorder="1" applyAlignment="1">
      <alignment horizontal="center" vertical="center" wrapText="1"/>
    </xf>
    <xf numFmtId="0" fontId="45" fillId="19" borderId="9" xfId="0" applyFont="1" applyFill="1" applyBorder="1" applyAlignment="1">
      <alignment horizontal="center" vertical="center" wrapText="1"/>
    </xf>
    <xf numFmtId="0" fontId="45" fillId="19" borderId="75" xfId="0" applyFont="1" applyFill="1" applyBorder="1" applyAlignment="1">
      <alignment horizontal="center" vertical="center" wrapText="1"/>
    </xf>
    <xf numFmtId="0" fontId="45" fillId="19" borderId="76" xfId="0" applyFont="1" applyFill="1" applyBorder="1" applyAlignment="1">
      <alignment horizontal="center" vertical="center" wrapText="1"/>
    </xf>
    <xf numFmtId="0" fontId="45" fillId="19" borderId="77" xfId="0" applyFont="1" applyFill="1" applyBorder="1" applyAlignment="1">
      <alignment horizontal="center" vertical="center" wrapText="1"/>
    </xf>
    <xf numFmtId="0" fontId="45" fillId="19" borderId="69" xfId="0" applyFont="1" applyFill="1" applyBorder="1" applyAlignment="1">
      <alignment horizontal="center" vertical="center" wrapText="1"/>
    </xf>
    <xf numFmtId="0" fontId="45" fillId="19" borderId="70" xfId="0" applyFont="1" applyFill="1" applyBorder="1" applyAlignment="1">
      <alignment horizontal="center" vertical="center" wrapText="1"/>
    </xf>
    <xf numFmtId="0" fontId="45" fillId="19" borderId="71" xfId="0" applyFont="1" applyFill="1" applyBorder="1" applyAlignment="1">
      <alignment horizontal="center" vertical="center" wrapText="1"/>
    </xf>
    <xf numFmtId="44" fontId="47" fillId="0" borderId="74" xfId="0" applyNumberFormat="1" applyFont="1" applyBorder="1" applyAlignment="1">
      <alignment horizontal="center" vertical="center" wrapText="1"/>
    </xf>
    <xf numFmtId="0" fontId="47" fillId="0" borderId="73" xfId="0" applyFont="1" applyBorder="1" applyAlignment="1">
      <alignment horizontal="center" vertical="center" wrapText="1"/>
    </xf>
    <xf numFmtId="0" fontId="48" fillId="0" borderId="0" xfId="0" applyFont="1" applyAlignment="1">
      <alignment horizontal="center" vertical="center"/>
    </xf>
    <xf numFmtId="172" fontId="27" fillId="15" borderId="31" xfId="1" applyNumberFormat="1" applyFont="1" applyFill="1" applyBorder="1" applyAlignment="1">
      <alignment horizontal="center" vertical="center" wrapText="1"/>
    </xf>
    <xf numFmtId="172" fontId="27" fillId="15" borderId="50" xfId="1" applyNumberFormat="1" applyFont="1" applyFill="1" applyBorder="1" applyAlignment="1">
      <alignment horizontal="center" vertical="center" wrapText="1"/>
    </xf>
    <xf numFmtId="174" fontId="29" fillId="0" borderId="31" xfId="0" applyNumberFormat="1" applyFont="1" applyBorder="1" applyAlignment="1">
      <alignment horizontal="center" vertical="center" wrapText="1"/>
    </xf>
    <xf numFmtId="174" fontId="29" fillId="0" borderId="50" xfId="0" applyNumberFormat="1" applyFont="1" applyBorder="1" applyAlignment="1">
      <alignment horizontal="center" vertical="center" wrapText="1"/>
    </xf>
  </cellXfs>
  <cellStyles count="6">
    <cellStyle name="Millares" xfId="1" builtinId="3"/>
    <cellStyle name="Millares [0]" xfId="2" builtinId="6"/>
    <cellStyle name="Moneda" xfId="4" builtinId="4"/>
    <cellStyle name="Moneda [0]" xfId="5"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8.xml"/><Relationship Id="rId21" Type="http://schemas.openxmlformats.org/officeDocument/2006/relationships/worksheet" Target="worksheets/sheet21.xml"/><Relationship Id="rId34" Type="http://schemas.openxmlformats.org/officeDocument/2006/relationships/externalLink" Target="externalLinks/externalLink3.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OCHOC\AppData\Local\Temp\Rar$DIa18336.13691\2.%20ECONOMICA%20-%20UT%20RAMA%20TUNJA%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OCHOC\AppData\Local\Temp\Rar$DIa18336.1890\3.1%20ECONOIMICA%20-%20SEGURIDAD%20DIGITAL%20LTD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NOCHOC\AppData\Local\Temp\Rar$DIa18336.5319\5.1.%20%20ECONOMICA%20-%20UT%20L&amp;D.pdf.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OCHOC\AppData\Local\Temp\Rar$DIa18336.29366\9.3.%20ECONOMICA%20-%20UNION%20TEMPORAL%20SUPVA%20202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NOCHOC\AppData\Local\Temp\Rar$DIa11956.38571\FORMATO%20OFERTA%20ECONOMIC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NOCHOC\AppData\Local\Temp\Rar$DIa4628.42208\Evaluaci&#243;n%20Econ&#243;mica%20-%20590%20Puntos%20-%20(Diligenciar%20el%20anexo%20No.%203%20y%203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NOCHOC\AppData\Local\Temp\Rar$DIa18336.10421\23.1%20ECONOMICA%20-%20UNI&#211;N%20TEMPORAL%20SEPETEDAC%20RM%20TUNJ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NOCHOC\AppData\Local\Temp\Rar$DIa18336.10690\24.%20ECONOMICA%20-%20UT%20PA%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s>
    <sheetDataSet>
      <sheetData sheetId="0" refreshError="1"/>
      <sheetData sheetId="1">
        <row r="17">
          <cell r="E17">
            <v>12308900</v>
          </cell>
          <cell r="I17">
            <v>66960415.999999993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s>
    <sheetDataSet>
      <sheetData sheetId="0" refreshError="1"/>
      <sheetData sheetId="1">
        <row r="17">
          <cell r="E17">
            <v>13110963</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 val="Hoja1"/>
    </sheetNames>
    <sheetDataSet>
      <sheetData sheetId="0" refreshError="1"/>
      <sheetData sheetId="1">
        <row r="17">
          <cell r="E17">
            <v>11291573</v>
          </cell>
        </row>
      </sheetData>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s>
    <sheetDataSet>
      <sheetData sheetId="0" refreshError="1"/>
      <sheetData sheetId="1">
        <row r="17">
          <cell r="E17">
            <v>16469624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s>
    <sheetDataSet>
      <sheetData sheetId="0" refreshError="1"/>
      <sheetData sheetId="1">
        <row r="17">
          <cell r="E17">
            <v>9840000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s>
    <sheetDataSet>
      <sheetData sheetId="0" refreshError="1"/>
      <sheetData sheetId="1">
        <row r="17">
          <cell r="E17">
            <v>15036141.237500001</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sheetName val="ANEXO 3,1,"/>
    </sheetNames>
    <sheetDataSet>
      <sheetData sheetId="0">
        <row r="22">
          <cell r="E22">
            <v>5.44</v>
          </cell>
        </row>
      </sheetData>
      <sheetData sheetId="1">
        <row r="17">
          <cell r="E17">
            <v>13419783</v>
          </cell>
          <cell r="I17">
            <v>73003619.520000011</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3 (PTO)"/>
      <sheetName val="Anexo 3A"/>
    </sheetNames>
    <sheetDataSet>
      <sheetData sheetId="0"/>
      <sheetData sheetId="1">
        <row r="19">
          <cell r="E19">
            <v>13229077.649799999</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7.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9.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31.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S1896"/>
  <sheetViews>
    <sheetView zoomScale="85" zoomScaleNormal="85" workbookViewId="0">
      <pane xSplit="2" ySplit="7" topLeftCell="S220" activePane="bottomRight" state="frozen"/>
      <selection pane="topRight" activeCell="C1" sqref="C1"/>
      <selection pane="bottomLeft" activeCell="A8" sqref="A8"/>
      <selection pane="bottomRight" activeCell="S222" sqref="S222:U222"/>
    </sheetView>
  </sheetViews>
  <sheetFormatPr baseColWidth="10" defaultRowHeight="15"/>
  <cols>
    <col min="1" max="1" width="20.7109375" style="24" customWidth="1"/>
    <col min="2" max="2" width="41" style="25" customWidth="1"/>
    <col min="3" max="3" width="49.28515625" style="25" bestFit="1" customWidth="1"/>
    <col min="4" max="4" width="43.7109375" style="2" bestFit="1" customWidth="1"/>
    <col min="5" max="6" width="45.140625" style="2" bestFit="1" customWidth="1"/>
    <col min="7" max="7" width="43.7109375" style="2" bestFit="1" customWidth="1"/>
    <col min="8" max="8" width="57" style="2" bestFit="1" customWidth="1"/>
    <col min="9" max="12" width="45.140625" style="2" bestFit="1" customWidth="1"/>
    <col min="13" max="13" width="47.28515625" style="2" bestFit="1" customWidth="1"/>
    <col min="14" max="17" width="45.140625" style="2" bestFit="1" customWidth="1"/>
    <col min="18" max="18" width="44.42578125" style="2" bestFit="1" customWidth="1"/>
    <col min="19" max="30" width="45.140625" style="2" customWidth="1"/>
    <col min="31" max="31" width="36.42578125" style="1" customWidth="1"/>
    <col min="32" max="32" width="42.28515625" style="1" customWidth="1"/>
    <col min="33" max="33" width="39.28515625" style="1" customWidth="1"/>
    <col min="34" max="34" width="40.28515625" style="1" customWidth="1"/>
    <col min="35" max="35" width="39.28515625" style="55" customWidth="1"/>
    <col min="36" max="36" width="40.28515625" style="55" customWidth="1"/>
    <col min="37" max="37" width="39.28515625" style="56" customWidth="1"/>
    <col min="38" max="38" width="40.28515625" style="56" customWidth="1"/>
    <col min="39" max="39" width="39.28515625" style="57" customWidth="1"/>
    <col min="40" max="41" width="40.28515625" style="57" customWidth="1"/>
    <col min="42" max="42" width="39.28515625" style="58" customWidth="1"/>
    <col min="43" max="51" width="40.28515625" style="58" customWidth="1"/>
    <col min="52" max="52" width="39.28515625" style="55" customWidth="1"/>
    <col min="53" max="54" width="40.28515625" style="55" customWidth="1"/>
    <col min="55" max="55" width="46.5703125" style="59" customWidth="1"/>
    <col min="56" max="56" width="40.28515625" style="59" customWidth="1"/>
    <col min="57" max="57" width="41" style="1" customWidth="1"/>
    <col min="58" max="58" width="50.140625" style="1" customWidth="1"/>
    <col min="59" max="59" width="42.85546875" style="1" customWidth="1"/>
    <col min="60" max="60" width="46.28515625" style="1" customWidth="1"/>
    <col min="61" max="61" width="41" style="1" customWidth="1"/>
    <col min="62" max="278" width="11.42578125" style="1"/>
    <col min="279" max="279" width="11.42578125" style="5"/>
    <col min="280" max="16384" width="11.42578125" style="6"/>
  </cols>
  <sheetData>
    <row r="1" spans="1:279" s="1" customFormat="1" ht="95.25" customHeight="1">
      <c r="A1" s="939" t="s">
        <v>194</v>
      </c>
      <c r="B1" s="939"/>
      <c r="C1" s="939"/>
      <c r="D1" s="939"/>
      <c r="E1" s="939"/>
      <c r="F1" s="939"/>
      <c r="G1" s="939"/>
      <c r="H1" s="939"/>
      <c r="I1" s="939"/>
      <c r="J1" s="939"/>
      <c r="K1" s="939"/>
      <c r="L1" s="939"/>
      <c r="M1" s="939"/>
      <c r="N1" s="939"/>
      <c r="O1" s="939"/>
      <c r="P1" s="939"/>
      <c r="Q1" s="939"/>
      <c r="R1" s="939"/>
      <c r="S1" s="939"/>
      <c r="T1" s="939"/>
      <c r="U1" s="939"/>
      <c r="V1" s="939"/>
      <c r="W1" s="939"/>
      <c r="X1" s="939"/>
      <c r="Y1" s="939"/>
      <c r="Z1" s="939"/>
      <c r="AA1" s="939"/>
      <c r="AB1" s="939"/>
      <c r="AC1" s="939"/>
      <c r="AD1" s="939"/>
      <c r="AE1" s="939"/>
      <c r="AF1" s="939"/>
      <c r="AG1" s="939"/>
      <c r="AH1" s="939"/>
      <c r="AI1" s="939"/>
      <c r="AJ1" s="939"/>
      <c r="AK1" s="939"/>
      <c r="AL1" s="939"/>
      <c r="AM1" s="939"/>
      <c r="AN1" s="939"/>
      <c r="AO1" s="939"/>
      <c r="AP1" s="939"/>
      <c r="AQ1" s="939"/>
      <c r="AR1" s="939"/>
      <c r="AS1" s="939"/>
      <c r="AT1" s="939"/>
      <c r="AU1" s="939"/>
      <c r="AV1" s="939"/>
      <c r="AW1" s="939"/>
      <c r="AX1" s="939"/>
      <c r="AY1" s="939"/>
      <c r="AZ1" s="939"/>
      <c r="BA1" s="939"/>
      <c r="BB1" s="939"/>
      <c r="BC1" s="939"/>
      <c r="BD1" s="939"/>
      <c r="BE1" s="656"/>
      <c r="BF1" s="656"/>
      <c r="BG1" s="656"/>
      <c r="BH1" s="656"/>
      <c r="BI1" s="656"/>
    </row>
    <row r="2" spans="1:279" s="4" customFormat="1" ht="20.25" customHeight="1">
      <c r="A2" s="656"/>
      <c r="B2" s="656"/>
      <c r="C2" s="656"/>
      <c r="D2" s="656"/>
      <c r="E2" s="656"/>
      <c r="F2" s="656"/>
      <c r="G2" s="656"/>
      <c r="H2" s="656"/>
      <c r="I2" s="656"/>
      <c r="J2" s="656"/>
      <c r="K2" s="656"/>
      <c r="L2" s="656"/>
      <c r="M2" s="656"/>
      <c r="N2" s="656"/>
      <c r="O2" s="656"/>
      <c r="P2" s="656"/>
      <c r="Q2" s="656"/>
      <c r="R2" s="656"/>
      <c r="S2" s="656"/>
      <c r="T2" s="656"/>
      <c r="U2" s="656"/>
      <c r="V2" s="656"/>
      <c r="W2" s="656"/>
      <c r="X2" s="656"/>
      <c r="Y2" s="656"/>
      <c r="Z2" s="656"/>
      <c r="AA2" s="656"/>
      <c r="AB2" s="656"/>
      <c r="AC2" s="656"/>
      <c r="AD2" s="656"/>
      <c r="AE2" s="656"/>
      <c r="AF2" s="656"/>
      <c r="AG2" s="656"/>
      <c r="AH2" s="656"/>
      <c r="AI2" s="656"/>
      <c r="AJ2" s="656"/>
      <c r="AK2" s="656"/>
      <c r="AL2" s="656"/>
      <c r="AM2" s="656"/>
      <c r="AN2" s="656"/>
      <c r="AO2" s="656"/>
      <c r="AP2" s="656"/>
      <c r="AQ2" s="656"/>
      <c r="AR2" s="656"/>
      <c r="AS2" s="656"/>
      <c r="AT2" s="656"/>
      <c r="AU2" s="656"/>
      <c r="AV2" s="656"/>
      <c r="AW2" s="656"/>
      <c r="AX2" s="656"/>
      <c r="AY2" s="656"/>
      <c r="AZ2" s="656"/>
      <c r="BA2" s="656"/>
      <c r="BB2" s="656"/>
      <c r="BC2" s="656"/>
      <c r="BD2" s="656"/>
      <c r="BE2" s="656"/>
      <c r="BF2" s="656"/>
      <c r="BG2" s="656"/>
      <c r="BH2" s="656"/>
      <c r="BI2" s="656"/>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3"/>
    </row>
    <row r="3" spans="1:279" ht="46.5" customHeight="1" thickBot="1">
      <c r="A3" s="940" t="s">
        <v>193</v>
      </c>
      <c r="B3" s="941"/>
      <c r="C3" s="941"/>
      <c r="D3" s="941"/>
      <c r="E3" s="941"/>
      <c r="F3" s="941"/>
      <c r="G3" s="941"/>
      <c r="H3" s="941"/>
      <c r="I3" s="941"/>
      <c r="J3" s="941"/>
      <c r="K3" s="941"/>
      <c r="L3" s="941"/>
      <c r="M3" s="941"/>
      <c r="N3" s="941"/>
      <c r="O3" s="941"/>
      <c r="P3" s="941"/>
      <c r="Q3" s="941"/>
      <c r="R3" s="941"/>
      <c r="S3" s="941"/>
      <c r="T3" s="941"/>
      <c r="U3" s="941"/>
      <c r="V3" s="941"/>
      <c r="W3" s="941"/>
      <c r="X3" s="941"/>
      <c r="Y3" s="941"/>
      <c r="Z3" s="941"/>
      <c r="AA3" s="941"/>
      <c r="AB3" s="941"/>
      <c r="AC3" s="941"/>
      <c r="AD3" s="941"/>
      <c r="AE3" s="941"/>
      <c r="AF3" s="941"/>
      <c r="AG3" s="941"/>
      <c r="AH3" s="941"/>
      <c r="AI3" s="941"/>
      <c r="AJ3" s="941"/>
      <c r="AK3" s="941"/>
      <c r="AL3" s="941"/>
      <c r="AM3" s="941"/>
      <c r="AN3" s="941"/>
      <c r="AO3" s="941"/>
      <c r="AP3" s="941"/>
      <c r="AQ3" s="941"/>
      <c r="AR3" s="941"/>
      <c r="AS3" s="941"/>
      <c r="AT3" s="941"/>
      <c r="AU3" s="941"/>
      <c r="AV3" s="941"/>
      <c r="AW3" s="941"/>
      <c r="AX3" s="941"/>
      <c r="AY3" s="941"/>
      <c r="AZ3" s="941"/>
      <c r="BA3" s="941"/>
      <c r="BB3" s="941"/>
      <c r="BC3" s="941"/>
      <c r="BD3" s="941"/>
      <c r="BE3" s="657"/>
      <c r="BF3" s="657"/>
      <c r="BG3" s="657"/>
      <c r="BH3" s="657"/>
    </row>
    <row r="4" spans="1:279">
      <c r="A4" s="1181" t="s">
        <v>111</v>
      </c>
      <c r="B4" s="1182"/>
      <c r="C4" s="1183"/>
      <c r="D4" s="186">
        <v>1</v>
      </c>
      <c r="E4" s="1022" t="s">
        <v>1405</v>
      </c>
      <c r="F4" s="1023"/>
      <c r="G4" s="186">
        <v>3</v>
      </c>
      <c r="H4" s="329" t="s">
        <v>1434</v>
      </c>
      <c r="I4" s="1022" t="s">
        <v>1552</v>
      </c>
      <c r="J4" s="1023"/>
      <c r="K4" s="1022" t="s">
        <v>1553</v>
      </c>
      <c r="L4" s="1023"/>
      <c r="M4" s="1022" t="s">
        <v>1554</v>
      </c>
      <c r="N4" s="1023"/>
      <c r="O4" s="1022" t="s">
        <v>1555</v>
      </c>
      <c r="P4" s="1023"/>
      <c r="Q4" s="1001" t="s">
        <v>1325</v>
      </c>
      <c r="R4" s="1185"/>
      <c r="S4" s="1001" t="s">
        <v>17</v>
      </c>
      <c r="T4" s="1002"/>
      <c r="U4" s="1003"/>
      <c r="V4" s="1022" t="s">
        <v>161</v>
      </c>
      <c r="W4" s="1043"/>
      <c r="X4" s="329" t="s">
        <v>162</v>
      </c>
      <c r="Y4" s="1022" t="s">
        <v>1290</v>
      </c>
      <c r="Z4" s="1023"/>
      <c r="AA4" s="1022" t="s">
        <v>1233</v>
      </c>
      <c r="AB4" s="1023"/>
      <c r="AC4" s="1022" t="s">
        <v>1556</v>
      </c>
      <c r="AD4" s="1023"/>
      <c r="AE4" s="1022" t="s">
        <v>61</v>
      </c>
      <c r="AF4" s="1023"/>
      <c r="AG4" s="1022" t="s">
        <v>62</v>
      </c>
      <c r="AH4" s="1023"/>
      <c r="AI4" s="1022" t="s">
        <v>63</v>
      </c>
      <c r="AJ4" s="1023"/>
      <c r="AK4" s="1022" t="s">
        <v>64</v>
      </c>
      <c r="AL4" s="1023"/>
      <c r="AM4" s="1022" t="s">
        <v>65</v>
      </c>
      <c r="AN4" s="1023"/>
      <c r="AO4" s="329" t="s">
        <v>66</v>
      </c>
      <c r="AP4" s="1022" t="s">
        <v>67</v>
      </c>
      <c r="AQ4" s="1023"/>
      <c r="AR4" s="1001" t="s">
        <v>69</v>
      </c>
      <c r="AS4" s="1002"/>
      <c r="AT4" s="1185"/>
      <c r="AU4" s="1022" t="s">
        <v>71</v>
      </c>
      <c r="AV4" s="1023"/>
      <c r="AW4" s="584" t="s">
        <v>72</v>
      </c>
      <c r="AX4" s="1001" t="s">
        <v>73</v>
      </c>
      <c r="AY4" s="1185"/>
      <c r="AZ4" s="1022" t="s">
        <v>74</v>
      </c>
      <c r="BA4" s="1023"/>
      <c r="BB4" s="543" t="s">
        <v>75</v>
      </c>
      <c r="BC4" s="1022" t="s">
        <v>96</v>
      </c>
      <c r="BD4" s="1023"/>
    </row>
    <row r="5" spans="1:279" ht="15" customHeight="1">
      <c r="A5" s="1181"/>
      <c r="B5" s="1182"/>
      <c r="C5" s="1183"/>
      <c r="D5" s="948" t="s">
        <v>836</v>
      </c>
      <c r="E5" s="1051" t="s">
        <v>240</v>
      </c>
      <c r="F5" s="1052"/>
      <c r="G5" s="948" t="s">
        <v>837</v>
      </c>
      <c r="H5" s="1188" t="s">
        <v>1433</v>
      </c>
      <c r="I5" s="1051" t="s">
        <v>1435</v>
      </c>
      <c r="J5" s="1052"/>
      <c r="K5" s="1051" t="s">
        <v>1436</v>
      </c>
      <c r="L5" s="1052"/>
      <c r="M5" s="1051" t="s">
        <v>1437</v>
      </c>
      <c r="N5" s="1052"/>
      <c r="O5" s="1051" t="s">
        <v>1525</v>
      </c>
      <c r="P5" s="1052"/>
      <c r="Q5" s="948" t="s">
        <v>1291</v>
      </c>
      <c r="R5" s="968"/>
      <c r="S5" s="948" t="s">
        <v>1326</v>
      </c>
      <c r="T5" s="949"/>
      <c r="U5" s="974"/>
      <c r="V5" s="964" t="s">
        <v>1163</v>
      </c>
      <c r="W5" s="965"/>
      <c r="X5" s="1048" t="s">
        <v>755</v>
      </c>
      <c r="Y5" s="964" t="s">
        <v>1234</v>
      </c>
      <c r="Z5" s="969"/>
      <c r="AA5" s="964" t="s">
        <v>921</v>
      </c>
      <c r="AB5" s="969"/>
      <c r="AC5" s="1051" t="s">
        <v>1053</v>
      </c>
      <c r="AD5" s="1052"/>
      <c r="AE5" s="964" t="s">
        <v>328</v>
      </c>
      <c r="AF5" s="969"/>
      <c r="AG5" s="964" t="s">
        <v>399</v>
      </c>
      <c r="AH5" s="969"/>
      <c r="AI5" s="964" t="s">
        <v>458</v>
      </c>
      <c r="AJ5" s="969"/>
      <c r="AK5" s="964" t="s">
        <v>503</v>
      </c>
      <c r="AL5" s="969"/>
      <c r="AM5" s="964" t="s">
        <v>547</v>
      </c>
      <c r="AN5" s="969"/>
      <c r="AO5" s="1048" t="s">
        <v>896</v>
      </c>
      <c r="AP5" s="964" t="s">
        <v>604</v>
      </c>
      <c r="AQ5" s="969"/>
      <c r="AR5" s="1186" t="s">
        <v>1557</v>
      </c>
      <c r="AS5" s="1233"/>
      <c r="AT5" s="1187"/>
      <c r="AU5" s="1051" t="s">
        <v>1558</v>
      </c>
      <c r="AV5" s="1052"/>
      <c r="AW5" s="1184" t="s">
        <v>788</v>
      </c>
      <c r="AX5" s="1186" t="s">
        <v>1110</v>
      </c>
      <c r="AY5" s="1187"/>
      <c r="AZ5" s="964" t="s">
        <v>682</v>
      </c>
      <c r="BA5" s="969"/>
      <c r="BB5" s="544" t="s">
        <v>1005</v>
      </c>
      <c r="BC5" s="964" t="s">
        <v>696</v>
      </c>
      <c r="BD5" s="969"/>
    </row>
    <row r="6" spans="1:279" ht="36">
      <c r="A6" s="1181"/>
      <c r="B6" s="1182"/>
      <c r="C6" s="1183"/>
      <c r="D6" s="948"/>
      <c r="E6" s="241" t="s">
        <v>241</v>
      </c>
      <c r="F6" s="242" t="s">
        <v>242</v>
      </c>
      <c r="G6" s="948"/>
      <c r="H6" s="1189"/>
      <c r="I6" s="241" t="s">
        <v>1438</v>
      </c>
      <c r="J6" s="242" t="s">
        <v>1439</v>
      </c>
      <c r="K6" s="241" t="s">
        <v>1440</v>
      </c>
      <c r="L6" s="242" t="s">
        <v>1441</v>
      </c>
      <c r="M6" s="241" t="s">
        <v>1442</v>
      </c>
      <c r="N6" s="242" t="s">
        <v>1443</v>
      </c>
      <c r="O6" s="241" t="s">
        <v>1526</v>
      </c>
      <c r="P6" s="242" t="s">
        <v>1527</v>
      </c>
      <c r="Q6" s="241" t="s">
        <v>988</v>
      </c>
      <c r="R6" s="242" t="s">
        <v>1292</v>
      </c>
      <c r="S6" s="241" t="s">
        <v>1327</v>
      </c>
      <c r="T6" s="120" t="s">
        <v>1328</v>
      </c>
      <c r="U6" s="71" t="s">
        <v>1329</v>
      </c>
      <c r="V6" s="241" t="s">
        <v>1164</v>
      </c>
      <c r="W6" s="120" t="s">
        <v>1165</v>
      </c>
      <c r="X6" s="1050"/>
      <c r="Y6" s="241" t="s">
        <v>1235</v>
      </c>
      <c r="Z6" s="463" t="s">
        <v>1236</v>
      </c>
      <c r="AA6" s="241" t="s">
        <v>922</v>
      </c>
      <c r="AB6" s="242" t="s">
        <v>923</v>
      </c>
      <c r="AC6" s="241" t="s">
        <v>1054</v>
      </c>
      <c r="AD6" s="242" t="s">
        <v>1055</v>
      </c>
      <c r="AE6" s="270" t="s">
        <v>329</v>
      </c>
      <c r="AF6" s="469" t="s">
        <v>330</v>
      </c>
      <c r="AG6" s="270" t="s">
        <v>400</v>
      </c>
      <c r="AH6" s="469" t="s">
        <v>401</v>
      </c>
      <c r="AI6" s="270" t="s">
        <v>459</v>
      </c>
      <c r="AJ6" s="469" t="s">
        <v>460</v>
      </c>
      <c r="AK6" s="270" t="s">
        <v>504</v>
      </c>
      <c r="AL6" s="469" t="s">
        <v>505</v>
      </c>
      <c r="AM6" s="270" t="s">
        <v>548</v>
      </c>
      <c r="AN6" s="271" t="s">
        <v>587</v>
      </c>
      <c r="AO6" s="1050"/>
      <c r="AP6" s="270" t="s">
        <v>605</v>
      </c>
      <c r="AQ6" s="469" t="s">
        <v>606</v>
      </c>
      <c r="AR6" s="241" t="s">
        <v>1559</v>
      </c>
      <c r="AS6" s="27" t="s">
        <v>1560</v>
      </c>
      <c r="AT6" s="242" t="s">
        <v>1561</v>
      </c>
      <c r="AU6" s="241" t="s">
        <v>1562</v>
      </c>
      <c r="AV6" s="242" t="s">
        <v>1563</v>
      </c>
      <c r="AW6" s="1184"/>
      <c r="AX6" s="241" t="s">
        <v>1111</v>
      </c>
      <c r="AY6" s="242" t="s">
        <v>1112</v>
      </c>
      <c r="AZ6" s="270" t="s">
        <v>649</v>
      </c>
      <c r="BA6" s="271" t="s">
        <v>650</v>
      </c>
      <c r="BB6" s="319" t="s">
        <v>1005</v>
      </c>
      <c r="BC6" s="270" t="s">
        <v>697</v>
      </c>
      <c r="BD6" s="271" t="s">
        <v>698</v>
      </c>
    </row>
    <row r="7" spans="1:279" ht="20.25">
      <c r="A7" s="1190" t="s">
        <v>121</v>
      </c>
      <c r="B7" s="1191"/>
      <c r="C7" s="1192"/>
      <c r="D7" s="187"/>
      <c r="E7" s="243"/>
      <c r="F7" s="244"/>
      <c r="G7" s="187"/>
      <c r="H7" s="330"/>
      <c r="I7" s="243"/>
      <c r="J7" s="244"/>
      <c r="K7" s="243"/>
      <c r="L7" s="244"/>
      <c r="M7" s="243"/>
      <c r="N7" s="244"/>
      <c r="O7" s="243"/>
      <c r="P7" s="244"/>
      <c r="Q7" s="243"/>
      <c r="R7" s="244"/>
      <c r="S7" s="243"/>
      <c r="T7" s="72"/>
      <c r="U7" s="93"/>
      <c r="V7" s="243"/>
      <c r="W7" s="72"/>
      <c r="X7" s="141"/>
      <c r="Y7" s="243"/>
      <c r="Z7" s="244"/>
      <c r="AA7" s="243"/>
      <c r="AB7" s="244"/>
      <c r="AC7" s="243"/>
      <c r="AD7" s="244"/>
      <c r="AE7" s="243"/>
      <c r="AF7" s="244"/>
      <c r="AG7" s="243"/>
      <c r="AH7" s="244"/>
      <c r="AI7" s="243"/>
      <c r="AJ7" s="244"/>
      <c r="AK7" s="243"/>
      <c r="AL7" s="244"/>
      <c r="AM7" s="243"/>
      <c r="AN7" s="244"/>
      <c r="AO7" s="141"/>
      <c r="AP7" s="243"/>
      <c r="AQ7" s="244"/>
      <c r="AR7" s="243"/>
      <c r="AS7" s="32"/>
      <c r="AT7" s="244"/>
      <c r="AU7" s="243"/>
      <c r="AV7" s="244"/>
      <c r="AW7" s="141"/>
      <c r="AX7" s="243"/>
      <c r="AY7" s="244"/>
      <c r="AZ7" s="243"/>
      <c r="BA7" s="244"/>
      <c r="BB7" s="545"/>
      <c r="BC7" s="243"/>
      <c r="BD7" s="244"/>
    </row>
    <row r="8" spans="1:279" ht="24" customHeight="1">
      <c r="A8" s="1077" t="s">
        <v>36</v>
      </c>
      <c r="B8" s="1135" t="s">
        <v>88</v>
      </c>
      <c r="C8" s="69" t="s">
        <v>33</v>
      </c>
      <c r="D8" s="188" t="s">
        <v>243</v>
      </c>
      <c r="E8" s="1136" t="s">
        <v>243</v>
      </c>
      <c r="F8" s="1151"/>
      <c r="G8" s="209" t="s">
        <v>243</v>
      </c>
      <c r="H8" s="159" t="s">
        <v>243</v>
      </c>
      <c r="I8" s="1136" t="s">
        <v>243</v>
      </c>
      <c r="J8" s="1151"/>
      <c r="K8" s="1136" t="s">
        <v>243</v>
      </c>
      <c r="L8" s="1151"/>
      <c r="M8" s="1136" t="s">
        <v>243</v>
      </c>
      <c r="N8" s="1151"/>
      <c r="O8" s="1136" t="s">
        <v>243</v>
      </c>
      <c r="P8" s="1151"/>
      <c r="Q8" s="948" t="s">
        <v>863</v>
      </c>
      <c r="R8" s="968"/>
      <c r="S8" s="948" t="s">
        <v>863</v>
      </c>
      <c r="T8" s="949"/>
      <c r="U8" s="1004"/>
      <c r="V8" s="964" t="s">
        <v>243</v>
      </c>
      <c r="W8" s="965"/>
      <c r="X8" s="142" t="s">
        <v>243</v>
      </c>
      <c r="Y8" s="964" t="s">
        <v>243</v>
      </c>
      <c r="Z8" s="969"/>
      <c r="AA8" s="964" t="s">
        <v>863</v>
      </c>
      <c r="AB8" s="969"/>
      <c r="AC8" s="964" t="s">
        <v>863</v>
      </c>
      <c r="AD8" s="969"/>
      <c r="AE8" s="964" t="s">
        <v>243</v>
      </c>
      <c r="AF8" s="969"/>
      <c r="AG8" s="964" t="s">
        <v>243</v>
      </c>
      <c r="AH8" s="969"/>
      <c r="AI8" s="964" t="s">
        <v>243</v>
      </c>
      <c r="AJ8" s="969"/>
      <c r="AK8" s="964" t="s">
        <v>243</v>
      </c>
      <c r="AL8" s="969"/>
      <c r="AM8" s="964" t="s">
        <v>243</v>
      </c>
      <c r="AN8" s="969"/>
      <c r="AO8" s="142" t="s">
        <v>243</v>
      </c>
      <c r="AP8" s="964" t="s">
        <v>243</v>
      </c>
      <c r="AQ8" s="969"/>
      <c r="AR8" s="1210" t="s">
        <v>243</v>
      </c>
      <c r="AS8" s="1211"/>
      <c r="AT8" s="1212"/>
      <c r="AU8" s="1213" t="s">
        <v>243</v>
      </c>
      <c r="AV8" s="1214"/>
      <c r="AW8" s="142" t="s">
        <v>243</v>
      </c>
      <c r="AX8" s="964" t="s">
        <v>863</v>
      </c>
      <c r="AY8" s="969"/>
      <c r="AZ8" s="964" t="s">
        <v>243</v>
      </c>
      <c r="BA8" s="969"/>
      <c r="BB8" s="319" t="s">
        <v>863</v>
      </c>
      <c r="BC8" s="964" t="s">
        <v>243</v>
      </c>
      <c r="BD8" s="969"/>
    </row>
    <row r="9" spans="1:279" ht="24" customHeight="1">
      <c r="A9" s="1077"/>
      <c r="B9" s="1135"/>
      <c r="C9" s="69" t="s">
        <v>1</v>
      </c>
      <c r="D9" s="189" t="s">
        <v>838</v>
      </c>
      <c r="E9" s="1133" t="s">
        <v>195</v>
      </c>
      <c r="F9" s="1134"/>
      <c r="G9" s="208" t="s">
        <v>839</v>
      </c>
      <c r="H9" s="158" t="s">
        <v>1406</v>
      </c>
      <c r="I9" s="1133" t="s">
        <v>195</v>
      </c>
      <c r="J9" s="1134"/>
      <c r="K9" s="1133" t="s">
        <v>1444</v>
      </c>
      <c r="L9" s="1134"/>
      <c r="M9" s="1133" t="s">
        <v>1445</v>
      </c>
      <c r="N9" s="1134"/>
      <c r="O9" s="1133" t="s">
        <v>1528</v>
      </c>
      <c r="P9" s="1134"/>
      <c r="Q9" s="998" t="s">
        <v>1293</v>
      </c>
      <c r="R9" s="1000"/>
      <c r="S9" s="998" t="s">
        <v>1330</v>
      </c>
      <c r="T9" s="999"/>
      <c r="U9" s="1004"/>
      <c r="V9" s="966" t="s">
        <v>1166</v>
      </c>
      <c r="W9" s="990"/>
      <c r="X9" s="145" t="s">
        <v>756</v>
      </c>
      <c r="Y9" s="966" t="s">
        <v>1237</v>
      </c>
      <c r="Z9" s="967"/>
      <c r="AA9" s="966" t="s">
        <v>924</v>
      </c>
      <c r="AB9" s="967"/>
      <c r="AC9" s="966" t="s">
        <v>1056</v>
      </c>
      <c r="AD9" s="967"/>
      <c r="AE9" s="966" t="s">
        <v>331</v>
      </c>
      <c r="AF9" s="967"/>
      <c r="AG9" s="966" t="s">
        <v>402</v>
      </c>
      <c r="AH9" s="967"/>
      <c r="AI9" s="966" t="s">
        <v>461</v>
      </c>
      <c r="AJ9" s="967"/>
      <c r="AK9" s="966" t="s">
        <v>506</v>
      </c>
      <c r="AL9" s="967"/>
      <c r="AM9" s="966" t="s">
        <v>552</v>
      </c>
      <c r="AN9" s="967"/>
      <c r="AO9" s="145" t="s">
        <v>897</v>
      </c>
      <c r="AP9" s="966" t="s">
        <v>607</v>
      </c>
      <c r="AQ9" s="967"/>
      <c r="AR9" s="1178" t="s">
        <v>1564</v>
      </c>
      <c r="AS9" s="1179"/>
      <c r="AT9" s="1180"/>
      <c r="AU9" s="1133" t="s">
        <v>1565</v>
      </c>
      <c r="AV9" s="1134"/>
      <c r="AW9" s="143" t="s">
        <v>195</v>
      </c>
      <c r="AX9" s="966" t="s">
        <v>1113</v>
      </c>
      <c r="AY9" s="967"/>
      <c r="AZ9" s="966" t="s">
        <v>651</v>
      </c>
      <c r="BA9" s="967"/>
      <c r="BB9" s="252" t="s">
        <v>1006</v>
      </c>
      <c r="BC9" s="966" t="s">
        <v>699</v>
      </c>
      <c r="BD9" s="967"/>
    </row>
    <row r="10" spans="1:279" ht="15.75" customHeight="1">
      <c r="A10" s="1077"/>
      <c r="B10" s="1135"/>
      <c r="C10" s="69" t="s">
        <v>0</v>
      </c>
      <c r="D10" s="190" t="s">
        <v>77</v>
      </c>
      <c r="E10" s="1149" t="s">
        <v>77</v>
      </c>
      <c r="F10" s="1150"/>
      <c r="G10" s="604" t="s">
        <v>77</v>
      </c>
      <c r="H10" s="605" t="s">
        <v>394</v>
      </c>
      <c r="I10" s="1149" t="s">
        <v>77</v>
      </c>
      <c r="J10" s="1150"/>
      <c r="K10" s="1149" t="s">
        <v>77</v>
      </c>
      <c r="L10" s="1150"/>
      <c r="M10" s="1149" t="s">
        <v>77</v>
      </c>
      <c r="N10" s="1150"/>
      <c r="O10" s="1149" t="s">
        <v>77</v>
      </c>
      <c r="P10" s="1150"/>
      <c r="Q10" s="1005" t="s">
        <v>77</v>
      </c>
      <c r="R10" s="1207"/>
      <c r="S10" s="1005" t="s">
        <v>77</v>
      </c>
      <c r="T10" s="1006"/>
      <c r="U10" s="1004"/>
      <c r="V10" s="1024" t="s">
        <v>77</v>
      </c>
      <c r="W10" s="1035"/>
      <c r="X10" s="144" t="s">
        <v>77</v>
      </c>
      <c r="Y10" s="1024" t="s">
        <v>77</v>
      </c>
      <c r="Z10" s="1025"/>
      <c r="AA10" s="1024" t="s">
        <v>77</v>
      </c>
      <c r="AB10" s="1025"/>
      <c r="AC10" s="1024" t="s">
        <v>77</v>
      </c>
      <c r="AD10" s="1025"/>
      <c r="AE10" s="1024" t="s">
        <v>77</v>
      </c>
      <c r="AF10" s="1025"/>
      <c r="AG10" s="1024" t="s">
        <v>77</v>
      </c>
      <c r="AH10" s="1025"/>
      <c r="AI10" s="1024" t="s">
        <v>77</v>
      </c>
      <c r="AJ10" s="1025"/>
      <c r="AK10" s="1024" t="s">
        <v>77</v>
      </c>
      <c r="AL10" s="1025"/>
      <c r="AM10" s="1024" t="s">
        <v>77</v>
      </c>
      <c r="AN10" s="1025"/>
      <c r="AO10" s="144" t="s">
        <v>77</v>
      </c>
      <c r="AP10" s="1024" t="s">
        <v>77</v>
      </c>
      <c r="AQ10" s="1025"/>
      <c r="AR10" s="1215" t="s">
        <v>77</v>
      </c>
      <c r="AS10" s="1216"/>
      <c r="AT10" s="1217"/>
      <c r="AU10" s="1149" t="s">
        <v>77</v>
      </c>
      <c r="AV10" s="1150"/>
      <c r="AW10" s="144" t="s">
        <v>77</v>
      </c>
      <c r="AX10" s="1024" t="s">
        <v>77</v>
      </c>
      <c r="AY10" s="1025"/>
      <c r="AZ10" s="1024" t="s">
        <v>77</v>
      </c>
      <c r="BA10" s="1025"/>
      <c r="BB10" s="546" t="s">
        <v>77</v>
      </c>
      <c r="BC10" s="1024" t="s">
        <v>77</v>
      </c>
      <c r="BD10" s="1025"/>
    </row>
    <row r="11" spans="1:279" s="1" customFormat="1">
      <c r="A11" s="964">
        <v>3</v>
      </c>
      <c r="B11" s="1079" t="s">
        <v>176</v>
      </c>
      <c r="C11" s="69" t="s">
        <v>33</v>
      </c>
      <c r="D11" s="189" t="s">
        <v>175</v>
      </c>
      <c r="E11" s="385" t="s">
        <v>175</v>
      </c>
      <c r="F11" s="267" t="s">
        <v>175</v>
      </c>
      <c r="G11" s="208" t="s">
        <v>175</v>
      </c>
      <c r="H11" s="338" t="s">
        <v>243</v>
      </c>
      <c r="I11" s="385" t="s">
        <v>175</v>
      </c>
      <c r="J11" s="267" t="s">
        <v>175</v>
      </c>
      <c r="K11" s="385" t="s">
        <v>175</v>
      </c>
      <c r="L11" s="267" t="s">
        <v>175</v>
      </c>
      <c r="M11" s="385" t="s">
        <v>175</v>
      </c>
      <c r="N11" s="267" t="s">
        <v>175</v>
      </c>
      <c r="O11" s="385" t="s">
        <v>175</v>
      </c>
      <c r="P11" s="267" t="s">
        <v>175</v>
      </c>
      <c r="Q11" s="253" t="s">
        <v>175</v>
      </c>
      <c r="R11" s="279" t="s">
        <v>175</v>
      </c>
      <c r="S11" s="253" t="s">
        <v>175</v>
      </c>
      <c r="T11" s="1007" t="s">
        <v>175</v>
      </c>
      <c r="U11" s="1004"/>
      <c r="V11" s="253" t="s">
        <v>175</v>
      </c>
      <c r="W11" s="109" t="s">
        <v>175</v>
      </c>
      <c r="X11" s="143" t="s">
        <v>175</v>
      </c>
      <c r="Y11" s="253" t="s">
        <v>175</v>
      </c>
      <c r="Z11" s="279" t="s">
        <v>175</v>
      </c>
      <c r="AA11" s="253" t="s">
        <v>175</v>
      </c>
      <c r="AB11" s="279" t="s">
        <v>175</v>
      </c>
      <c r="AC11" s="253" t="s">
        <v>175</v>
      </c>
      <c r="AD11" s="279" t="s">
        <v>175</v>
      </c>
      <c r="AE11" s="253" t="s">
        <v>175</v>
      </c>
      <c r="AF11" s="279" t="s">
        <v>175</v>
      </c>
      <c r="AG11" s="253" t="s">
        <v>175</v>
      </c>
      <c r="AH11" s="279" t="s">
        <v>175</v>
      </c>
      <c r="AI11" s="253" t="s">
        <v>175</v>
      </c>
      <c r="AJ11" s="279" t="s">
        <v>175</v>
      </c>
      <c r="AK11" s="253" t="s">
        <v>175</v>
      </c>
      <c r="AL11" s="279" t="s">
        <v>175</v>
      </c>
      <c r="AM11" s="253" t="s">
        <v>175</v>
      </c>
      <c r="AN11" s="279" t="s">
        <v>175</v>
      </c>
      <c r="AO11" s="143" t="s">
        <v>175</v>
      </c>
      <c r="AP11" s="253" t="s">
        <v>175</v>
      </c>
      <c r="AQ11" s="279" t="s">
        <v>175</v>
      </c>
      <c r="AR11" s="385" t="s">
        <v>175</v>
      </c>
      <c r="AS11" s="45" t="s">
        <v>175</v>
      </c>
      <c r="AT11" s="267"/>
      <c r="AU11" s="385" t="s">
        <v>175</v>
      </c>
      <c r="AV11" s="267" t="s">
        <v>175</v>
      </c>
      <c r="AW11" s="143" t="s">
        <v>175</v>
      </c>
      <c r="AX11" s="253" t="s">
        <v>175</v>
      </c>
      <c r="AY11" s="279" t="s">
        <v>175</v>
      </c>
      <c r="AZ11" s="253" t="s">
        <v>175</v>
      </c>
      <c r="BA11" s="279" t="s">
        <v>175</v>
      </c>
      <c r="BB11" s="252" t="s">
        <v>264</v>
      </c>
      <c r="BC11" s="253" t="s">
        <v>175</v>
      </c>
      <c r="BD11" s="279" t="s">
        <v>175</v>
      </c>
      <c r="JS11" s="5"/>
    </row>
    <row r="12" spans="1:279" s="1" customFormat="1" ht="24.75">
      <c r="A12" s="964"/>
      <c r="B12" s="1079"/>
      <c r="C12" s="69" t="s">
        <v>196</v>
      </c>
      <c r="D12" s="189" t="s">
        <v>838</v>
      </c>
      <c r="E12" s="385" t="s">
        <v>195</v>
      </c>
      <c r="F12" s="267" t="s">
        <v>195</v>
      </c>
      <c r="G12" s="208" t="s">
        <v>839</v>
      </c>
      <c r="H12" s="338" t="s">
        <v>195</v>
      </c>
      <c r="I12" s="385" t="s">
        <v>195</v>
      </c>
      <c r="J12" s="267" t="s">
        <v>195</v>
      </c>
      <c r="K12" s="385" t="s">
        <v>195</v>
      </c>
      <c r="L12" s="267" t="s">
        <v>195</v>
      </c>
      <c r="M12" s="385" t="s">
        <v>195</v>
      </c>
      <c r="N12" s="267" t="s">
        <v>195</v>
      </c>
      <c r="O12" s="385" t="s">
        <v>195</v>
      </c>
      <c r="P12" s="267" t="s">
        <v>195</v>
      </c>
      <c r="Q12" s="253" t="s">
        <v>1293</v>
      </c>
      <c r="R12" s="358" t="s">
        <v>1294</v>
      </c>
      <c r="S12" s="253" t="s">
        <v>1331</v>
      </c>
      <c r="T12" s="77" t="s">
        <v>1332</v>
      </c>
      <c r="U12" s="77" t="s">
        <v>1330</v>
      </c>
      <c r="V12" s="253" t="s">
        <v>1166</v>
      </c>
      <c r="W12" s="109" t="s">
        <v>1167</v>
      </c>
      <c r="X12" s="145" t="s">
        <v>756</v>
      </c>
      <c r="Y12" s="253" t="s">
        <v>1238</v>
      </c>
      <c r="Z12" s="279" t="s">
        <v>1239</v>
      </c>
      <c r="AA12" s="253" t="s">
        <v>925</v>
      </c>
      <c r="AB12" s="358" t="s">
        <v>926</v>
      </c>
      <c r="AC12" s="253" t="s">
        <v>1056</v>
      </c>
      <c r="AD12" s="254" t="s">
        <v>1057</v>
      </c>
      <c r="AE12" s="253" t="s">
        <v>332</v>
      </c>
      <c r="AF12" s="254" t="s">
        <v>333</v>
      </c>
      <c r="AG12" s="253" t="s">
        <v>403</v>
      </c>
      <c r="AH12" s="358" t="s">
        <v>402</v>
      </c>
      <c r="AI12" s="253" t="s">
        <v>461</v>
      </c>
      <c r="AJ12" s="254" t="s">
        <v>462</v>
      </c>
      <c r="AK12" s="253" t="s">
        <v>509</v>
      </c>
      <c r="AL12" s="254" t="s">
        <v>508</v>
      </c>
      <c r="AM12" s="253" t="s">
        <v>550</v>
      </c>
      <c r="AN12" s="254" t="s">
        <v>551</v>
      </c>
      <c r="AO12" s="145" t="s">
        <v>897</v>
      </c>
      <c r="AP12" s="253" t="s">
        <v>608</v>
      </c>
      <c r="AQ12" s="254" t="s">
        <v>607</v>
      </c>
      <c r="AR12" s="385" t="s">
        <v>195</v>
      </c>
      <c r="AS12" s="45" t="s">
        <v>195</v>
      </c>
      <c r="AT12" s="418" t="s">
        <v>195</v>
      </c>
      <c r="AU12" s="385" t="s">
        <v>195</v>
      </c>
      <c r="AV12" s="267" t="s">
        <v>195</v>
      </c>
      <c r="AW12" s="143" t="s">
        <v>789</v>
      </c>
      <c r="AX12" s="253" t="s">
        <v>1113</v>
      </c>
      <c r="AY12" s="358" t="s">
        <v>1114</v>
      </c>
      <c r="AZ12" s="253" t="s">
        <v>653</v>
      </c>
      <c r="BA12" s="254" t="s">
        <v>654</v>
      </c>
      <c r="BB12" s="252" t="s">
        <v>1006</v>
      </c>
      <c r="BC12" s="253" t="s">
        <v>699</v>
      </c>
      <c r="BD12" s="254" t="s">
        <v>700</v>
      </c>
      <c r="JS12" s="5"/>
    </row>
    <row r="13" spans="1:279" s="1" customFormat="1" ht="24">
      <c r="A13" s="964"/>
      <c r="B13" s="1079"/>
      <c r="C13" s="69" t="s">
        <v>0</v>
      </c>
      <c r="D13" s="191" t="s">
        <v>255</v>
      </c>
      <c r="E13" s="606" t="s">
        <v>255</v>
      </c>
      <c r="F13" s="607" t="s">
        <v>255</v>
      </c>
      <c r="G13" s="208" t="s">
        <v>255</v>
      </c>
      <c r="H13" s="608" t="s">
        <v>255</v>
      </c>
      <c r="I13" s="606" t="s">
        <v>255</v>
      </c>
      <c r="J13" s="607" t="s">
        <v>255</v>
      </c>
      <c r="K13" s="606" t="s">
        <v>255</v>
      </c>
      <c r="L13" s="607" t="s">
        <v>255</v>
      </c>
      <c r="M13" s="606" t="s">
        <v>255</v>
      </c>
      <c r="N13" s="607" t="s">
        <v>255</v>
      </c>
      <c r="O13" s="606" t="s">
        <v>255</v>
      </c>
      <c r="P13" s="607" t="s">
        <v>255</v>
      </c>
      <c r="Q13" s="253" t="s">
        <v>255</v>
      </c>
      <c r="R13" s="254" t="s">
        <v>255</v>
      </c>
      <c r="S13" s="253" t="s">
        <v>255</v>
      </c>
      <c r="T13" s="113" t="s">
        <v>255</v>
      </c>
      <c r="U13" s="113" t="s">
        <v>255</v>
      </c>
      <c r="V13" s="253" t="s">
        <v>255</v>
      </c>
      <c r="W13" s="113" t="s">
        <v>255</v>
      </c>
      <c r="X13" s="143" t="s">
        <v>255</v>
      </c>
      <c r="Y13" s="253" t="s">
        <v>255</v>
      </c>
      <c r="Z13" s="254" t="s">
        <v>255</v>
      </c>
      <c r="AA13" s="253" t="s">
        <v>255</v>
      </c>
      <c r="AB13" s="254" t="s">
        <v>255</v>
      </c>
      <c r="AC13" s="253" t="s">
        <v>255</v>
      </c>
      <c r="AD13" s="254" t="s">
        <v>255</v>
      </c>
      <c r="AE13" s="253" t="s">
        <v>255</v>
      </c>
      <c r="AF13" s="254" t="s">
        <v>255</v>
      </c>
      <c r="AG13" s="253" t="s">
        <v>255</v>
      </c>
      <c r="AH13" s="254" t="s">
        <v>255</v>
      </c>
      <c r="AI13" s="253" t="s">
        <v>255</v>
      </c>
      <c r="AJ13" s="254" t="s">
        <v>255</v>
      </c>
      <c r="AK13" s="253" t="s">
        <v>255</v>
      </c>
      <c r="AL13" s="254" t="s">
        <v>255</v>
      </c>
      <c r="AM13" s="253" t="s">
        <v>255</v>
      </c>
      <c r="AN13" s="254" t="s">
        <v>255</v>
      </c>
      <c r="AO13" s="143" t="s">
        <v>255</v>
      </c>
      <c r="AP13" s="253" t="s">
        <v>255</v>
      </c>
      <c r="AQ13" s="254" t="s">
        <v>255</v>
      </c>
      <c r="AR13" s="606" t="s">
        <v>255</v>
      </c>
      <c r="AS13" s="647" t="s">
        <v>255</v>
      </c>
      <c r="AT13" s="607" t="s">
        <v>255</v>
      </c>
      <c r="AU13" s="606" t="s">
        <v>255</v>
      </c>
      <c r="AV13" s="607" t="s">
        <v>255</v>
      </c>
      <c r="AW13" s="143" t="s">
        <v>790</v>
      </c>
      <c r="AX13" s="253" t="s">
        <v>255</v>
      </c>
      <c r="AY13" s="254" t="s">
        <v>255</v>
      </c>
      <c r="AZ13" s="253" t="s">
        <v>255</v>
      </c>
      <c r="BA13" s="254" t="s">
        <v>255</v>
      </c>
      <c r="BB13" s="252" t="s">
        <v>1007</v>
      </c>
      <c r="BC13" s="253" t="s">
        <v>255</v>
      </c>
      <c r="BD13" s="254" t="s">
        <v>255</v>
      </c>
      <c r="JS13" s="5"/>
    </row>
    <row r="14" spans="1:279" s="1" customFormat="1" ht="15" customHeight="1">
      <c r="A14" s="964">
        <v>4</v>
      </c>
      <c r="B14" s="1146" t="s">
        <v>87</v>
      </c>
      <c r="C14" s="69" t="s">
        <v>33</v>
      </c>
      <c r="D14" s="1193" t="s">
        <v>178</v>
      </c>
      <c r="E14" s="1136" t="s">
        <v>243</v>
      </c>
      <c r="F14" s="1151"/>
      <c r="G14" s="1196" t="s">
        <v>178</v>
      </c>
      <c r="H14" s="159" t="s">
        <v>178</v>
      </c>
      <c r="I14" s="1136" t="s">
        <v>243</v>
      </c>
      <c r="J14" s="1151"/>
      <c r="K14" s="1136" t="s">
        <v>243</v>
      </c>
      <c r="L14" s="1151"/>
      <c r="M14" s="1136" t="s">
        <v>243</v>
      </c>
      <c r="N14" s="1151"/>
      <c r="O14" s="1136" t="s">
        <v>243</v>
      </c>
      <c r="P14" s="1151"/>
      <c r="Q14" s="948" t="s">
        <v>243</v>
      </c>
      <c r="R14" s="968"/>
      <c r="S14" s="948" t="s">
        <v>243</v>
      </c>
      <c r="T14" s="949"/>
      <c r="U14" s="1008"/>
      <c r="V14" s="964" t="s">
        <v>243</v>
      </c>
      <c r="W14" s="965"/>
      <c r="X14" s="1048" t="s">
        <v>178</v>
      </c>
      <c r="Y14" s="964" t="s">
        <v>243</v>
      </c>
      <c r="Z14" s="969"/>
      <c r="AA14" s="964" t="s">
        <v>243</v>
      </c>
      <c r="AB14" s="969"/>
      <c r="AC14" s="964" t="s">
        <v>243</v>
      </c>
      <c r="AD14" s="969"/>
      <c r="AE14" s="964" t="s">
        <v>243</v>
      </c>
      <c r="AF14" s="969"/>
      <c r="AG14" s="964" t="s">
        <v>243</v>
      </c>
      <c r="AH14" s="969"/>
      <c r="AI14" s="964" t="s">
        <v>243</v>
      </c>
      <c r="AJ14" s="969"/>
      <c r="AK14" s="964" t="s">
        <v>243</v>
      </c>
      <c r="AL14" s="969"/>
      <c r="AM14" s="964" t="s">
        <v>243</v>
      </c>
      <c r="AN14" s="969"/>
      <c r="AO14" s="1048" t="s">
        <v>178</v>
      </c>
      <c r="AP14" s="964" t="s">
        <v>243</v>
      </c>
      <c r="AQ14" s="969"/>
      <c r="AR14" s="1100" t="s">
        <v>243</v>
      </c>
      <c r="AS14" s="1218"/>
      <c r="AT14" s="1101"/>
      <c r="AU14" s="1136" t="s">
        <v>243</v>
      </c>
      <c r="AV14" s="1151"/>
      <c r="AW14" s="1048" t="s">
        <v>178</v>
      </c>
      <c r="AX14" s="964" t="s">
        <v>243</v>
      </c>
      <c r="AY14" s="969"/>
      <c r="AZ14" s="964" t="s">
        <v>243</v>
      </c>
      <c r="BA14" s="969"/>
      <c r="BB14" s="252" t="s">
        <v>1008</v>
      </c>
      <c r="BC14" s="964" t="s">
        <v>243</v>
      </c>
      <c r="BD14" s="969"/>
      <c r="JS14" s="5"/>
    </row>
    <row r="15" spans="1:279" s="1" customFormat="1">
      <c r="A15" s="964"/>
      <c r="B15" s="1147"/>
      <c r="C15" s="69" t="s">
        <v>2</v>
      </c>
      <c r="D15" s="1194"/>
      <c r="E15" s="609">
        <v>0.7</v>
      </c>
      <c r="F15" s="583">
        <v>0.3</v>
      </c>
      <c r="G15" s="1197"/>
      <c r="H15" s="159" t="s">
        <v>178</v>
      </c>
      <c r="I15" s="609">
        <v>0.5</v>
      </c>
      <c r="J15" s="583">
        <v>0.5</v>
      </c>
      <c r="K15" s="609">
        <v>0.9</v>
      </c>
      <c r="L15" s="583">
        <v>0.1</v>
      </c>
      <c r="M15" s="609">
        <v>0.1</v>
      </c>
      <c r="N15" s="583">
        <v>0.9</v>
      </c>
      <c r="O15" s="609">
        <v>0.5</v>
      </c>
      <c r="P15" s="583">
        <v>0.5</v>
      </c>
      <c r="Q15" s="280">
        <v>0.9</v>
      </c>
      <c r="R15" s="296">
        <v>0.1</v>
      </c>
      <c r="S15" s="280">
        <v>0.01</v>
      </c>
      <c r="T15" s="85">
        <v>0.98</v>
      </c>
      <c r="U15" s="85">
        <v>0.01</v>
      </c>
      <c r="V15" s="280">
        <v>0.9</v>
      </c>
      <c r="W15" s="85">
        <v>0.1</v>
      </c>
      <c r="X15" s="1049"/>
      <c r="Y15" s="280">
        <v>0.5</v>
      </c>
      <c r="Z15" s="296">
        <v>0.5</v>
      </c>
      <c r="AA15" s="280">
        <v>0.99</v>
      </c>
      <c r="AB15" s="296">
        <v>0.01</v>
      </c>
      <c r="AC15" s="280">
        <v>0.6</v>
      </c>
      <c r="AD15" s="296">
        <v>0.4</v>
      </c>
      <c r="AE15" s="280">
        <v>0.02</v>
      </c>
      <c r="AF15" s="296">
        <v>0.98</v>
      </c>
      <c r="AG15" s="280">
        <v>0.01</v>
      </c>
      <c r="AH15" s="296">
        <v>0.99</v>
      </c>
      <c r="AI15" s="280">
        <v>0.7</v>
      </c>
      <c r="AJ15" s="296">
        <v>0.3</v>
      </c>
      <c r="AK15" s="280">
        <v>0.5</v>
      </c>
      <c r="AL15" s="281">
        <v>0.5</v>
      </c>
      <c r="AM15" s="280">
        <v>0.99</v>
      </c>
      <c r="AN15" s="281">
        <v>0.01</v>
      </c>
      <c r="AO15" s="1049"/>
      <c r="AP15" s="280">
        <v>0.99</v>
      </c>
      <c r="AQ15" s="281">
        <v>0.01</v>
      </c>
      <c r="AR15" s="609">
        <v>0.35</v>
      </c>
      <c r="AS15" s="70">
        <v>0.4</v>
      </c>
      <c r="AT15" s="583">
        <v>0.25</v>
      </c>
      <c r="AU15" s="609">
        <v>0.9</v>
      </c>
      <c r="AV15" s="583">
        <v>0.1</v>
      </c>
      <c r="AW15" s="1049"/>
      <c r="AX15" s="280">
        <v>0.4</v>
      </c>
      <c r="AY15" s="296">
        <v>0.6</v>
      </c>
      <c r="AZ15" s="280">
        <v>0.5</v>
      </c>
      <c r="BA15" s="281">
        <v>0.5</v>
      </c>
      <c r="BB15" s="547" t="s">
        <v>1008</v>
      </c>
      <c r="BC15" s="280">
        <v>0.1</v>
      </c>
      <c r="BD15" s="281">
        <v>0.9</v>
      </c>
      <c r="JS15" s="5"/>
    </row>
    <row r="16" spans="1:279" s="1" customFormat="1" ht="31.5" customHeight="1">
      <c r="A16" s="964"/>
      <c r="B16" s="1147"/>
      <c r="C16" s="69" t="s">
        <v>3</v>
      </c>
      <c r="D16" s="1194"/>
      <c r="E16" s="1133" t="s">
        <v>245</v>
      </c>
      <c r="F16" s="1134"/>
      <c r="G16" s="1197"/>
      <c r="H16" s="159" t="s">
        <v>178</v>
      </c>
      <c r="I16" s="1133" t="s">
        <v>245</v>
      </c>
      <c r="J16" s="1134"/>
      <c r="K16" s="1133" t="s">
        <v>245</v>
      </c>
      <c r="L16" s="1134"/>
      <c r="M16" s="1133" t="s">
        <v>245</v>
      </c>
      <c r="N16" s="1134"/>
      <c r="O16" s="1133" t="s">
        <v>245</v>
      </c>
      <c r="P16" s="1134"/>
      <c r="Q16" s="998" t="s">
        <v>927</v>
      </c>
      <c r="R16" s="1000"/>
      <c r="S16" s="998" t="s">
        <v>927</v>
      </c>
      <c r="T16" s="999"/>
      <c r="U16" s="1004"/>
      <c r="V16" s="966" t="s">
        <v>1168</v>
      </c>
      <c r="W16" s="990"/>
      <c r="X16" s="1049"/>
      <c r="Y16" s="966" t="s">
        <v>927</v>
      </c>
      <c r="Z16" s="967"/>
      <c r="AA16" s="966" t="s">
        <v>927</v>
      </c>
      <c r="AB16" s="967"/>
      <c r="AC16" s="966" t="s">
        <v>927</v>
      </c>
      <c r="AD16" s="967"/>
      <c r="AE16" s="966" t="s">
        <v>334</v>
      </c>
      <c r="AF16" s="967"/>
      <c r="AG16" s="966" t="s">
        <v>404</v>
      </c>
      <c r="AH16" s="967"/>
      <c r="AI16" s="966" t="s">
        <v>404</v>
      </c>
      <c r="AJ16" s="967"/>
      <c r="AK16" s="966" t="s">
        <v>404</v>
      </c>
      <c r="AL16" s="967"/>
      <c r="AM16" s="966" t="s">
        <v>549</v>
      </c>
      <c r="AN16" s="967"/>
      <c r="AO16" s="1049"/>
      <c r="AP16" s="966" t="s">
        <v>549</v>
      </c>
      <c r="AQ16" s="967"/>
      <c r="AR16" s="1178" t="s">
        <v>245</v>
      </c>
      <c r="AS16" s="1179"/>
      <c r="AT16" s="1180"/>
      <c r="AU16" s="1133" t="s">
        <v>245</v>
      </c>
      <c r="AV16" s="1134"/>
      <c r="AW16" s="1049"/>
      <c r="AX16" s="966" t="s">
        <v>1115</v>
      </c>
      <c r="AY16" s="967"/>
      <c r="AZ16" s="966" t="s">
        <v>549</v>
      </c>
      <c r="BA16" s="967"/>
      <c r="BB16" s="252" t="s">
        <v>1008</v>
      </c>
      <c r="BC16" s="966" t="s">
        <v>549</v>
      </c>
      <c r="BD16" s="967"/>
      <c r="JS16" s="5"/>
    </row>
    <row r="17" spans="1:279" s="1" customFormat="1" ht="15" customHeight="1">
      <c r="A17" s="964"/>
      <c r="B17" s="1147"/>
      <c r="C17" s="69" t="s">
        <v>4</v>
      </c>
      <c r="D17" s="1194"/>
      <c r="E17" s="1133" t="s">
        <v>244</v>
      </c>
      <c r="F17" s="1134"/>
      <c r="G17" s="1197"/>
      <c r="H17" s="159" t="s">
        <v>178</v>
      </c>
      <c r="I17" s="1133" t="s">
        <v>244</v>
      </c>
      <c r="J17" s="1134"/>
      <c r="K17" s="1133" t="s">
        <v>244</v>
      </c>
      <c r="L17" s="1134"/>
      <c r="M17" s="1133" t="s">
        <v>244</v>
      </c>
      <c r="N17" s="1134"/>
      <c r="O17" s="1133" t="s">
        <v>1529</v>
      </c>
      <c r="P17" s="1134"/>
      <c r="Q17" s="998" t="s">
        <v>1295</v>
      </c>
      <c r="R17" s="1000"/>
      <c r="S17" s="998" t="s">
        <v>1333</v>
      </c>
      <c r="T17" s="999"/>
      <c r="U17" s="1004"/>
      <c r="V17" s="966" t="s">
        <v>1169</v>
      </c>
      <c r="W17" s="990"/>
      <c r="X17" s="1049"/>
      <c r="Y17" s="966" t="s">
        <v>1240</v>
      </c>
      <c r="Z17" s="967"/>
      <c r="AA17" s="966" t="s">
        <v>928</v>
      </c>
      <c r="AB17" s="967"/>
      <c r="AC17" s="966" t="s">
        <v>1058</v>
      </c>
      <c r="AD17" s="967"/>
      <c r="AE17" s="966" t="s">
        <v>331</v>
      </c>
      <c r="AF17" s="967"/>
      <c r="AG17" s="966" t="s">
        <v>402</v>
      </c>
      <c r="AH17" s="967"/>
      <c r="AI17" s="966" t="s">
        <v>461</v>
      </c>
      <c r="AJ17" s="967"/>
      <c r="AK17" s="966" t="s">
        <v>461</v>
      </c>
      <c r="AL17" s="967"/>
      <c r="AM17" s="966" t="s">
        <v>552</v>
      </c>
      <c r="AN17" s="967"/>
      <c r="AO17" s="1049"/>
      <c r="AP17" s="966" t="s">
        <v>607</v>
      </c>
      <c r="AQ17" s="967"/>
      <c r="AR17" s="1178" t="s">
        <v>1566</v>
      </c>
      <c r="AS17" s="1179"/>
      <c r="AT17" s="1180"/>
      <c r="AU17" s="1133" t="s">
        <v>1567</v>
      </c>
      <c r="AV17" s="1134"/>
      <c r="AW17" s="1049"/>
      <c r="AX17" s="966" t="s">
        <v>1116</v>
      </c>
      <c r="AY17" s="967"/>
      <c r="AZ17" s="966" t="s">
        <v>607</v>
      </c>
      <c r="BA17" s="967"/>
      <c r="BB17" s="252" t="s">
        <v>959</v>
      </c>
      <c r="BC17" s="966" t="s">
        <v>195</v>
      </c>
      <c r="BD17" s="967"/>
      <c r="JS17" s="5"/>
    </row>
    <row r="18" spans="1:279" s="1" customFormat="1" ht="188.25" customHeight="1">
      <c r="A18" s="964"/>
      <c r="B18" s="1147"/>
      <c r="C18" s="69" t="s">
        <v>5</v>
      </c>
      <c r="D18" s="1195"/>
      <c r="E18" s="606" t="s">
        <v>246</v>
      </c>
      <c r="F18" s="607" t="s">
        <v>246</v>
      </c>
      <c r="G18" s="1198"/>
      <c r="H18" s="159" t="s">
        <v>178</v>
      </c>
      <c r="I18" s="606" t="s">
        <v>246</v>
      </c>
      <c r="J18" s="607" t="s">
        <v>246</v>
      </c>
      <c r="K18" s="606" t="s">
        <v>246</v>
      </c>
      <c r="L18" s="607" t="s">
        <v>246</v>
      </c>
      <c r="M18" s="606" t="s">
        <v>246</v>
      </c>
      <c r="N18" s="607" t="s">
        <v>246</v>
      </c>
      <c r="O18" s="606" t="s">
        <v>246</v>
      </c>
      <c r="P18" s="607" t="s">
        <v>246</v>
      </c>
      <c r="Q18" s="359" t="s">
        <v>929</v>
      </c>
      <c r="R18" s="254" t="s">
        <v>930</v>
      </c>
      <c r="S18" s="359" t="s">
        <v>929</v>
      </c>
      <c r="T18" s="113" t="s">
        <v>930</v>
      </c>
      <c r="U18" s="113" t="s">
        <v>930</v>
      </c>
      <c r="V18" s="248" t="s">
        <v>246</v>
      </c>
      <c r="W18" s="98" t="s">
        <v>246</v>
      </c>
      <c r="X18" s="1050"/>
      <c r="Y18" s="248" t="s">
        <v>246</v>
      </c>
      <c r="Z18" s="249" t="s">
        <v>246</v>
      </c>
      <c r="AA18" s="359" t="s">
        <v>929</v>
      </c>
      <c r="AB18" s="254" t="s">
        <v>930</v>
      </c>
      <c r="AC18" s="359" t="s">
        <v>929</v>
      </c>
      <c r="AD18" s="254" t="s">
        <v>930</v>
      </c>
      <c r="AE18" s="248" t="s">
        <v>335</v>
      </c>
      <c r="AF18" s="249" t="s">
        <v>335</v>
      </c>
      <c r="AG18" s="248" t="s">
        <v>405</v>
      </c>
      <c r="AH18" s="249" t="s">
        <v>405</v>
      </c>
      <c r="AI18" s="248" t="s">
        <v>463</v>
      </c>
      <c r="AJ18" s="249" t="s">
        <v>463</v>
      </c>
      <c r="AK18" s="248" t="s">
        <v>507</v>
      </c>
      <c r="AL18" s="249" t="s">
        <v>507</v>
      </c>
      <c r="AM18" s="248" t="s">
        <v>553</v>
      </c>
      <c r="AN18" s="249" t="s">
        <v>553</v>
      </c>
      <c r="AO18" s="1050"/>
      <c r="AP18" s="248" t="s">
        <v>609</v>
      </c>
      <c r="AQ18" s="249" t="s">
        <v>609</v>
      </c>
      <c r="AR18" s="606" t="s">
        <v>246</v>
      </c>
      <c r="AS18" s="647" t="s">
        <v>246</v>
      </c>
      <c r="AT18" s="607" t="s">
        <v>246</v>
      </c>
      <c r="AU18" s="606" t="s">
        <v>246</v>
      </c>
      <c r="AV18" s="607" t="s">
        <v>246</v>
      </c>
      <c r="AW18" s="1050"/>
      <c r="AX18" s="192" t="s">
        <v>929</v>
      </c>
      <c r="AY18" s="254" t="s">
        <v>930</v>
      </c>
      <c r="AZ18" s="248" t="s">
        <v>652</v>
      </c>
      <c r="BA18" s="249" t="s">
        <v>652</v>
      </c>
      <c r="BB18" s="252" t="s">
        <v>1008</v>
      </c>
      <c r="BC18" s="248" t="s">
        <v>609</v>
      </c>
      <c r="BD18" s="249" t="s">
        <v>609</v>
      </c>
      <c r="JS18" s="5"/>
    </row>
    <row r="19" spans="1:279" s="1" customFormat="1" ht="15.75" customHeight="1">
      <c r="A19" s="964"/>
      <c r="B19" s="1148"/>
      <c r="C19" s="69" t="s">
        <v>34</v>
      </c>
      <c r="D19" s="188" t="s">
        <v>77</v>
      </c>
      <c r="E19" s="1136" t="s">
        <v>77</v>
      </c>
      <c r="F19" s="1151"/>
      <c r="G19" s="209" t="s">
        <v>840</v>
      </c>
      <c r="H19" s="159" t="s">
        <v>178</v>
      </c>
      <c r="I19" s="1136" t="s">
        <v>77</v>
      </c>
      <c r="J19" s="1151"/>
      <c r="K19" s="1136" t="s">
        <v>77</v>
      </c>
      <c r="L19" s="1151"/>
      <c r="M19" s="1136" t="s">
        <v>77</v>
      </c>
      <c r="N19" s="1151"/>
      <c r="O19" s="1136" t="s">
        <v>77</v>
      </c>
      <c r="P19" s="1151"/>
      <c r="Q19" s="948" t="s">
        <v>77</v>
      </c>
      <c r="R19" s="968"/>
      <c r="S19" s="948" t="s">
        <v>77</v>
      </c>
      <c r="T19" s="949"/>
      <c r="U19" s="1004"/>
      <c r="V19" s="964" t="s">
        <v>77</v>
      </c>
      <c r="W19" s="965"/>
      <c r="X19" s="142" t="s">
        <v>77</v>
      </c>
      <c r="Y19" s="964" t="s">
        <v>77</v>
      </c>
      <c r="Z19" s="969"/>
      <c r="AA19" s="964" t="s">
        <v>77</v>
      </c>
      <c r="AB19" s="969"/>
      <c r="AC19" s="964" t="s">
        <v>77</v>
      </c>
      <c r="AD19" s="969"/>
      <c r="AE19" s="964" t="s">
        <v>77</v>
      </c>
      <c r="AF19" s="969"/>
      <c r="AG19" s="964" t="s">
        <v>77</v>
      </c>
      <c r="AH19" s="969"/>
      <c r="AI19" s="964" t="s">
        <v>77</v>
      </c>
      <c r="AJ19" s="969"/>
      <c r="AK19" s="964" t="s">
        <v>77</v>
      </c>
      <c r="AL19" s="969"/>
      <c r="AM19" s="964" t="s">
        <v>77</v>
      </c>
      <c r="AN19" s="969"/>
      <c r="AO19" s="142" t="s">
        <v>77</v>
      </c>
      <c r="AP19" s="964" t="s">
        <v>77</v>
      </c>
      <c r="AQ19" s="969"/>
      <c r="AR19" s="1136" t="s">
        <v>77</v>
      </c>
      <c r="AS19" s="1219"/>
      <c r="AT19" s="269"/>
      <c r="AU19" s="1136" t="s">
        <v>77</v>
      </c>
      <c r="AV19" s="1151"/>
      <c r="AW19" s="142" t="s">
        <v>872</v>
      </c>
      <c r="AX19" s="964" t="s">
        <v>77</v>
      </c>
      <c r="AY19" s="969"/>
      <c r="AZ19" s="964" t="s">
        <v>77</v>
      </c>
      <c r="BA19" s="969"/>
      <c r="BB19" s="319" t="s">
        <v>77</v>
      </c>
      <c r="BC19" s="964" t="s">
        <v>77</v>
      </c>
      <c r="BD19" s="969"/>
      <c r="JS19" s="5"/>
    </row>
    <row r="20" spans="1:279" s="1" customFormat="1" ht="24.75" customHeight="1">
      <c r="A20" s="964">
        <v>5</v>
      </c>
      <c r="B20" s="1135" t="s">
        <v>57</v>
      </c>
      <c r="C20" s="69" t="s">
        <v>33</v>
      </c>
      <c r="D20" s="189" t="s">
        <v>175</v>
      </c>
      <c r="E20" s="385" t="s">
        <v>175</v>
      </c>
      <c r="F20" s="610" t="s">
        <v>175</v>
      </c>
      <c r="G20" s="208" t="s">
        <v>175</v>
      </c>
      <c r="H20" s="605" t="s">
        <v>243</v>
      </c>
      <c r="I20" s="385" t="s">
        <v>175</v>
      </c>
      <c r="J20" s="610" t="s">
        <v>175</v>
      </c>
      <c r="K20" s="385" t="s">
        <v>175</v>
      </c>
      <c r="L20" s="610" t="s">
        <v>175</v>
      </c>
      <c r="M20" s="385" t="s">
        <v>175</v>
      </c>
      <c r="N20" s="610" t="s">
        <v>175</v>
      </c>
      <c r="O20" s="385" t="s">
        <v>175</v>
      </c>
      <c r="P20" s="610" t="s">
        <v>175</v>
      </c>
      <c r="Q20" s="253" t="s">
        <v>175</v>
      </c>
      <c r="R20" s="277" t="s">
        <v>175</v>
      </c>
      <c r="S20" s="253" t="s">
        <v>175</v>
      </c>
      <c r="T20" s="118" t="s">
        <v>175</v>
      </c>
      <c r="U20" s="118" t="s">
        <v>175</v>
      </c>
      <c r="V20" s="253" t="s">
        <v>175</v>
      </c>
      <c r="W20" s="118" t="s">
        <v>175</v>
      </c>
      <c r="X20" s="143" t="s">
        <v>175</v>
      </c>
      <c r="Y20" s="253" t="s">
        <v>175</v>
      </c>
      <c r="Z20" s="277" t="s">
        <v>175</v>
      </c>
      <c r="AA20" s="253" t="s">
        <v>175</v>
      </c>
      <c r="AB20" s="277" t="s">
        <v>175</v>
      </c>
      <c r="AC20" s="253" t="s">
        <v>175</v>
      </c>
      <c r="AD20" s="277" t="s">
        <v>175</v>
      </c>
      <c r="AE20" s="253" t="s">
        <v>175</v>
      </c>
      <c r="AF20" s="277" t="s">
        <v>175</v>
      </c>
      <c r="AG20" s="253" t="s">
        <v>175</v>
      </c>
      <c r="AH20" s="277" t="s">
        <v>175</v>
      </c>
      <c r="AI20" s="253" t="s">
        <v>175</v>
      </c>
      <c r="AJ20" s="277" t="s">
        <v>175</v>
      </c>
      <c r="AK20" s="253" t="s">
        <v>175</v>
      </c>
      <c r="AL20" s="277" t="s">
        <v>175</v>
      </c>
      <c r="AM20" s="253" t="s">
        <v>175</v>
      </c>
      <c r="AN20" s="277" t="s">
        <v>175</v>
      </c>
      <c r="AO20" s="143" t="s">
        <v>175</v>
      </c>
      <c r="AP20" s="253" t="s">
        <v>175</v>
      </c>
      <c r="AQ20" s="277" t="s">
        <v>175</v>
      </c>
      <c r="AR20" s="385" t="s">
        <v>175</v>
      </c>
      <c r="AS20" s="648" t="s">
        <v>175</v>
      </c>
      <c r="AT20" s="610" t="s">
        <v>175</v>
      </c>
      <c r="AU20" s="385" t="s">
        <v>175</v>
      </c>
      <c r="AV20" s="610" t="s">
        <v>175</v>
      </c>
      <c r="AW20" s="143" t="s">
        <v>175</v>
      </c>
      <c r="AX20" s="253" t="s">
        <v>175</v>
      </c>
      <c r="AY20" s="277" t="s">
        <v>175</v>
      </c>
      <c r="AZ20" s="253" t="s">
        <v>175</v>
      </c>
      <c r="BA20" s="277" t="s">
        <v>175</v>
      </c>
      <c r="BB20" s="252" t="s">
        <v>264</v>
      </c>
      <c r="BC20" s="253" t="s">
        <v>175</v>
      </c>
      <c r="BD20" s="277" t="s">
        <v>175</v>
      </c>
      <c r="JS20" s="5"/>
    </row>
    <row r="21" spans="1:279" s="1" customFormat="1" ht="23.25" customHeight="1">
      <c r="A21" s="964"/>
      <c r="B21" s="1135"/>
      <c r="C21" s="69" t="s">
        <v>197</v>
      </c>
      <c r="D21" s="193">
        <v>14650154</v>
      </c>
      <c r="E21" s="611">
        <v>80022640</v>
      </c>
      <c r="F21" s="612">
        <v>79708271</v>
      </c>
      <c r="G21" s="613">
        <v>46313325</v>
      </c>
      <c r="H21" s="614">
        <v>52789684</v>
      </c>
      <c r="I21" s="611">
        <v>73167096</v>
      </c>
      <c r="J21" s="612">
        <v>83183118</v>
      </c>
      <c r="K21" s="611">
        <v>39776446</v>
      </c>
      <c r="L21" s="612">
        <v>19467223</v>
      </c>
      <c r="M21" s="611">
        <v>52475991</v>
      </c>
      <c r="N21" s="612">
        <v>79386128</v>
      </c>
      <c r="O21" s="611">
        <v>19272850</v>
      </c>
      <c r="P21" s="612">
        <v>79553407</v>
      </c>
      <c r="Q21" s="291">
        <v>79312432</v>
      </c>
      <c r="R21" s="360">
        <v>75068387</v>
      </c>
      <c r="S21" s="389">
        <v>79590116</v>
      </c>
      <c r="T21" s="95">
        <v>79984943</v>
      </c>
      <c r="U21" s="95">
        <v>41101391</v>
      </c>
      <c r="V21" s="389">
        <v>79502667</v>
      </c>
      <c r="W21" s="95">
        <v>79703069</v>
      </c>
      <c r="X21" s="440" t="s">
        <v>757</v>
      </c>
      <c r="Y21" s="389">
        <v>30302713</v>
      </c>
      <c r="Z21" s="390">
        <v>60294378</v>
      </c>
      <c r="AA21" s="389">
        <v>80875292</v>
      </c>
      <c r="AB21" s="390">
        <v>6218158</v>
      </c>
      <c r="AC21" s="389">
        <v>79577206</v>
      </c>
      <c r="AD21" s="390">
        <v>1018497079</v>
      </c>
      <c r="AE21" s="291" t="s">
        <v>336</v>
      </c>
      <c r="AF21" s="360" t="s">
        <v>337</v>
      </c>
      <c r="AG21" s="291" t="s">
        <v>407</v>
      </c>
      <c r="AH21" s="360" t="s">
        <v>406</v>
      </c>
      <c r="AI21" s="291" t="s">
        <v>464</v>
      </c>
      <c r="AJ21" s="360" t="s">
        <v>465</v>
      </c>
      <c r="AK21" s="291" t="s">
        <v>510</v>
      </c>
      <c r="AL21" s="360" t="s">
        <v>511</v>
      </c>
      <c r="AM21" s="291" t="s">
        <v>554</v>
      </c>
      <c r="AN21" s="360" t="s">
        <v>555</v>
      </c>
      <c r="AO21" s="440" t="s">
        <v>898</v>
      </c>
      <c r="AP21" s="291" t="s">
        <v>610</v>
      </c>
      <c r="AQ21" s="360" t="s">
        <v>611</v>
      </c>
      <c r="AR21" s="611">
        <v>79385626</v>
      </c>
      <c r="AS21" s="649">
        <v>1057579935</v>
      </c>
      <c r="AT21" s="612">
        <v>52055586</v>
      </c>
      <c r="AU21" s="611">
        <v>79062686</v>
      </c>
      <c r="AV21" s="612">
        <v>1032356698</v>
      </c>
      <c r="AW21" s="146" t="s">
        <v>791</v>
      </c>
      <c r="AX21" s="389">
        <v>40380767</v>
      </c>
      <c r="AY21" s="390">
        <v>1121879414</v>
      </c>
      <c r="AZ21" s="291" t="s">
        <v>655</v>
      </c>
      <c r="BA21" s="360" t="s">
        <v>656</v>
      </c>
      <c r="BB21" s="548">
        <v>52368373</v>
      </c>
      <c r="BC21" s="291" t="s">
        <v>702</v>
      </c>
      <c r="BD21" s="360" t="s">
        <v>701</v>
      </c>
      <c r="JS21" s="5"/>
    </row>
    <row r="22" spans="1:279" s="1" customFormat="1" ht="24.75">
      <c r="A22" s="964"/>
      <c r="B22" s="1135"/>
      <c r="C22" s="69" t="s">
        <v>6</v>
      </c>
      <c r="D22" s="189" t="s">
        <v>841</v>
      </c>
      <c r="E22" s="611" t="s">
        <v>247</v>
      </c>
      <c r="F22" s="612" t="s">
        <v>244</v>
      </c>
      <c r="G22" s="208" t="s">
        <v>842</v>
      </c>
      <c r="H22" s="614" t="s">
        <v>1407</v>
      </c>
      <c r="I22" s="611" t="s">
        <v>1446</v>
      </c>
      <c r="J22" s="612" t="s">
        <v>1447</v>
      </c>
      <c r="K22" s="611" t="s">
        <v>1448</v>
      </c>
      <c r="L22" s="612" t="s">
        <v>1449</v>
      </c>
      <c r="M22" s="611" t="s">
        <v>1450</v>
      </c>
      <c r="N22" s="612" t="s">
        <v>1451</v>
      </c>
      <c r="O22" s="611" t="s">
        <v>1529</v>
      </c>
      <c r="P22" s="612" t="s">
        <v>1530</v>
      </c>
      <c r="Q22" s="291" t="s">
        <v>1295</v>
      </c>
      <c r="R22" s="360" t="s">
        <v>1296</v>
      </c>
      <c r="S22" s="291" t="s">
        <v>1334</v>
      </c>
      <c r="T22" s="96" t="s">
        <v>1335</v>
      </c>
      <c r="U22" s="96" t="s">
        <v>1333</v>
      </c>
      <c r="V22" s="291" t="s">
        <v>1169</v>
      </c>
      <c r="W22" s="96" t="s">
        <v>1170</v>
      </c>
      <c r="X22" s="145" t="s">
        <v>756</v>
      </c>
      <c r="Y22" s="291" t="s">
        <v>1241</v>
      </c>
      <c r="Z22" s="360" t="s">
        <v>1240</v>
      </c>
      <c r="AA22" s="291" t="s">
        <v>931</v>
      </c>
      <c r="AB22" s="360" t="s">
        <v>932</v>
      </c>
      <c r="AC22" s="291" t="s">
        <v>1059</v>
      </c>
      <c r="AD22" s="360" t="s">
        <v>1060</v>
      </c>
      <c r="AE22" s="393" t="s">
        <v>332</v>
      </c>
      <c r="AF22" s="358" t="s">
        <v>333</v>
      </c>
      <c r="AG22" s="253" t="s">
        <v>403</v>
      </c>
      <c r="AH22" s="358" t="s">
        <v>402</v>
      </c>
      <c r="AI22" s="253" t="s">
        <v>461</v>
      </c>
      <c r="AJ22" s="254" t="s">
        <v>462</v>
      </c>
      <c r="AK22" s="253" t="s">
        <v>461</v>
      </c>
      <c r="AL22" s="254" t="s">
        <v>462</v>
      </c>
      <c r="AM22" s="253" t="s">
        <v>550</v>
      </c>
      <c r="AN22" s="254" t="s">
        <v>551</v>
      </c>
      <c r="AO22" s="145" t="s">
        <v>897</v>
      </c>
      <c r="AP22" s="253" t="s">
        <v>608</v>
      </c>
      <c r="AQ22" s="254" t="s">
        <v>607</v>
      </c>
      <c r="AR22" s="611" t="s">
        <v>1568</v>
      </c>
      <c r="AS22" s="649" t="s">
        <v>1569</v>
      </c>
      <c r="AT22" s="612" t="s">
        <v>1570</v>
      </c>
      <c r="AU22" s="611" t="s">
        <v>1567</v>
      </c>
      <c r="AV22" s="612" t="s">
        <v>1571</v>
      </c>
      <c r="AW22" s="143" t="s">
        <v>789</v>
      </c>
      <c r="AX22" s="291" t="s">
        <v>1116</v>
      </c>
      <c r="AY22" s="360" t="s">
        <v>1117</v>
      </c>
      <c r="AZ22" s="253" t="s">
        <v>653</v>
      </c>
      <c r="BA22" s="254" t="s">
        <v>654</v>
      </c>
      <c r="BB22" s="252" t="s">
        <v>1009</v>
      </c>
      <c r="BC22" s="253" t="s">
        <v>699</v>
      </c>
      <c r="BD22" s="254" t="s">
        <v>700</v>
      </c>
      <c r="JS22" s="5"/>
    </row>
    <row r="23" spans="1:279" s="1" customFormat="1">
      <c r="A23" s="964"/>
      <c r="B23" s="1135"/>
      <c r="C23" s="69" t="s">
        <v>0</v>
      </c>
      <c r="D23" s="191" t="s">
        <v>77</v>
      </c>
      <c r="E23" s="606" t="s">
        <v>77</v>
      </c>
      <c r="F23" s="607" t="s">
        <v>77</v>
      </c>
      <c r="G23" s="615" t="s">
        <v>77</v>
      </c>
      <c r="H23" s="608" t="s">
        <v>394</v>
      </c>
      <c r="I23" s="606" t="s">
        <v>77</v>
      </c>
      <c r="J23" s="607" t="s">
        <v>77</v>
      </c>
      <c r="K23" s="606" t="s">
        <v>77</v>
      </c>
      <c r="L23" s="607" t="s">
        <v>77</v>
      </c>
      <c r="M23" s="606" t="s">
        <v>77</v>
      </c>
      <c r="N23" s="607" t="s">
        <v>77</v>
      </c>
      <c r="O23" s="606" t="s">
        <v>77</v>
      </c>
      <c r="P23" s="607" t="s">
        <v>77</v>
      </c>
      <c r="Q23" s="248" t="s">
        <v>77</v>
      </c>
      <c r="R23" s="249" t="s">
        <v>77</v>
      </c>
      <c r="S23" s="253" t="s">
        <v>77</v>
      </c>
      <c r="T23" s="113" t="s">
        <v>77</v>
      </c>
      <c r="U23" s="113" t="s">
        <v>77</v>
      </c>
      <c r="V23" s="248" t="s">
        <v>77</v>
      </c>
      <c r="W23" s="98" t="s">
        <v>77</v>
      </c>
      <c r="X23" s="145" t="s">
        <v>77</v>
      </c>
      <c r="Y23" s="248" t="s">
        <v>77</v>
      </c>
      <c r="Z23" s="249" t="s">
        <v>77</v>
      </c>
      <c r="AA23" s="253" t="s">
        <v>77</v>
      </c>
      <c r="AB23" s="254" t="s">
        <v>77</v>
      </c>
      <c r="AC23" s="253" t="s">
        <v>77</v>
      </c>
      <c r="AD23" s="254" t="s">
        <v>77</v>
      </c>
      <c r="AE23" s="248" t="s">
        <v>77</v>
      </c>
      <c r="AF23" s="249" t="s">
        <v>77</v>
      </c>
      <c r="AG23" s="248" t="s">
        <v>77</v>
      </c>
      <c r="AH23" s="249" t="s">
        <v>77</v>
      </c>
      <c r="AI23" s="248" t="s">
        <v>77</v>
      </c>
      <c r="AJ23" s="249" t="s">
        <v>77</v>
      </c>
      <c r="AK23" s="248" t="s">
        <v>77</v>
      </c>
      <c r="AL23" s="249" t="s">
        <v>77</v>
      </c>
      <c r="AM23" s="248" t="s">
        <v>77</v>
      </c>
      <c r="AN23" s="249" t="s">
        <v>77</v>
      </c>
      <c r="AO23" s="145" t="s">
        <v>77</v>
      </c>
      <c r="AP23" s="248" t="s">
        <v>77</v>
      </c>
      <c r="AQ23" s="249" t="s">
        <v>77</v>
      </c>
      <c r="AR23" s="606" t="s">
        <v>77</v>
      </c>
      <c r="AS23" s="647" t="s">
        <v>77</v>
      </c>
      <c r="AT23" s="607" t="s">
        <v>77</v>
      </c>
      <c r="AU23" s="606" t="s">
        <v>77</v>
      </c>
      <c r="AV23" s="607" t="s">
        <v>77</v>
      </c>
      <c r="AW23" s="145" t="s">
        <v>77</v>
      </c>
      <c r="AX23" s="253" t="s">
        <v>77</v>
      </c>
      <c r="AY23" s="254" t="s">
        <v>77</v>
      </c>
      <c r="AZ23" s="248" t="s">
        <v>77</v>
      </c>
      <c r="BA23" s="249" t="s">
        <v>77</v>
      </c>
      <c r="BB23" s="252" t="s">
        <v>77</v>
      </c>
      <c r="BC23" s="248" t="s">
        <v>77</v>
      </c>
      <c r="BD23" s="249" t="s">
        <v>77</v>
      </c>
      <c r="JS23" s="5"/>
    </row>
    <row r="24" spans="1:279" s="1" customFormat="1" ht="29.25" customHeight="1">
      <c r="A24" s="964">
        <v>6</v>
      </c>
      <c r="B24" s="1135" t="s">
        <v>200</v>
      </c>
      <c r="C24" s="69" t="s">
        <v>33</v>
      </c>
      <c r="D24" s="189" t="s">
        <v>175</v>
      </c>
      <c r="E24" s="385" t="s">
        <v>175</v>
      </c>
      <c r="F24" s="616" t="s">
        <v>175</v>
      </c>
      <c r="G24" s="208" t="s">
        <v>175</v>
      </c>
      <c r="H24" s="617" t="s">
        <v>243</v>
      </c>
      <c r="I24" s="385" t="s">
        <v>175</v>
      </c>
      <c r="J24" s="616" t="s">
        <v>175</v>
      </c>
      <c r="K24" s="385" t="s">
        <v>175</v>
      </c>
      <c r="L24" s="616" t="s">
        <v>175</v>
      </c>
      <c r="M24" s="385" t="s">
        <v>175</v>
      </c>
      <c r="N24" s="616" t="s">
        <v>175</v>
      </c>
      <c r="O24" s="385" t="s">
        <v>175</v>
      </c>
      <c r="P24" s="616" t="s">
        <v>175</v>
      </c>
      <c r="Q24" s="253" t="s">
        <v>175</v>
      </c>
      <c r="R24" s="259" t="s">
        <v>175</v>
      </c>
      <c r="S24" s="253" t="s">
        <v>175</v>
      </c>
      <c r="T24" s="109" t="s">
        <v>175</v>
      </c>
      <c r="U24" s="109" t="s">
        <v>175</v>
      </c>
      <c r="V24" s="253" t="s">
        <v>175</v>
      </c>
      <c r="W24" s="71" t="s">
        <v>175</v>
      </c>
      <c r="X24" s="143" t="s">
        <v>175</v>
      </c>
      <c r="Y24" s="253" t="s">
        <v>175</v>
      </c>
      <c r="Z24" s="259" t="s">
        <v>175</v>
      </c>
      <c r="AA24" s="253" t="s">
        <v>175</v>
      </c>
      <c r="AB24" s="259" t="s">
        <v>175</v>
      </c>
      <c r="AC24" s="253" t="s">
        <v>175</v>
      </c>
      <c r="AD24" s="259" t="s">
        <v>175</v>
      </c>
      <c r="AE24" s="253" t="s">
        <v>175</v>
      </c>
      <c r="AF24" s="259" t="s">
        <v>175</v>
      </c>
      <c r="AG24" s="253" t="s">
        <v>175</v>
      </c>
      <c r="AH24" s="259" t="s">
        <v>175</v>
      </c>
      <c r="AI24" s="253" t="s">
        <v>175</v>
      </c>
      <c r="AJ24" s="259" t="s">
        <v>175</v>
      </c>
      <c r="AK24" s="253" t="s">
        <v>175</v>
      </c>
      <c r="AL24" s="259" t="s">
        <v>175</v>
      </c>
      <c r="AM24" s="253" t="s">
        <v>175</v>
      </c>
      <c r="AN24" s="259" t="s">
        <v>175</v>
      </c>
      <c r="AO24" s="143" t="s">
        <v>175</v>
      </c>
      <c r="AP24" s="253" t="s">
        <v>175</v>
      </c>
      <c r="AQ24" s="259" t="s">
        <v>175</v>
      </c>
      <c r="AR24" s="385" t="s">
        <v>175</v>
      </c>
      <c r="AS24" s="650" t="s">
        <v>175</v>
      </c>
      <c r="AT24" s="616" t="s">
        <v>175</v>
      </c>
      <c r="AU24" s="385" t="s">
        <v>175</v>
      </c>
      <c r="AV24" s="679" t="s">
        <v>175</v>
      </c>
      <c r="AW24" s="670" t="s">
        <v>175</v>
      </c>
      <c r="AX24" s="681" t="s">
        <v>175</v>
      </c>
      <c r="AY24" s="279" t="s">
        <v>175</v>
      </c>
      <c r="AZ24" s="253" t="s">
        <v>175</v>
      </c>
      <c r="BA24" s="259" t="s">
        <v>175</v>
      </c>
      <c r="BB24" s="252" t="s">
        <v>264</v>
      </c>
      <c r="BC24" s="519" t="s">
        <v>175</v>
      </c>
      <c r="BD24" s="520" t="s">
        <v>175</v>
      </c>
      <c r="JS24" s="5"/>
    </row>
    <row r="25" spans="1:279" s="1" customFormat="1" ht="144">
      <c r="A25" s="1121"/>
      <c r="B25" s="1135"/>
      <c r="C25" s="69" t="s">
        <v>7</v>
      </c>
      <c r="D25" s="189" t="s">
        <v>843</v>
      </c>
      <c r="E25" s="385" t="s">
        <v>248</v>
      </c>
      <c r="F25" s="418" t="s">
        <v>248</v>
      </c>
      <c r="G25" s="208" t="s">
        <v>843</v>
      </c>
      <c r="H25" s="158" t="s">
        <v>248</v>
      </c>
      <c r="I25" s="385" t="s">
        <v>248</v>
      </c>
      <c r="J25" s="418" t="s">
        <v>248</v>
      </c>
      <c r="K25" s="385" t="s">
        <v>248</v>
      </c>
      <c r="L25" s="418" t="s">
        <v>248</v>
      </c>
      <c r="M25" s="385" t="s">
        <v>248</v>
      </c>
      <c r="N25" s="418" t="s">
        <v>248</v>
      </c>
      <c r="O25" s="385" t="s">
        <v>248</v>
      </c>
      <c r="P25" s="418" t="s">
        <v>248</v>
      </c>
      <c r="Q25" s="253" t="s">
        <v>1297</v>
      </c>
      <c r="R25" s="361" t="s">
        <v>1298</v>
      </c>
      <c r="S25" s="253" t="s">
        <v>1336</v>
      </c>
      <c r="T25" s="391" t="s">
        <v>1337</v>
      </c>
      <c r="U25" s="80" t="s">
        <v>934</v>
      </c>
      <c r="V25" s="253" t="s">
        <v>1171</v>
      </c>
      <c r="W25" s="113" t="s">
        <v>1172</v>
      </c>
      <c r="X25" s="143" t="s">
        <v>761</v>
      </c>
      <c r="Y25" s="253" t="s">
        <v>1242</v>
      </c>
      <c r="Z25" s="254" t="s">
        <v>1243</v>
      </c>
      <c r="AA25" s="253" t="s">
        <v>933</v>
      </c>
      <c r="AB25" s="467" t="s">
        <v>934</v>
      </c>
      <c r="AC25" s="253" t="s">
        <v>1061</v>
      </c>
      <c r="AD25" s="467" t="s">
        <v>1062</v>
      </c>
      <c r="AE25" s="253" t="s">
        <v>703</v>
      </c>
      <c r="AF25" s="254" t="s">
        <v>338</v>
      </c>
      <c r="AG25" s="253" t="s">
        <v>414</v>
      </c>
      <c r="AH25" s="254" t="s">
        <v>411</v>
      </c>
      <c r="AI25" s="253" t="s">
        <v>468</v>
      </c>
      <c r="AJ25" s="254" t="s">
        <v>471</v>
      </c>
      <c r="AK25" s="253" t="s">
        <v>515</v>
      </c>
      <c r="AL25" s="254" t="s">
        <v>516</v>
      </c>
      <c r="AM25" s="253" t="s">
        <v>557</v>
      </c>
      <c r="AN25" s="254" t="s">
        <v>562</v>
      </c>
      <c r="AO25" s="143" t="s">
        <v>761</v>
      </c>
      <c r="AP25" s="253" t="s">
        <v>614</v>
      </c>
      <c r="AQ25" s="254" t="s">
        <v>617</v>
      </c>
      <c r="AR25" s="385" t="s">
        <v>248</v>
      </c>
      <c r="AS25" s="30" t="s">
        <v>248</v>
      </c>
      <c r="AT25" s="418" t="s">
        <v>248</v>
      </c>
      <c r="AU25" s="385" t="s">
        <v>248</v>
      </c>
      <c r="AV25" s="419" t="s">
        <v>248</v>
      </c>
      <c r="AW25" s="7" t="s">
        <v>1118</v>
      </c>
      <c r="AX25" s="681" t="s">
        <v>1118</v>
      </c>
      <c r="AY25" s="467" t="s">
        <v>1119</v>
      </c>
      <c r="AZ25" s="253" t="s">
        <v>661</v>
      </c>
      <c r="BA25" s="254" t="s">
        <v>664</v>
      </c>
      <c r="BB25" s="252" t="s">
        <v>1010</v>
      </c>
      <c r="BC25" s="519" t="s">
        <v>706</v>
      </c>
      <c r="BD25" s="521" t="s">
        <v>709</v>
      </c>
      <c r="JS25" s="5"/>
    </row>
    <row r="26" spans="1:279" s="1" customFormat="1" ht="24">
      <c r="A26" s="1121"/>
      <c r="B26" s="1135"/>
      <c r="C26" s="69" t="s">
        <v>199</v>
      </c>
      <c r="D26" s="194">
        <v>36073</v>
      </c>
      <c r="E26" s="618">
        <v>40030</v>
      </c>
      <c r="F26" s="619">
        <v>41690</v>
      </c>
      <c r="G26" s="620">
        <v>34668</v>
      </c>
      <c r="H26" s="621">
        <v>41716</v>
      </c>
      <c r="I26" s="618">
        <v>32646</v>
      </c>
      <c r="J26" s="619">
        <v>40743</v>
      </c>
      <c r="K26" s="618">
        <v>27880</v>
      </c>
      <c r="L26" s="619">
        <v>34277</v>
      </c>
      <c r="M26" s="618">
        <v>37166</v>
      </c>
      <c r="N26" s="619">
        <v>29032</v>
      </c>
      <c r="O26" s="618">
        <v>30768</v>
      </c>
      <c r="P26" s="619">
        <v>39729</v>
      </c>
      <c r="Q26" s="362">
        <v>28642</v>
      </c>
      <c r="R26" s="363">
        <v>41591</v>
      </c>
      <c r="S26" s="362">
        <v>23470</v>
      </c>
      <c r="T26" s="97">
        <v>37062</v>
      </c>
      <c r="U26" s="97">
        <v>34243</v>
      </c>
      <c r="V26" s="362">
        <v>26228</v>
      </c>
      <c r="W26" s="97">
        <v>39748</v>
      </c>
      <c r="X26" s="441" t="s">
        <v>759</v>
      </c>
      <c r="Y26" s="362">
        <v>33961</v>
      </c>
      <c r="Z26" s="363">
        <v>31374</v>
      </c>
      <c r="AA26" s="362">
        <v>32654</v>
      </c>
      <c r="AB26" s="363">
        <v>33099</v>
      </c>
      <c r="AC26" s="366">
        <v>29006</v>
      </c>
      <c r="AD26" s="367">
        <v>42443</v>
      </c>
      <c r="AE26" s="470" t="s">
        <v>342</v>
      </c>
      <c r="AF26" s="363" t="s">
        <v>339</v>
      </c>
      <c r="AG26" s="470" t="s">
        <v>412</v>
      </c>
      <c r="AH26" s="363" t="s">
        <v>408</v>
      </c>
      <c r="AI26" s="470" t="s">
        <v>466</v>
      </c>
      <c r="AJ26" s="363" t="s">
        <v>470</v>
      </c>
      <c r="AK26" s="501">
        <v>40877</v>
      </c>
      <c r="AL26" s="502" t="s">
        <v>514</v>
      </c>
      <c r="AM26" s="501" t="s">
        <v>559</v>
      </c>
      <c r="AN26" s="502" t="s">
        <v>560</v>
      </c>
      <c r="AO26" s="441" t="s">
        <v>899</v>
      </c>
      <c r="AP26" s="501" t="s">
        <v>612</v>
      </c>
      <c r="AQ26" s="502" t="s">
        <v>615</v>
      </c>
      <c r="AR26" s="618">
        <v>30768</v>
      </c>
      <c r="AS26" s="651">
        <v>36452</v>
      </c>
      <c r="AT26" s="619">
        <v>38805</v>
      </c>
      <c r="AU26" s="618">
        <v>27312</v>
      </c>
      <c r="AV26" s="680">
        <v>34978</v>
      </c>
      <c r="AW26" s="683">
        <v>33995</v>
      </c>
      <c r="AX26" s="682">
        <v>35298</v>
      </c>
      <c r="AY26" s="367">
        <v>36602</v>
      </c>
      <c r="AZ26" s="501" t="s">
        <v>658</v>
      </c>
      <c r="BA26" s="502" t="s">
        <v>662</v>
      </c>
      <c r="BB26" s="549">
        <v>36622</v>
      </c>
      <c r="BC26" s="522" t="s">
        <v>704</v>
      </c>
      <c r="BD26" s="523" t="s">
        <v>707</v>
      </c>
      <c r="JS26" s="5"/>
    </row>
    <row r="27" spans="1:279" s="1" customFormat="1">
      <c r="A27" s="1121"/>
      <c r="B27" s="1135"/>
      <c r="C27" s="69" t="s">
        <v>198</v>
      </c>
      <c r="D27" s="195" t="s">
        <v>844</v>
      </c>
      <c r="E27" s="618">
        <v>44865</v>
      </c>
      <c r="F27" s="619">
        <v>44858</v>
      </c>
      <c r="G27" s="620">
        <v>44848</v>
      </c>
      <c r="H27" s="621">
        <v>44846</v>
      </c>
      <c r="I27" s="618">
        <v>44839</v>
      </c>
      <c r="J27" s="619">
        <v>44845</v>
      </c>
      <c r="K27" s="618">
        <v>44858</v>
      </c>
      <c r="L27" s="619">
        <v>44840</v>
      </c>
      <c r="M27" s="618">
        <v>44841</v>
      </c>
      <c r="N27" s="619">
        <v>44862</v>
      </c>
      <c r="O27" s="618">
        <v>44841</v>
      </c>
      <c r="P27" s="619">
        <v>44846</v>
      </c>
      <c r="Q27" s="362">
        <v>44865</v>
      </c>
      <c r="R27" s="363">
        <v>44846</v>
      </c>
      <c r="S27" s="362">
        <v>44858</v>
      </c>
      <c r="T27" s="97">
        <v>44837</v>
      </c>
      <c r="U27" s="97">
        <v>44844</v>
      </c>
      <c r="V27" s="362">
        <v>44847</v>
      </c>
      <c r="W27" s="97">
        <v>44839</v>
      </c>
      <c r="X27" s="442" t="s">
        <v>758</v>
      </c>
      <c r="Y27" s="362">
        <v>44844</v>
      </c>
      <c r="Z27" s="363">
        <v>44846</v>
      </c>
      <c r="AA27" s="362">
        <v>44867</v>
      </c>
      <c r="AB27" s="363">
        <v>44865</v>
      </c>
      <c r="AC27" s="366">
        <v>44838</v>
      </c>
      <c r="AD27" s="367">
        <v>44868</v>
      </c>
      <c r="AE27" s="362" t="s">
        <v>343</v>
      </c>
      <c r="AF27" s="363" t="s">
        <v>340</v>
      </c>
      <c r="AG27" s="362" t="s">
        <v>409</v>
      </c>
      <c r="AH27" s="363" t="s">
        <v>409</v>
      </c>
      <c r="AI27" s="362" t="s">
        <v>340</v>
      </c>
      <c r="AJ27" s="489">
        <v>44866</v>
      </c>
      <c r="AK27" s="503">
        <v>44861</v>
      </c>
      <c r="AL27" s="363" t="s">
        <v>512</v>
      </c>
      <c r="AM27" s="503" t="s">
        <v>556</v>
      </c>
      <c r="AN27" s="489">
        <v>44853</v>
      </c>
      <c r="AO27" s="442" t="s">
        <v>348</v>
      </c>
      <c r="AP27" s="503" t="s">
        <v>343</v>
      </c>
      <c r="AQ27" s="363" t="s">
        <v>409</v>
      </c>
      <c r="AR27" s="618">
        <v>44865</v>
      </c>
      <c r="AS27" s="651">
        <v>44865</v>
      </c>
      <c r="AT27" s="619">
        <v>44844</v>
      </c>
      <c r="AU27" s="618">
        <v>44866</v>
      </c>
      <c r="AV27" s="680">
        <v>44856</v>
      </c>
      <c r="AW27" s="683">
        <v>44845</v>
      </c>
      <c r="AX27" s="682">
        <v>44862</v>
      </c>
      <c r="AY27" s="367">
        <v>44866</v>
      </c>
      <c r="AZ27" s="503" t="s">
        <v>657</v>
      </c>
      <c r="BA27" s="363" t="s">
        <v>409</v>
      </c>
      <c r="BB27" s="549">
        <v>44867</v>
      </c>
      <c r="BC27" s="524" t="s">
        <v>340</v>
      </c>
      <c r="BD27" s="525">
        <v>44847</v>
      </c>
      <c r="JS27" s="5"/>
    </row>
    <row r="28" spans="1:279" s="1" customFormat="1" ht="24.75">
      <c r="A28" s="1121"/>
      <c r="B28" s="1135"/>
      <c r="C28" s="69" t="s">
        <v>201</v>
      </c>
      <c r="D28" s="195" t="s">
        <v>178</v>
      </c>
      <c r="E28" s="618">
        <v>47335</v>
      </c>
      <c r="F28" s="619">
        <v>45342</v>
      </c>
      <c r="G28" s="620" t="s">
        <v>178</v>
      </c>
      <c r="H28" s="621" t="s">
        <v>1408</v>
      </c>
      <c r="I28" s="618">
        <v>50908</v>
      </c>
      <c r="J28" s="619">
        <v>51776</v>
      </c>
      <c r="K28" s="618">
        <v>54908</v>
      </c>
      <c r="L28" s="619">
        <v>51169</v>
      </c>
      <c r="M28" s="618">
        <v>47757</v>
      </c>
      <c r="N28" s="619">
        <v>54590</v>
      </c>
      <c r="O28" s="618">
        <v>63640</v>
      </c>
      <c r="P28" s="619">
        <v>48852</v>
      </c>
      <c r="Q28" s="362">
        <v>78289</v>
      </c>
      <c r="R28" s="363">
        <v>79670</v>
      </c>
      <c r="S28" s="362">
        <v>73143</v>
      </c>
      <c r="T28" s="97">
        <v>54877</v>
      </c>
      <c r="U28" s="97">
        <v>59810</v>
      </c>
      <c r="V28" s="362">
        <v>51796</v>
      </c>
      <c r="W28" s="97">
        <v>54789</v>
      </c>
      <c r="X28" s="441" t="s">
        <v>760</v>
      </c>
      <c r="Y28" s="362">
        <v>67889</v>
      </c>
      <c r="Z28" s="363">
        <v>48572</v>
      </c>
      <c r="AA28" s="362">
        <v>62052</v>
      </c>
      <c r="AB28" s="363">
        <v>69624</v>
      </c>
      <c r="AC28" s="366">
        <v>50921</v>
      </c>
      <c r="AD28" s="367">
        <v>16875</v>
      </c>
      <c r="AE28" s="362" t="s">
        <v>344</v>
      </c>
      <c r="AF28" s="363" t="s">
        <v>341</v>
      </c>
      <c r="AG28" s="362" t="s">
        <v>413</v>
      </c>
      <c r="AH28" s="363" t="s">
        <v>410</v>
      </c>
      <c r="AI28" s="470" t="s">
        <v>467</v>
      </c>
      <c r="AJ28" s="363" t="s">
        <v>469</v>
      </c>
      <c r="AK28" s="501">
        <v>62274</v>
      </c>
      <c r="AL28" s="504" t="s">
        <v>513</v>
      </c>
      <c r="AM28" s="501" t="s">
        <v>558</v>
      </c>
      <c r="AN28" s="504" t="s">
        <v>561</v>
      </c>
      <c r="AO28" s="441" t="s">
        <v>900</v>
      </c>
      <c r="AP28" s="501" t="s">
        <v>613</v>
      </c>
      <c r="AQ28" s="504" t="s">
        <v>616</v>
      </c>
      <c r="AR28" s="618">
        <v>49485</v>
      </c>
      <c r="AS28" s="651">
        <v>55153</v>
      </c>
      <c r="AT28" s="619">
        <v>58529</v>
      </c>
      <c r="AU28" s="618">
        <v>55153</v>
      </c>
      <c r="AV28" s="680">
        <v>73415</v>
      </c>
      <c r="AW28" s="683">
        <v>51160</v>
      </c>
      <c r="AX28" s="682">
        <v>48081</v>
      </c>
      <c r="AY28" s="367">
        <v>55153</v>
      </c>
      <c r="AZ28" s="501" t="s">
        <v>659</v>
      </c>
      <c r="BA28" s="504" t="s">
        <v>663</v>
      </c>
      <c r="BB28" s="550">
        <v>73146</v>
      </c>
      <c r="BC28" s="522" t="s">
        <v>705</v>
      </c>
      <c r="BD28" s="526" t="s">
        <v>708</v>
      </c>
      <c r="JS28" s="5"/>
    </row>
    <row r="29" spans="1:279" s="1" customFormat="1" ht="36">
      <c r="A29" s="1121"/>
      <c r="B29" s="1135"/>
      <c r="C29" s="69" t="s">
        <v>202</v>
      </c>
      <c r="D29" s="189" t="s">
        <v>249</v>
      </c>
      <c r="E29" s="385" t="s">
        <v>249</v>
      </c>
      <c r="F29" s="418" t="s">
        <v>249</v>
      </c>
      <c r="G29" s="208" t="s">
        <v>249</v>
      </c>
      <c r="H29" s="158" t="s">
        <v>249</v>
      </c>
      <c r="I29" s="385" t="s">
        <v>249</v>
      </c>
      <c r="J29" s="418" t="s">
        <v>249</v>
      </c>
      <c r="K29" s="385" t="s">
        <v>249</v>
      </c>
      <c r="L29" s="418" t="s">
        <v>1452</v>
      </c>
      <c r="M29" s="385" t="s">
        <v>1453</v>
      </c>
      <c r="N29" s="418" t="s">
        <v>249</v>
      </c>
      <c r="O29" s="385" t="s">
        <v>1531</v>
      </c>
      <c r="P29" s="418" t="s">
        <v>249</v>
      </c>
      <c r="Q29" s="253" t="s">
        <v>249</v>
      </c>
      <c r="R29" s="254" t="s">
        <v>249</v>
      </c>
      <c r="S29" s="253" t="s">
        <v>249</v>
      </c>
      <c r="T29" s="113" t="s">
        <v>249</v>
      </c>
      <c r="U29" s="113" t="s">
        <v>249</v>
      </c>
      <c r="V29" s="253" t="s">
        <v>249</v>
      </c>
      <c r="W29" s="113" t="s">
        <v>249</v>
      </c>
      <c r="X29" s="143" t="s">
        <v>345</v>
      </c>
      <c r="Y29" s="253" t="s">
        <v>249</v>
      </c>
      <c r="Z29" s="254" t="s">
        <v>249</v>
      </c>
      <c r="AA29" s="253" t="s">
        <v>249</v>
      </c>
      <c r="AB29" s="254" t="s">
        <v>249</v>
      </c>
      <c r="AC29" s="253" t="s">
        <v>249</v>
      </c>
      <c r="AD29" s="676" t="s">
        <v>1652</v>
      </c>
      <c r="AE29" s="253" t="s">
        <v>345</v>
      </c>
      <c r="AF29" s="254" t="s">
        <v>345</v>
      </c>
      <c r="AG29" s="253" t="s">
        <v>345</v>
      </c>
      <c r="AH29" s="254" t="s">
        <v>345</v>
      </c>
      <c r="AI29" s="253" t="s">
        <v>345</v>
      </c>
      <c r="AJ29" s="254" t="s">
        <v>345</v>
      </c>
      <c r="AK29" s="253" t="s">
        <v>345</v>
      </c>
      <c r="AL29" s="254" t="s">
        <v>345</v>
      </c>
      <c r="AM29" s="253" t="s">
        <v>564</v>
      </c>
      <c r="AN29" s="254" t="s">
        <v>563</v>
      </c>
      <c r="AO29" s="143" t="s">
        <v>345</v>
      </c>
      <c r="AP29" s="253" t="s">
        <v>345</v>
      </c>
      <c r="AQ29" s="254" t="s">
        <v>345</v>
      </c>
      <c r="AR29" s="385" t="s">
        <v>1531</v>
      </c>
      <c r="AS29" s="30" t="s">
        <v>249</v>
      </c>
      <c r="AT29" s="418" t="s">
        <v>249</v>
      </c>
      <c r="AU29" s="385" t="s">
        <v>1531</v>
      </c>
      <c r="AV29" s="419" t="s">
        <v>249</v>
      </c>
      <c r="AW29" s="670" t="s">
        <v>249</v>
      </c>
      <c r="AX29" s="681" t="s">
        <v>1120</v>
      </c>
      <c r="AY29" s="254" t="s">
        <v>1121</v>
      </c>
      <c r="AZ29" s="253" t="s">
        <v>660</v>
      </c>
      <c r="BA29" s="254" t="s">
        <v>345</v>
      </c>
      <c r="BB29" s="252" t="s">
        <v>249</v>
      </c>
      <c r="BC29" s="519" t="s">
        <v>345</v>
      </c>
      <c r="BD29" s="521" t="s">
        <v>345</v>
      </c>
      <c r="JS29" s="5"/>
    </row>
    <row r="30" spans="1:279" s="1" customFormat="1">
      <c r="A30" s="1121"/>
      <c r="B30" s="1135"/>
      <c r="C30" s="69" t="s">
        <v>0</v>
      </c>
      <c r="D30" s="189" t="s">
        <v>77</v>
      </c>
      <c r="E30" s="385" t="s">
        <v>77</v>
      </c>
      <c r="F30" s="418" t="s">
        <v>77</v>
      </c>
      <c r="G30" s="208" t="s">
        <v>77</v>
      </c>
      <c r="H30" s="158" t="s">
        <v>394</v>
      </c>
      <c r="I30" s="385" t="s">
        <v>77</v>
      </c>
      <c r="J30" s="418" t="s">
        <v>77</v>
      </c>
      <c r="K30" s="385" t="s">
        <v>77</v>
      </c>
      <c r="L30" s="418" t="s">
        <v>77</v>
      </c>
      <c r="M30" s="385" t="s">
        <v>77</v>
      </c>
      <c r="N30" s="418" t="s">
        <v>394</v>
      </c>
      <c r="O30" s="385" t="s">
        <v>77</v>
      </c>
      <c r="P30" s="418" t="s">
        <v>394</v>
      </c>
      <c r="Q30" s="253" t="s">
        <v>77</v>
      </c>
      <c r="R30" s="254" t="s">
        <v>77</v>
      </c>
      <c r="S30" s="253" t="s">
        <v>77</v>
      </c>
      <c r="T30" s="113" t="s">
        <v>77</v>
      </c>
      <c r="U30" s="113" t="s">
        <v>77</v>
      </c>
      <c r="V30" s="253" t="s">
        <v>77</v>
      </c>
      <c r="W30" s="113" t="s">
        <v>77</v>
      </c>
      <c r="X30" s="143" t="s">
        <v>77</v>
      </c>
      <c r="Y30" s="253" t="s">
        <v>77</v>
      </c>
      <c r="Z30" s="254" t="s">
        <v>77</v>
      </c>
      <c r="AA30" s="253" t="s">
        <v>77</v>
      </c>
      <c r="AB30" s="254" t="s">
        <v>77</v>
      </c>
      <c r="AC30" s="253" t="s">
        <v>77</v>
      </c>
      <c r="AD30" s="676" t="s">
        <v>77</v>
      </c>
      <c r="AE30" s="253" t="s">
        <v>77</v>
      </c>
      <c r="AF30" s="254" t="s">
        <v>77</v>
      </c>
      <c r="AG30" s="253" t="s">
        <v>77</v>
      </c>
      <c r="AH30" s="254" t="s">
        <v>77</v>
      </c>
      <c r="AI30" s="253" t="s">
        <v>77</v>
      </c>
      <c r="AJ30" s="254" t="s">
        <v>77</v>
      </c>
      <c r="AK30" s="253" t="s">
        <v>77</v>
      </c>
      <c r="AL30" s="254" t="s">
        <v>77</v>
      </c>
      <c r="AM30" s="253" t="s">
        <v>77</v>
      </c>
      <c r="AN30" s="254" t="s">
        <v>77</v>
      </c>
      <c r="AO30" s="143" t="s">
        <v>77</v>
      </c>
      <c r="AP30" s="253" t="s">
        <v>77</v>
      </c>
      <c r="AQ30" s="254" t="s">
        <v>77</v>
      </c>
      <c r="AR30" s="385" t="s">
        <v>77</v>
      </c>
      <c r="AS30" s="30" t="s">
        <v>394</v>
      </c>
      <c r="AT30" s="418"/>
      <c r="AU30" s="385" t="s">
        <v>77</v>
      </c>
      <c r="AV30" s="418" t="s">
        <v>394</v>
      </c>
      <c r="AW30" s="143" t="s">
        <v>872</v>
      </c>
      <c r="AX30" s="253" t="s">
        <v>77</v>
      </c>
      <c r="AY30" s="254" t="s">
        <v>77</v>
      </c>
      <c r="AZ30" s="253" t="s">
        <v>77</v>
      </c>
      <c r="BA30" s="254" t="s">
        <v>77</v>
      </c>
      <c r="BB30" s="252"/>
      <c r="BC30" s="519" t="s">
        <v>77</v>
      </c>
      <c r="BD30" s="521" t="s">
        <v>77</v>
      </c>
      <c r="JS30" s="5"/>
    </row>
    <row r="31" spans="1:279" s="1" customFormat="1" ht="15" customHeight="1">
      <c r="A31" s="1140">
        <v>7</v>
      </c>
      <c r="B31" s="1143" t="s">
        <v>58</v>
      </c>
      <c r="C31" s="69" t="s">
        <v>33</v>
      </c>
      <c r="D31" s="196" t="s">
        <v>178</v>
      </c>
      <c r="E31" s="606"/>
      <c r="F31" s="607"/>
      <c r="G31" s="615" t="s">
        <v>178</v>
      </c>
      <c r="H31" s="608"/>
      <c r="I31" s="606"/>
      <c r="J31" s="607"/>
      <c r="K31" s="606"/>
      <c r="L31" s="607" t="s">
        <v>178</v>
      </c>
      <c r="M31" s="606"/>
      <c r="N31" s="607"/>
      <c r="O31" s="606"/>
      <c r="P31" s="607"/>
      <c r="Q31" s="248" t="s">
        <v>935</v>
      </c>
      <c r="R31" s="249" t="s">
        <v>935</v>
      </c>
      <c r="S31" s="248" t="s">
        <v>935</v>
      </c>
      <c r="T31" s="98" t="s">
        <v>935</v>
      </c>
      <c r="U31" s="98" t="s">
        <v>935</v>
      </c>
      <c r="V31" s="248" t="s">
        <v>1008</v>
      </c>
      <c r="W31" s="98" t="s">
        <v>1008</v>
      </c>
      <c r="X31" s="1053" t="s">
        <v>346</v>
      </c>
      <c r="Y31" s="248" t="s">
        <v>1008</v>
      </c>
      <c r="Z31" s="249" t="s">
        <v>1008</v>
      </c>
      <c r="AA31" s="248" t="s">
        <v>935</v>
      </c>
      <c r="AB31" s="249" t="s">
        <v>935</v>
      </c>
      <c r="AC31" s="675" t="s">
        <v>935</v>
      </c>
      <c r="AD31" s="675" t="s">
        <v>935</v>
      </c>
      <c r="AE31" s="966" t="s">
        <v>346</v>
      </c>
      <c r="AF31" s="967" t="s">
        <v>346</v>
      </c>
      <c r="AG31" s="966" t="s">
        <v>346</v>
      </c>
      <c r="AH31" s="967" t="s">
        <v>346</v>
      </c>
      <c r="AI31" s="1154" t="s">
        <v>346</v>
      </c>
      <c r="AJ31" s="1157" t="s">
        <v>346</v>
      </c>
      <c r="AK31" s="966" t="s">
        <v>346</v>
      </c>
      <c r="AL31" s="967" t="s">
        <v>346</v>
      </c>
      <c r="AM31" s="509" t="s">
        <v>78</v>
      </c>
      <c r="AN31" s="1157" t="s">
        <v>178</v>
      </c>
      <c r="AO31" s="1053" t="s">
        <v>346</v>
      </c>
      <c r="AP31" s="1154" t="s">
        <v>346</v>
      </c>
      <c r="AQ31" s="1157" t="s">
        <v>346</v>
      </c>
      <c r="AR31" s="606"/>
      <c r="AS31" s="647"/>
      <c r="AT31" s="607"/>
      <c r="AU31" s="606"/>
      <c r="AV31" s="607"/>
      <c r="AW31" s="143" t="s">
        <v>346</v>
      </c>
      <c r="AX31" s="248" t="s">
        <v>935</v>
      </c>
      <c r="AY31" s="249" t="s">
        <v>175</v>
      </c>
      <c r="AZ31" s="1154" t="s">
        <v>346</v>
      </c>
      <c r="BA31" s="1157" t="s">
        <v>346</v>
      </c>
      <c r="BB31" s="551" t="s">
        <v>1011</v>
      </c>
      <c r="BC31" s="1160" t="s">
        <v>346</v>
      </c>
      <c r="BD31" s="1163" t="s">
        <v>346</v>
      </c>
      <c r="JS31" s="5"/>
    </row>
    <row r="32" spans="1:279" s="1" customFormat="1">
      <c r="A32" s="1141"/>
      <c r="B32" s="1144"/>
      <c r="C32" s="69" t="s">
        <v>31</v>
      </c>
      <c r="D32" s="196" t="s">
        <v>178</v>
      </c>
      <c r="E32" s="606"/>
      <c r="F32" s="607"/>
      <c r="G32" s="615" t="s">
        <v>178</v>
      </c>
      <c r="H32" s="608"/>
      <c r="I32" s="606"/>
      <c r="J32" s="607"/>
      <c r="K32" s="606"/>
      <c r="L32" s="607" t="s">
        <v>178</v>
      </c>
      <c r="M32" s="606"/>
      <c r="N32" s="607"/>
      <c r="O32" s="606"/>
      <c r="P32" s="607"/>
      <c r="Q32" s="248" t="s">
        <v>935</v>
      </c>
      <c r="R32" s="249" t="s">
        <v>935</v>
      </c>
      <c r="S32" s="248" t="s">
        <v>935</v>
      </c>
      <c r="T32" s="98" t="s">
        <v>935</v>
      </c>
      <c r="U32" s="98" t="s">
        <v>935</v>
      </c>
      <c r="V32" s="248" t="s">
        <v>1008</v>
      </c>
      <c r="W32" s="98" t="s">
        <v>1008</v>
      </c>
      <c r="X32" s="1054"/>
      <c r="Y32" s="248" t="s">
        <v>1008</v>
      </c>
      <c r="Z32" s="249" t="s">
        <v>1008</v>
      </c>
      <c r="AA32" s="248" t="s">
        <v>935</v>
      </c>
      <c r="AB32" s="249" t="s">
        <v>935</v>
      </c>
      <c r="AC32" s="675" t="s">
        <v>935</v>
      </c>
      <c r="AD32" s="675" t="s">
        <v>935</v>
      </c>
      <c r="AE32" s="966"/>
      <c r="AF32" s="967"/>
      <c r="AG32" s="966"/>
      <c r="AH32" s="967"/>
      <c r="AI32" s="1156"/>
      <c r="AJ32" s="1159"/>
      <c r="AK32" s="966"/>
      <c r="AL32" s="967"/>
      <c r="AM32" s="509" t="s">
        <v>565</v>
      </c>
      <c r="AN32" s="1159"/>
      <c r="AO32" s="1054"/>
      <c r="AP32" s="1155"/>
      <c r="AQ32" s="1158"/>
      <c r="AR32" s="606"/>
      <c r="AS32" s="647"/>
      <c r="AT32" s="607"/>
      <c r="AU32" s="606"/>
      <c r="AV32" s="607"/>
      <c r="AW32" s="143" t="s">
        <v>346</v>
      </c>
      <c r="AX32" s="248" t="s">
        <v>935</v>
      </c>
      <c r="AY32" s="249" t="s">
        <v>1122</v>
      </c>
      <c r="AZ32" s="1155"/>
      <c r="BA32" s="1158"/>
      <c r="BB32" s="551" t="s">
        <v>1008</v>
      </c>
      <c r="BC32" s="1161"/>
      <c r="BD32" s="1164"/>
      <c r="JS32" s="5"/>
    </row>
    <row r="33" spans="1:279" s="1" customFormat="1">
      <c r="A33" s="1142"/>
      <c r="B33" s="1145"/>
      <c r="C33" s="69" t="s">
        <v>0</v>
      </c>
      <c r="D33" s="196" t="s">
        <v>178</v>
      </c>
      <c r="E33" s="606"/>
      <c r="F33" s="607"/>
      <c r="G33" s="615" t="s">
        <v>178</v>
      </c>
      <c r="H33" s="608"/>
      <c r="I33" s="606"/>
      <c r="J33" s="607"/>
      <c r="K33" s="606"/>
      <c r="L33" s="607" t="s">
        <v>178</v>
      </c>
      <c r="M33" s="606"/>
      <c r="N33" s="607"/>
      <c r="O33" s="606"/>
      <c r="P33" s="607"/>
      <c r="Q33" s="248" t="s">
        <v>935</v>
      </c>
      <c r="R33" s="249" t="s">
        <v>935</v>
      </c>
      <c r="S33" s="248" t="s">
        <v>935</v>
      </c>
      <c r="T33" s="98" t="s">
        <v>935</v>
      </c>
      <c r="U33" s="98" t="s">
        <v>935</v>
      </c>
      <c r="V33" s="248" t="s">
        <v>1008</v>
      </c>
      <c r="W33" s="98" t="s">
        <v>959</v>
      </c>
      <c r="X33" s="1055"/>
      <c r="Y33" s="248" t="s">
        <v>1008</v>
      </c>
      <c r="Z33" s="249" t="s">
        <v>959</v>
      </c>
      <c r="AA33" s="248" t="s">
        <v>935</v>
      </c>
      <c r="AB33" s="249" t="s">
        <v>935</v>
      </c>
      <c r="AC33" s="675" t="s">
        <v>935</v>
      </c>
      <c r="AD33" s="675" t="s">
        <v>935</v>
      </c>
      <c r="AE33" s="471" t="s">
        <v>566</v>
      </c>
      <c r="AF33" s="472" t="s">
        <v>566</v>
      </c>
      <c r="AG33" s="471" t="s">
        <v>566</v>
      </c>
      <c r="AH33" s="472" t="s">
        <v>566</v>
      </c>
      <c r="AI33" s="253" t="s">
        <v>566</v>
      </c>
      <c r="AJ33" s="254" t="s">
        <v>566</v>
      </c>
      <c r="AK33" s="253" t="s">
        <v>566</v>
      </c>
      <c r="AL33" s="254" t="s">
        <v>566</v>
      </c>
      <c r="AM33" s="253" t="s">
        <v>77</v>
      </c>
      <c r="AN33" s="663" t="s">
        <v>872</v>
      </c>
      <c r="AO33" s="1055"/>
      <c r="AP33" s="1156"/>
      <c r="AQ33" s="1159"/>
      <c r="AR33" s="606"/>
      <c r="AS33" s="647"/>
      <c r="AT33" s="607"/>
      <c r="AU33" s="606"/>
      <c r="AV33" s="607"/>
      <c r="AW33" s="158" t="s">
        <v>346</v>
      </c>
      <c r="AX33" s="248" t="s">
        <v>935</v>
      </c>
      <c r="AY33" s="249" t="s">
        <v>77</v>
      </c>
      <c r="AZ33" s="1156"/>
      <c r="BA33" s="1159"/>
      <c r="BB33" s="551" t="s">
        <v>1008</v>
      </c>
      <c r="BC33" s="1162"/>
      <c r="BD33" s="1165"/>
      <c r="JS33" s="5"/>
    </row>
    <row r="34" spans="1:279" s="1" customFormat="1">
      <c r="A34" s="964">
        <v>8</v>
      </c>
      <c r="B34" s="1135" t="s">
        <v>8</v>
      </c>
      <c r="C34" s="69" t="s">
        <v>33</v>
      </c>
      <c r="D34" s="197" t="s">
        <v>175</v>
      </c>
      <c r="E34" s="622" t="s">
        <v>175</v>
      </c>
      <c r="F34" s="623" t="s">
        <v>175</v>
      </c>
      <c r="G34" s="624" t="s">
        <v>175</v>
      </c>
      <c r="H34" s="625" t="s">
        <v>175</v>
      </c>
      <c r="I34" s="622" t="s">
        <v>175</v>
      </c>
      <c r="J34" s="623" t="s">
        <v>175</v>
      </c>
      <c r="K34" s="622" t="s">
        <v>175</v>
      </c>
      <c r="L34" s="623" t="s">
        <v>175</v>
      </c>
      <c r="M34" s="622" t="s">
        <v>175</v>
      </c>
      <c r="N34" s="623" t="s">
        <v>175</v>
      </c>
      <c r="O34" s="622" t="s">
        <v>175</v>
      </c>
      <c r="P34" s="623" t="s">
        <v>175</v>
      </c>
      <c r="Q34" s="364" t="s">
        <v>175</v>
      </c>
      <c r="R34" s="365" t="s">
        <v>175</v>
      </c>
      <c r="S34" s="364" t="s">
        <v>175</v>
      </c>
      <c r="T34" s="99" t="s">
        <v>175</v>
      </c>
      <c r="U34" s="99" t="s">
        <v>175</v>
      </c>
      <c r="V34" s="364" t="s">
        <v>175</v>
      </c>
      <c r="W34" s="99" t="s">
        <v>175</v>
      </c>
      <c r="X34" s="147" t="s">
        <v>175</v>
      </c>
      <c r="Y34" s="364" t="s">
        <v>175</v>
      </c>
      <c r="Z34" s="365" t="s">
        <v>175</v>
      </c>
      <c r="AA34" s="364" t="s">
        <v>175</v>
      </c>
      <c r="AB34" s="365" t="s">
        <v>175</v>
      </c>
      <c r="AC34" s="364" t="s">
        <v>175</v>
      </c>
      <c r="AD34" s="365" t="s">
        <v>175</v>
      </c>
      <c r="AE34" s="364" t="s">
        <v>175</v>
      </c>
      <c r="AF34" s="365" t="s">
        <v>175</v>
      </c>
      <c r="AG34" s="364" t="s">
        <v>175</v>
      </c>
      <c r="AH34" s="365" t="s">
        <v>175</v>
      </c>
      <c r="AI34" s="364" t="s">
        <v>175</v>
      </c>
      <c r="AJ34" s="365" t="s">
        <v>175</v>
      </c>
      <c r="AK34" s="364" t="s">
        <v>175</v>
      </c>
      <c r="AL34" s="365" t="s">
        <v>175</v>
      </c>
      <c r="AM34" s="364" t="s">
        <v>175</v>
      </c>
      <c r="AN34" s="365" t="s">
        <v>175</v>
      </c>
      <c r="AO34" s="147" t="s">
        <v>175</v>
      </c>
      <c r="AP34" s="364" t="s">
        <v>175</v>
      </c>
      <c r="AQ34" s="365" t="s">
        <v>175</v>
      </c>
      <c r="AR34" s="622" t="s">
        <v>175</v>
      </c>
      <c r="AS34" s="652" t="s">
        <v>175</v>
      </c>
      <c r="AT34" s="653" t="s">
        <v>175</v>
      </c>
      <c r="AU34" s="622" t="s">
        <v>175</v>
      </c>
      <c r="AV34" s="623" t="s">
        <v>175</v>
      </c>
      <c r="AW34" s="585" t="s">
        <v>175</v>
      </c>
      <c r="AX34" s="364" t="s">
        <v>175</v>
      </c>
      <c r="AY34" s="365" t="s">
        <v>175</v>
      </c>
      <c r="AZ34" s="364" t="s">
        <v>175</v>
      </c>
      <c r="BA34" s="365" t="s">
        <v>175</v>
      </c>
      <c r="BB34" s="552" t="s">
        <v>264</v>
      </c>
      <c r="BC34" s="527" t="s">
        <v>175</v>
      </c>
      <c r="BD34" s="528" t="s">
        <v>175</v>
      </c>
      <c r="JS34" s="5"/>
    </row>
    <row r="35" spans="1:279" s="1" customFormat="1" ht="24">
      <c r="A35" s="964"/>
      <c r="B35" s="1135"/>
      <c r="C35" s="131" t="s">
        <v>203</v>
      </c>
      <c r="D35" s="198" t="s">
        <v>844</v>
      </c>
      <c r="E35" s="626">
        <v>44858</v>
      </c>
      <c r="F35" s="627">
        <v>44858</v>
      </c>
      <c r="G35" s="628">
        <v>44848</v>
      </c>
      <c r="H35" s="590">
        <v>44859</v>
      </c>
      <c r="I35" s="626">
        <v>44851</v>
      </c>
      <c r="J35" s="627">
        <v>44852</v>
      </c>
      <c r="K35" s="626">
        <v>44858</v>
      </c>
      <c r="L35" s="627">
        <v>44840</v>
      </c>
      <c r="M35" s="626">
        <v>44841</v>
      </c>
      <c r="N35" s="627">
        <v>44862</v>
      </c>
      <c r="O35" s="626">
        <v>44845</v>
      </c>
      <c r="P35" s="627">
        <v>44846</v>
      </c>
      <c r="Q35" s="366">
        <v>44846</v>
      </c>
      <c r="R35" s="367">
        <v>44854</v>
      </c>
      <c r="S35" s="366">
        <v>44841</v>
      </c>
      <c r="T35" s="100">
        <v>44847</v>
      </c>
      <c r="U35" s="100">
        <v>44844</v>
      </c>
      <c r="V35" s="366">
        <v>44848</v>
      </c>
      <c r="W35" s="100">
        <v>44848</v>
      </c>
      <c r="X35" s="148" t="s">
        <v>762</v>
      </c>
      <c r="Y35" s="366">
        <v>44844</v>
      </c>
      <c r="Z35" s="367">
        <v>44846</v>
      </c>
      <c r="AA35" s="366">
        <v>44853</v>
      </c>
      <c r="AB35" s="367">
        <v>44865</v>
      </c>
      <c r="AC35" s="366">
        <v>44859</v>
      </c>
      <c r="AD35" s="367">
        <v>44868</v>
      </c>
      <c r="AE35" s="366" t="s">
        <v>347</v>
      </c>
      <c r="AF35" s="367" t="s">
        <v>348</v>
      </c>
      <c r="AG35" s="366" t="s">
        <v>415</v>
      </c>
      <c r="AH35" s="367" t="s">
        <v>415</v>
      </c>
      <c r="AI35" s="490" t="s">
        <v>348</v>
      </c>
      <c r="AJ35" s="367">
        <v>44866</v>
      </c>
      <c r="AK35" s="490" t="s">
        <v>415</v>
      </c>
      <c r="AL35" s="493" t="s">
        <v>517</v>
      </c>
      <c r="AM35" s="490" t="s">
        <v>348</v>
      </c>
      <c r="AN35" s="493">
        <v>44854</v>
      </c>
      <c r="AO35" s="148" t="s">
        <v>710</v>
      </c>
      <c r="AP35" s="490" t="s">
        <v>512</v>
      </c>
      <c r="AQ35" s="493" t="s">
        <v>415</v>
      </c>
      <c r="AR35" s="626" t="s">
        <v>1572</v>
      </c>
      <c r="AS35" s="62">
        <v>44852</v>
      </c>
      <c r="AT35" s="627">
        <v>44852</v>
      </c>
      <c r="AU35" s="626">
        <v>44841</v>
      </c>
      <c r="AV35" s="627">
        <v>44856</v>
      </c>
      <c r="AW35" s="586">
        <v>44845</v>
      </c>
      <c r="AX35" s="366">
        <v>44862</v>
      </c>
      <c r="AY35" s="367">
        <v>44866</v>
      </c>
      <c r="AZ35" s="490" t="s">
        <v>665</v>
      </c>
      <c r="BA35" s="493" t="s">
        <v>415</v>
      </c>
      <c r="BB35" s="549">
        <v>44867</v>
      </c>
      <c r="BC35" s="529" t="s">
        <v>710</v>
      </c>
      <c r="BD35" s="530">
        <v>44847</v>
      </c>
      <c r="JS35" s="5"/>
    </row>
    <row r="36" spans="1:279" s="1" customFormat="1">
      <c r="A36" s="964"/>
      <c r="B36" s="1135"/>
      <c r="C36" s="131" t="s">
        <v>32</v>
      </c>
      <c r="D36" s="199" t="s">
        <v>845</v>
      </c>
      <c r="E36" s="629">
        <v>9221215</v>
      </c>
      <c r="F36" s="630">
        <v>9221215</v>
      </c>
      <c r="G36" s="631" t="s">
        <v>845</v>
      </c>
      <c r="H36" s="632">
        <v>9221215</v>
      </c>
      <c r="I36" s="629">
        <v>9221215</v>
      </c>
      <c r="J36" s="630">
        <v>9221215</v>
      </c>
      <c r="K36" s="629">
        <v>9221215</v>
      </c>
      <c r="L36" s="630">
        <v>9221215</v>
      </c>
      <c r="M36" s="629">
        <v>9221215</v>
      </c>
      <c r="N36" s="630">
        <v>9221215</v>
      </c>
      <c r="O36" s="629">
        <v>9221215</v>
      </c>
      <c r="P36" s="630">
        <v>9221215</v>
      </c>
      <c r="Q36" s="305" t="s">
        <v>845</v>
      </c>
      <c r="R36" s="303" t="s">
        <v>936</v>
      </c>
      <c r="S36" s="305" t="s">
        <v>845</v>
      </c>
      <c r="T36" s="112" t="s">
        <v>936</v>
      </c>
      <c r="U36" s="112" t="s">
        <v>936</v>
      </c>
      <c r="V36" s="305">
        <v>9221215</v>
      </c>
      <c r="W36" s="112">
        <v>9221215</v>
      </c>
      <c r="X36" s="171" t="s">
        <v>349</v>
      </c>
      <c r="Y36" s="305">
        <v>9221215</v>
      </c>
      <c r="Z36" s="303">
        <v>9221215</v>
      </c>
      <c r="AA36" s="305" t="s">
        <v>845</v>
      </c>
      <c r="AB36" s="303" t="s">
        <v>936</v>
      </c>
      <c r="AC36" s="305" t="s">
        <v>845</v>
      </c>
      <c r="AD36" s="303" t="s">
        <v>936</v>
      </c>
      <c r="AE36" s="305" t="s">
        <v>349</v>
      </c>
      <c r="AF36" s="303" t="s">
        <v>349</v>
      </c>
      <c r="AG36" s="305" t="s">
        <v>349</v>
      </c>
      <c r="AH36" s="303" t="s">
        <v>349</v>
      </c>
      <c r="AI36" s="305" t="s">
        <v>349</v>
      </c>
      <c r="AJ36" s="303" t="s">
        <v>349</v>
      </c>
      <c r="AK36" s="305" t="s">
        <v>349</v>
      </c>
      <c r="AL36" s="303" t="s">
        <v>349</v>
      </c>
      <c r="AM36" s="305" t="s">
        <v>349</v>
      </c>
      <c r="AN36" s="303" t="s">
        <v>349</v>
      </c>
      <c r="AO36" s="171" t="s">
        <v>349</v>
      </c>
      <c r="AP36" s="305" t="s">
        <v>349</v>
      </c>
      <c r="AQ36" s="303" t="s">
        <v>349</v>
      </c>
      <c r="AR36" s="629">
        <v>9221215</v>
      </c>
      <c r="AS36" s="654">
        <v>9221215</v>
      </c>
      <c r="AT36" s="630">
        <v>9221215</v>
      </c>
      <c r="AU36" s="629">
        <v>9221215</v>
      </c>
      <c r="AV36" s="630">
        <v>9221215</v>
      </c>
      <c r="AW36" s="587" t="s">
        <v>792</v>
      </c>
      <c r="AX36" s="305" t="s">
        <v>845</v>
      </c>
      <c r="AY36" s="303" t="s">
        <v>936</v>
      </c>
      <c r="AZ36" s="305" t="s">
        <v>349</v>
      </c>
      <c r="BA36" s="303" t="s">
        <v>349</v>
      </c>
      <c r="BB36" s="553" t="s">
        <v>845</v>
      </c>
      <c r="BC36" s="531" t="s">
        <v>349</v>
      </c>
      <c r="BD36" s="532" t="s">
        <v>349</v>
      </c>
      <c r="JS36" s="5"/>
    </row>
    <row r="37" spans="1:279" s="1" customFormat="1">
      <c r="A37" s="964"/>
      <c r="B37" s="1135"/>
      <c r="C37" s="69" t="s">
        <v>0</v>
      </c>
      <c r="D37" s="189" t="s">
        <v>77</v>
      </c>
      <c r="E37" s="385" t="s">
        <v>77</v>
      </c>
      <c r="F37" s="418" t="s">
        <v>77</v>
      </c>
      <c r="G37" s="208" t="s">
        <v>77</v>
      </c>
      <c r="H37" s="158" t="s">
        <v>394</v>
      </c>
      <c r="I37" s="385" t="s">
        <v>77</v>
      </c>
      <c r="J37" s="418" t="s">
        <v>77</v>
      </c>
      <c r="K37" s="385" t="s">
        <v>77</v>
      </c>
      <c r="L37" s="418" t="s">
        <v>77</v>
      </c>
      <c r="M37" s="385" t="s">
        <v>77</v>
      </c>
      <c r="N37" s="418" t="s">
        <v>77</v>
      </c>
      <c r="O37" s="385" t="s">
        <v>77</v>
      </c>
      <c r="P37" s="418" t="s">
        <v>77</v>
      </c>
      <c r="Q37" s="253" t="s">
        <v>77</v>
      </c>
      <c r="R37" s="254" t="s">
        <v>77</v>
      </c>
      <c r="S37" s="253" t="s">
        <v>77</v>
      </c>
      <c r="T37" s="113" t="s">
        <v>77</v>
      </c>
      <c r="U37" s="113" t="s">
        <v>77</v>
      </c>
      <c r="V37" s="253" t="s">
        <v>77</v>
      </c>
      <c r="W37" s="113" t="s">
        <v>77</v>
      </c>
      <c r="X37" s="143" t="s">
        <v>77</v>
      </c>
      <c r="Y37" s="253" t="s">
        <v>77</v>
      </c>
      <c r="Z37" s="254" t="s">
        <v>77</v>
      </c>
      <c r="AA37" s="253" t="s">
        <v>77</v>
      </c>
      <c r="AB37" s="254" t="s">
        <v>77</v>
      </c>
      <c r="AC37" s="253" t="s">
        <v>77</v>
      </c>
      <c r="AD37" s="254" t="s">
        <v>77</v>
      </c>
      <c r="AE37" s="253" t="s">
        <v>77</v>
      </c>
      <c r="AF37" s="254" t="s">
        <v>77</v>
      </c>
      <c r="AG37" s="253" t="s">
        <v>77</v>
      </c>
      <c r="AH37" s="254" t="s">
        <v>77</v>
      </c>
      <c r="AI37" s="253" t="s">
        <v>77</v>
      </c>
      <c r="AJ37" s="254" t="s">
        <v>77</v>
      </c>
      <c r="AK37" s="253" t="s">
        <v>77</v>
      </c>
      <c r="AL37" s="254" t="s">
        <v>77</v>
      </c>
      <c r="AM37" s="253" t="s">
        <v>77</v>
      </c>
      <c r="AN37" s="254" t="s">
        <v>77</v>
      </c>
      <c r="AO37" s="143" t="s">
        <v>77</v>
      </c>
      <c r="AP37" s="253" t="s">
        <v>77</v>
      </c>
      <c r="AQ37" s="254" t="s">
        <v>77</v>
      </c>
      <c r="AR37" s="385" t="s">
        <v>77</v>
      </c>
      <c r="AS37" s="30" t="s">
        <v>77</v>
      </c>
      <c r="AT37" s="418" t="s">
        <v>77</v>
      </c>
      <c r="AU37" s="385" t="s">
        <v>77</v>
      </c>
      <c r="AV37" s="418" t="s">
        <v>77</v>
      </c>
      <c r="AW37" s="158" t="s">
        <v>77</v>
      </c>
      <c r="AX37" s="253" t="s">
        <v>77</v>
      </c>
      <c r="AY37" s="254" t="s">
        <v>77</v>
      </c>
      <c r="AZ37" s="253" t="s">
        <v>77</v>
      </c>
      <c r="BA37" s="254" t="s">
        <v>77</v>
      </c>
      <c r="BB37" s="252" t="s">
        <v>77</v>
      </c>
      <c r="BC37" s="519" t="s">
        <v>77</v>
      </c>
      <c r="BD37" s="521" t="s">
        <v>77</v>
      </c>
      <c r="JS37" s="5"/>
    </row>
    <row r="38" spans="1:279" s="1" customFormat="1">
      <c r="A38" s="964">
        <v>9</v>
      </c>
      <c r="B38" s="1135" t="s">
        <v>204</v>
      </c>
      <c r="C38" s="69" t="s">
        <v>33</v>
      </c>
      <c r="D38" s="189" t="s">
        <v>175</v>
      </c>
      <c r="E38" s="1133" t="s">
        <v>175</v>
      </c>
      <c r="F38" s="1134"/>
      <c r="G38" s="208" t="s">
        <v>175</v>
      </c>
      <c r="H38" s="158" t="s">
        <v>175</v>
      </c>
      <c r="I38" s="1133" t="s">
        <v>175</v>
      </c>
      <c r="J38" s="1134"/>
      <c r="K38" s="1133" t="s">
        <v>175</v>
      </c>
      <c r="L38" s="1134"/>
      <c r="M38" s="1133" t="s">
        <v>175</v>
      </c>
      <c r="N38" s="1134"/>
      <c r="O38" s="1133" t="s">
        <v>175</v>
      </c>
      <c r="P38" s="1134"/>
      <c r="Q38" s="998" t="s">
        <v>175</v>
      </c>
      <c r="R38" s="1000"/>
      <c r="S38" s="998" t="s">
        <v>175</v>
      </c>
      <c r="T38" s="999"/>
      <c r="U38" s="1004"/>
      <c r="V38" s="966" t="s">
        <v>175</v>
      </c>
      <c r="W38" s="990"/>
      <c r="X38" s="143" t="s">
        <v>175</v>
      </c>
      <c r="Y38" s="966" t="s">
        <v>175</v>
      </c>
      <c r="Z38" s="967"/>
      <c r="AA38" s="966" t="s">
        <v>175</v>
      </c>
      <c r="AB38" s="967"/>
      <c r="AC38" s="966" t="s">
        <v>175</v>
      </c>
      <c r="AD38" s="967"/>
      <c r="AE38" s="966" t="s">
        <v>175</v>
      </c>
      <c r="AF38" s="967"/>
      <c r="AG38" s="966" t="s">
        <v>175</v>
      </c>
      <c r="AH38" s="967"/>
      <c r="AI38" s="966" t="s">
        <v>175</v>
      </c>
      <c r="AJ38" s="967"/>
      <c r="AK38" s="966" t="s">
        <v>175</v>
      </c>
      <c r="AL38" s="967"/>
      <c r="AM38" s="966" t="s">
        <v>175</v>
      </c>
      <c r="AN38" s="967"/>
      <c r="AO38" s="143" t="s">
        <v>175</v>
      </c>
      <c r="AP38" s="966" t="s">
        <v>175</v>
      </c>
      <c r="AQ38" s="967"/>
      <c r="AR38" s="1178" t="s">
        <v>175</v>
      </c>
      <c r="AS38" s="1179"/>
      <c r="AT38" s="1180"/>
      <c r="AU38" s="1133" t="s">
        <v>175</v>
      </c>
      <c r="AV38" s="1134"/>
      <c r="AW38" s="158" t="s">
        <v>175</v>
      </c>
      <c r="AX38" s="966" t="s">
        <v>175</v>
      </c>
      <c r="AY38" s="967"/>
      <c r="AZ38" s="966" t="s">
        <v>175</v>
      </c>
      <c r="BA38" s="967"/>
      <c r="BB38" s="252" t="s">
        <v>175</v>
      </c>
      <c r="BC38" s="1166" t="s">
        <v>175</v>
      </c>
      <c r="BD38" s="1167"/>
      <c r="JS38" s="5"/>
    </row>
    <row r="39" spans="1:279" s="1" customFormat="1" ht="15" customHeight="1">
      <c r="A39" s="964"/>
      <c r="B39" s="1135"/>
      <c r="C39" s="69" t="s">
        <v>9</v>
      </c>
      <c r="D39" s="189" t="s">
        <v>846</v>
      </c>
      <c r="E39" s="1133" t="s">
        <v>251</v>
      </c>
      <c r="F39" s="1134"/>
      <c r="G39" s="208" t="s">
        <v>847</v>
      </c>
      <c r="H39" s="158" t="s">
        <v>1409</v>
      </c>
      <c r="I39" s="1133" t="s">
        <v>1454</v>
      </c>
      <c r="J39" s="1134"/>
      <c r="K39" s="1133" t="s">
        <v>1455</v>
      </c>
      <c r="L39" s="1134"/>
      <c r="M39" s="1133" t="s">
        <v>1456</v>
      </c>
      <c r="N39" s="1134"/>
      <c r="O39" s="1133" t="s">
        <v>1532</v>
      </c>
      <c r="P39" s="1134"/>
      <c r="Q39" s="1009">
        <v>100026274</v>
      </c>
      <c r="R39" s="1202"/>
      <c r="S39" s="1009" t="s">
        <v>1338</v>
      </c>
      <c r="T39" s="1010"/>
      <c r="U39" s="1004"/>
      <c r="V39" s="966" t="s">
        <v>1173</v>
      </c>
      <c r="W39" s="990"/>
      <c r="X39" s="143" t="s">
        <v>763</v>
      </c>
      <c r="Y39" s="966" t="s">
        <v>1244</v>
      </c>
      <c r="Z39" s="967"/>
      <c r="AA39" s="1045">
        <v>62104</v>
      </c>
      <c r="AB39" s="1046"/>
      <c r="AC39" s="1045" t="s">
        <v>1063</v>
      </c>
      <c r="AD39" s="1046"/>
      <c r="AE39" s="966" t="s">
        <v>351</v>
      </c>
      <c r="AF39" s="967"/>
      <c r="AG39" s="966" t="s">
        <v>416</v>
      </c>
      <c r="AH39" s="967"/>
      <c r="AI39" s="966">
        <v>62168</v>
      </c>
      <c r="AJ39" s="967"/>
      <c r="AK39" s="966" t="s">
        <v>518</v>
      </c>
      <c r="AL39" s="967"/>
      <c r="AM39" s="966" t="s">
        <v>568</v>
      </c>
      <c r="AN39" s="967"/>
      <c r="AO39" s="143" t="s">
        <v>901</v>
      </c>
      <c r="AP39" s="966" t="s">
        <v>618</v>
      </c>
      <c r="AQ39" s="967"/>
      <c r="AR39" s="1178" t="s">
        <v>1573</v>
      </c>
      <c r="AS39" s="1179"/>
      <c r="AT39" s="1180"/>
      <c r="AU39" s="1133" t="s">
        <v>1574</v>
      </c>
      <c r="AV39" s="1134"/>
      <c r="AW39" s="158" t="s">
        <v>793</v>
      </c>
      <c r="AX39" s="1045" t="s">
        <v>1123</v>
      </c>
      <c r="AY39" s="1046"/>
      <c r="AZ39" s="966" t="s">
        <v>666</v>
      </c>
      <c r="BA39" s="967"/>
      <c r="BB39" s="252" t="s">
        <v>252</v>
      </c>
      <c r="BC39" s="1166" t="s">
        <v>711</v>
      </c>
      <c r="BD39" s="1167"/>
      <c r="JS39" s="5"/>
    </row>
    <row r="40" spans="1:279" s="1" customFormat="1" ht="15" customHeight="1">
      <c r="A40" s="964"/>
      <c r="B40" s="1135"/>
      <c r="C40" s="69" t="s">
        <v>10</v>
      </c>
      <c r="D40" s="189" t="s">
        <v>350</v>
      </c>
      <c r="E40" s="1133" t="s">
        <v>252</v>
      </c>
      <c r="F40" s="1134"/>
      <c r="G40" s="208" t="s">
        <v>350</v>
      </c>
      <c r="H40" s="158" t="s">
        <v>252</v>
      </c>
      <c r="I40" s="1133" t="s">
        <v>252</v>
      </c>
      <c r="J40" s="1134"/>
      <c r="K40" s="1133" t="s">
        <v>252</v>
      </c>
      <c r="L40" s="1134"/>
      <c r="M40" s="1133" t="s">
        <v>350</v>
      </c>
      <c r="N40" s="1134"/>
      <c r="O40" s="1133" t="s">
        <v>350</v>
      </c>
      <c r="P40" s="1134"/>
      <c r="Q40" s="998" t="s">
        <v>350</v>
      </c>
      <c r="R40" s="1000"/>
      <c r="S40" s="998" t="s">
        <v>1339</v>
      </c>
      <c r="T40" s="999"/>
      <c r="U40" s="1004"/>
      <c r="V40" s="966" t="s">
        <v>252</v>
      </c>
      <c r="W40" s="990"/>
      <c r="X40" s="143" t="s">
        <v>252</v>
      </c>
      <c r="Y40" s="966" t="s">
        <v>252</v>
      </c>
      <c r="Z40" s="967"/>
      <c r="AA40" s="966" t="s">
        <v>937</v>
      </c>
      <c r="AB40" s="967"/>
      <c r="AC40" s="966" t="s">
        <v>1064</v>
      </c>
      <c r="AD40" s="967"/>
      <c r="AE40" s="966" t="s">
        <v>350</v>
      </c>
      <c r="AF40" s="967"/>
      <c r="AG40" s="966" t="s">
        <v>252</v>
      </c>
      <c r="AH40" s="967"/>
      <c r="AI40" s="966" t="s">
        <v>472</v>
      </c>
      <c r="AJ40" s="967"/>
      <c r="AK40" s="966" t="s">
        <v>252</v>
      </c>
      <c r="AL40" s="967"/>
      <c r="AM40" s="966" t="s">
        <v>350</v>
      </c>
      <c r="AN40" s="967"/>
      <c r="AO40" s="143" t="s">
        <v>252</v>
      </c>
      <c r="AP40" s="966" t="s">
        <v>252</v>
      </c>
      <c r="AQ40" s="967"/>
      <c r="AR40" s="1178" t="s">
        <v>350</v>
      </c>
      <c r="AS40" s="1179"/>
      <c r="AT40" s="1180"/>
      <c r="AU40" s="1133" t="s">
        <v>252</v>
      </c>
      <c r="AV40" s="1134"/>
      <c r="AW40" s="158" t="s">
        <v>794</v>
      </c>
      <c r="AX40" s="966" t="s">
        <v>1064</v>
      </c>
      <c r="AY40" s="967"/>
      <c r="AZ40" s="966" t="s">
        <v>252</v>
      </c>
      <c r="BA40" s="967"/>
      <c r="BB40" s="252" t="s">
        <v>1012</v>
      </c>
      <c r="BC40" s="1166" t="s">
        <v>252</v>
      </c>
      <c r="BD40" s="1167"/>
      <c r="JS40" s="5"/>
    </row>
    <row r="41" spans="1:279" s="1" customFormat="1" ht="15" customHeight="1">
      <c r="A41" s="964"/>
      <c r="B41" s="1135"/>
      <c r="C41" s="69" t="s">
        <v>11</v>
      </c>
      <c r="D41" s="189">
        <v>800165804</v>
      </c>
      <c r="E41" s="1133">
        <v>800165804</v>
      </c>
      <c r="F41" s="1134"/>
      <c r="G41" s="208">
        <v>800165804</v>
      </c>
      <c r="H41" s="158">
        <v>800165804</v>
      </c>
      <c r="I41" s="1133">
        <v>800165804</v>
      </c>
      <c r="J41" s="1134"/>
      <c r="K41" s="1133">
        <v>800165804</v>
      </c>
      <c r="L41" s="1134"/>
      <c r="M41" s="1133">
        <v>800165804</v>
      </c>
      <c r="N41" s="1134"/>
      <c r="O41" s="1133">
        <v>800165804</v>
      </c>
      <c r="P41" s="1134"/>
      <c r="Q41" s="998">
        <v>800165804</v>
      </c>
      <c r="R41" s="1000"/>
      <c r="S41" s="998">
        <v>800165804</v>
      </c>
      <c r="T41" s="999"/>
      <c r="U41" s="1004"/>
      <c r="V41" s="966">
        <v>800165804</v>
      </c>
      <c r="W41" s="990"/>
      <c r="X41" s="143" t="s">
        <v>352</v>
      </c>
      <c r="Y41" s="966">
        <v>800165804</v>
      </c>
      <c r="Z41" s="967"/>
      <c r="AA41" s="966">
        <v>800165804</v>
      </c>
      <c r="AB41" s="967"/>
      <c r="AC41" s="966">
        <v>800165804</v>
      </c>
      <c r="AD41" s="967"/>
      <c r="AE41" s="966" t="s">
        <v>352</v>
      </c>
      <c r="AF41" s="967"/>
      <c r="AG41" s="966" t="s">
        <v>418</v>
      </c>
      <c r="AH41" s="967"/>
      <c r="AI41" s="966" t="s">
        <v>418</v>
      </c>
      <c r="AJ41" s="967"/>
      <c r="AK41" s="966" t="s">
        <v>418</v>
      </c>
      <c r="AL41" s="967"/>
      <c r="AM41" s="966" t="s">
        <v>418</v>
      </c>
      <c r="AN41" s="967"/>
      <c r="AO41" s="143" t="s">
        <v>418</v>
      </c>
      <c r="AP41" s="966" t="s">
        <v>418</v>
      </c>
      <c r="AQ41" s="967"/>
      <c r="AR41" s="1178">
        <v>800165804</v>
      </c>
      <c r="AS41" s="1179"/>
      <c r="AT41" s="1180"/>
      <c r="AU41" s="1133">
        <v>800165804</v>
      </c>
      <c r="AV41" s="1134"/>
      <c r="AW41" s="158" t="s">
        <v>352</v>
      </c>
      <c r="AX41" s="966">
        <v>800165804</v>
      </c>
      <c r="AY41" s="967"/>
      <c r="AZ41" s="966" t="s">
        <v>418</v>
      </c>
      <c r="BA41" s="967"/>
      <c r="BB41" s="252">
        <v>800165804</v>
      </c>
      <c r="BC41" s="1166" t="s">
        <v>418</v>
      </c>
      <c r="BD41" s="1167"/>
      <c r="JS41" s="5"/>
    </row>
    <row r="42" spans="1:279" s="1" customFormat="1" ht="15" customHeight="1">
      <c r="A42" s="964"/>
      <c r="B42" s="1135"/>
      <c r="C42" s="69" t="s">
        <v>12</v>
      </c>
      <c r="D42" s="199" t="s">
        <v>848</v>
      </c>
      <c r="E42" s="1133" t="s">
        <v>253</v>
      </c>
      <c r="F42" s="1134"/>
      <c r="G42" s="208" t="s">
        <v>519</v>
      </c>
      <c r="H42" s="158" t="s">
        <v>419</v>
      </c>
      <c r="I42" s="1133" t="s">
        <v>253</v>
      </c>
      <c r="J42" s="1134"/>
      <c r="K42" s="1133" t="s">
        <v>1457</v>
      </c>
      <c r="L42" s="1134"/>
      <c r="M42" s="1133" t="s">
        <v>473</v>
      </c>
      <c r="N42" s="1134"/>
      <c r="O42" s="1133" t="s">
        <v>419</v>
      </c>
      <c r="P42" s="1134"/>
      <c r="Q42" s="998" t="s">
        <v>253</v>
      </c>
      <c r="R42" s="1000"/>
      <c r="S42" s="998" t="s">
        <v>1124</v>
      </c>
      <c r="T42" s="999"/>
      <c r="U42" s="1004"/>
      <c r="V42" s="966" t="s">
        <v>419</v>
      </c>
      <c r="W42" s="990"/>
      <c r="X42" s="143" t="s">
        <v>764</v>
      </c>
      <c r="Y42" s="966" t="s">
        <v>1245</v>
      </c>
      <c r="Z42" s="967"/>
      <c r="AA42" s="966" t="s">
        <v>519</v>
      </c>
      <c r="AB42" s="967"/>
      <c r="AC42" s="966" t="s">
        <v>1065</v>
      </c>
      <c r="AD42" s="967"/>
      <c r="AE42" s="966" t="s">
        <v>420</v>
      </c>
      <c r="AF42" s="967"/>
      <c r="AG42" s="966" t="s">
        <v>419</v>
      </c>
      <c r="AH42" s="967"/>
      <c r="AI42" s="966" t="s">
        <v>473</v>
      </c>
      <c r="AJ42" s="967"/>
      <c r="AK42" s="966" t="s">
        <v>519</v>
      </c>
      <c r="AL42" s="967"/>
      <c r="AM42" s="966" t="s">
        <v>473</v>
      </c>
      <c r="AN42" s="967"/>
      <c r="AO42" s="143" t="s">
        <v>764</v>
      </c>
      <c r="AP42" s="966" t="s">
        <v>253</v>
      </c>
      <c r="AQ42" s="967"/>
      <c r="AR42" s="1178" t="s">
        <v>1575</v>
      </c>
      <c r="AS42" s="1179"/>
      <c r="AT42" s="1180"/>
      <c r="AU42" s="1133" t="s">
        <v>519</v>
      </c>
      <c r="AV42" s="1134"/>
      <c r="AW42" s="158" t="s">
        <v>795</v>
      </c>
      <c r="AX42" s="966" t="s">
        <v>1124</v>
      </c>
      <c r="AY42" s="967"/>
      <c r="AZ42" s="966" t="s">
        <v>253</v>
      </c>
      <c r="BA42" s="967"/>
      <c r="BB42" s="252" t="s">
        <v>1013</v>
      </c>
      <c r="BC42" s="1166" t="s">
        <v>253</v>
      </c>
      <c r="BD42" s="1167"/>
      <c r="JS42" s="5"/>
    </row>
    <row r="43" spans="1:279" s="1" customFormat="1" ht="21" customHeight="1">
      <c r="A43" s="964"/>
      <c r="B43" s="1135"/>
      <c r="C43" s="69" t="s">
        <v>254</v>
      </c>
      <c r="D43" s="200">
        <v>170854680</v>
      </c>
      <c r="E43" s="1138">
        <v>170854681</v>
      </c>
      <c r="F43" s="1139"/>
      <c r="G43" s="633">
        <v>170854680</v>
      </c>
      <c r="H43" s="588">
        <v>170854680</v>
      </c>
      <c r="I43" s="1138">
        <v>170854681</v>
      </c>
      <c r="J43" s="1139"/>
      <c r="K43" s="1138">
        <v>170854681</v>
      </c>
      <c r="L43" s="1139"/>
      <c r="M43" s="1138">
        <v>170854681</v>
      </c>
      <c r="N43" s="1139"/>
      <c r="O43" s="1138">
        <v>170854681</v>
      </c>
      <c r="P43" s="1139"/>
      <c r="Q43" s="985">
        <v>170855000</v>
      </c>
      <c r="R43" s="986"/>
      <c r="S43" s="985">
        <v>170854680.30000001</v>
      </c>
      <c r="T43" s="1011"/>
      <c r="U43" s="1004"/>
      <c r="V43" s="1026" t="s">
        <v>1174</v>
      </c>
      <c r="W43" s="1044"/>
      <c r="X43" s="443">
        <v>170854680.30000001</v>
      </c>
      <c r="Y43" s="1026" t="s">
        <v>1174</v>
      </c>
      <c r="Z43" s="1027"/>
      <c r="AA43" s="1026">
        <v>170854681</v>
      </c>
      <c r="AB43" s="1027"/>
      <c r="AC43" s="1026" t="s">
        <v>1066</v>
      </c>
      <c r="AD43" s="1027"/>
      <c r="AE43" s="1026">
        <v>170854680.30000001</v>
      </c>
      <c r="AF43" s="1027"/>
      <c r="AG43" s="1071" t="s">
        <v>417</v>
      </c>
      <c r="AH43" s="1072"/>
      <c r="AI43" s="1071">
        <v>170854681</v>
      </c>
      <c r="AJ43" s="1072"/>
      <c r="AK43" s="1071">
        <v>170854680.30000001</v>
      </c>
      <c r="AL43" s="1072"/>
      <c r="AM43" s="1071">
        <v>170854680.30000001</v>
      </c>
      <c r="AN43" s="1072"/>
      <c r="AO43" s="443">
        <v>170854680.30000001</v>
      </c>
      <c r="AP43" s="1071">
        <v>170854680.30000001</v>
      </c>
      <c r="AQ43" s="1072"/>
      <c r="AR43" s="1220">
        <v>170854681</v>
      </c>
      <c r="AS43" s="1221"/>
      <c r="AT43" s="1222"/>
      <c r="AU43" s="1138">
        <v>170854681</v>
      </c>
      <c r="AV43" s="1139"/>
      <c r="AW43" s="588" t="s">
        <v>796</v>
      </c>
      <c r="AX43" s="1026" t="s">
        <v>1066</v>
      </c>
      <c r="AY43" s="1027"/>
      <c r="AZ43" s="1071">
        <v>170854680.30000001</v>
      </c>
      <c r="BA43" s="1072"/>
      <c r="BB43" s="554">
        <v>170854681</v>
      </c>
      <c r="BC43" s="1168">
        <v>170854680.30000001</v>
      </c>
      <c r="BD43" s="1169"/>
      <c r="JS43" s="5"/>
    </row>
    <row r="44" spans="1:279" s="1" customFormat="1">
      <c r="A44" s="964"/>
      <c r="B44" s="1135"/>
      <c r="C44" s="69" t="s">
        <v>0</v>
      </c>
      <c r="D44" s="189" t="s">
        <v>77</v>
      </c>
      <c r="E44" s="1133" t="s">
        <v>77</v>
      </c>
      <c r="F44" s="1134"/>
      <c r="G44" s="208" t="s">
        <v>77</v>
      </c>
      <c r="H44" s="158" t="s">
        <v>179</v>
      </c>
      <c r="I44" s="1133" t="s">
        <v>77</v>
      </c>
      <c r="J44" s="1134"/>
      <c r="K44" s="1133" t="s">
        <v>77</v>
      </c>
      <c r="L44" s="1134"/>
      <c r="M44" s="1133" t="s">
        <v>77</v>
      </c>
      <c r="N44" s="1134"/>
      <c r="O44" s="1133" t="s">
        <v>77</v>
      </c>
      <c r="P44" s="1134"/>
      <c r="Q44" s="998" t="s">
        <v>77</v>
      </c>
      <c r="R44" s="1000"/>
      <c r="S44" s="998" t="s">
        <v>77</v>
      </c>
      <c r="T44" s="999"/>
      <c r="U44" s="1004"/>
      <c r="V44" s="966" t="s">
        <v>77</v>
      </c>
      <c r="W44" s="990"/>
      <c r="X44" s="143" t="s">
        <v>77</v>
      </c>
      <c r="Y44" s="966" t="s">
        <v>77</v>
      </c>
      <c r="Z44" s="967"/>
      <c r="AA44" s="966" t="s">
        <v>77</v>
      </c>
      <c r="AB44" s="967"/>
      <c r="AC44" s="966" t="s">
        <v>77</v>
      </c>
      <c r="AD44" s="967"/>
      <c r="AE44" s="966" t="s">
        <v>77</v>
      </c>
      <c r="AF44" s="967"/>
      <c r="AG44" s="966" t="s">
        <v>77</v>
      </c>
      <c r="AH44" s="967"/>
      <c r="AI44" s="966" t="s">
        <v>77</v>
      </c>
      <c r="AJ44" s="967"/>
      <c r="AK44" s="966" t="s">
        <v>77</v>
      </c>
      <c r="AL44" s="967"/>
      <c r="AM44" s="966" t="s">
        <v>77</v>
      </c>
      <c r="AN44" s="967"/>
      <c r="AO44" s="143" t="s">
        <v>77</v>
      </c>
      <c r="AP44" s="966" t="s">
        <v>77</v>
      </c>
      <c r="AQ44" s="967"/>
      <c r="AR44" s="1178" t="s">
        <v>77</v>
      </c>
      <c r="AS44" s="1179"/>
      <c r="AT44" s="1180"/>
      <c r="AU44" s="1133" t="s">
        <v>77</v>
      </c>
      <c r="AV44" s="1134"/>
      <c r="AW44" s="158" t="s">
        <v>77</v>
      </c>
      <c r="AX44" s="966" t="s">
        <v>77</v>
      </c>
      <c r="AY44" s="967"/>
      <c r="AZ44" s="966" t="s">
        <v>77</v>
      </c>
      <c r="BA44" s="967"/>
      <c r="BB44" s="252" t="s">
        <v>77</v>
      </c>
      <c r="BC44" s="1166" t="s">
        <v>77</v>
      </c>
      <c r="BD44" s="1167"/>
      <c r="JS44" s="5"/>
    </row>
    <row r="45" spans="1:279" s="1" customFormat="1">
      <c r="A45" s="1077" t="s">
        <v>17</v>
      </c>
      <c r="B45" s="1135" t="s">
        <v>25</v>
      </c>
      <c r="C45" s="69" t="s">
        <v>33</v>
      </c>
      <c r="D45" s="189" t="s">
        <v>175</v>
      </c>
      <c r="E45" s="385" t="s">
        <v>175</v>
      </c>
      <c r="F45" s="610" t="s">
        <v>175</v>
      </c>
      <c r="G45" s="208" t="s">
        <v>175</v>
      </c>
      <c r="H45" s="605" t="s">
        <v>175</v>
      </c>
      <c r="I45" s="385" t="s">
        <v>175</v>
      </c>
      <c r="J45" s="610" t="s">
        <v>175</v>
      </c>
      <c r="K45" s="385" t="s">
        <v>175</v>
      </c>
      <c r="L45" s="610" t="s">
        <v>175</v>
      </c>
      <c r="M45" s="385" t="s">
        <v>175</v>
      </c>
      <c r="N45" s="610" t="s">
        <v>175</v>
      </c>
      <c r="O45" s="385" t="s">
        <v>175</v>
      </c>
      <c r="P45" s="610" t="s">
        <v>175</v>
      </c>
      <c r="Q45" s="253" t="s">
        <v>175</v>
      </c>
      <c r="R45" s="277" t="s">
        <v>175</v>
      </c>
      <c r="S45" s="253" t="s">
        <v>175</v>
      </c>
      <c r="T45" s="118" t="s">
        <v>175</v>
      </c>
      <c r="U45" s="118" t="s">
        <v>175</v>
      </c>
      <c r="V45" s="253" t="s">
        <v>175</v>
      </c>
      <c r="W45" s="118" t="s">
        <v>175</v>
      </c>
      <c r="X45" s="143" t="s">
        <v>175</v>
      </c>
      <c r="Y45" s="253" t="s">
        <v>175</v>
      </c>
      <c r="Z45" s="277" t="s">
        <v>175</v>
      </c>
      <c r="AA45" s="253" t="s">
        <v>175</v>
      </c>
      <c r="AB45" s="277" t="s">
        <v>175</v>
      </c>
      <c r="AC45" s="253" t="s">
        <v>175</v>
      </c>
      <c r="AD45" s="277" t="s">
        <v>175</v>
      </c>
      <c r="AE45" s="253" t="s">
        <v>175</v>
      </c>
      <c r="AF45" s="277" t="s">
        <v>175</v>
      </c>
      <c r="AG45" s="253" t="s">
        <v>175</v>
      </c>
      <c r="AH45" s="277" t="s">
        <v>175</v>
      </c>
      <c r="AI45" s="253" t="s">
        <v>175</v>
      </c>
      <c r="AJ45" s="277" t="s">
        <v>175</v>
      </c>
      <c r="AK45" s="253" t="s">
        <v>175</v>
      </c>
      <c r="AL45" s="277" t="s">
        <v>175</v>
      </c>
      <c r="AM45" s="253" t="s">
        <v>175</v>
      </c>
      <c r="AN45" s="277" t="s">
        <v>175</v>
      </c>
      <c r="AO45" s="143" t="s">
        <v>175</v>
      </c>
      <c r="AP45" s="253" t="s">
        <v>175</v>
      </c>
      <c r="AQ45" s="277" t="s">
        <v>175</v>
      </c>
      <c r="AR45" s="385" t="s">
        <v>175</v>
      </c>
      <c r="AS45" s="648" t="s">
        <v>175</v>
      </c>
      <c r="AT45" s="610"/>
      <c r="AU45" s="385" t="s">
        <v>175</v>
      </c>
      <c r="AV45" s="610" t="s">
        <v>175</v>
      </c>
      <c r="AW45" s="158" t="s">
        <v>175</v>
      </c>
      <c r="AX45" s="253" t="s">
        <v>175</v>
      </c>
      <c r="AY45" s="277" t="s">
        <v>175</v>
      </c>
      <c r="AZ45" s="253" t="s">
        <v>175</v>
      </c>
      <c r="BA45" s="277" t="s">
        <v>175</v>
      </c>
      <c r="BB45" s="252" t="s">
        <v>175</v>
      </c>
      <c r="BC45" s="519" t="s">
        <v>175</v>
      </c>
      <c r="BD45" s="533" t="s">
        <v>175</v>
      </c>
      <c r="JS45" s="5"/>
    </row>
    <row r="46" spans="1:279" s="1" customFormat="1" ht="186" customHeight="1">
      <c r="A46" s="1077"/>
      <c r="B46" s="1135"/>
      <c r="C46" s="69" t="s">
        <v>13</v>
      </c>
      <c r="D46" s="201" t="s">
        <v>849</v>
      </c>
      <c r="E46" s="634" t="s">
        <v>256</v>
      </c>
      <c r="F46" s="635" t="s">
        <v>256</v>
      </c>
      <c r="G46" s="636" t="s">
        <v>849</v>
      </c>
      <c r="H46" s="589" t="s">
        <v>256</v>
      </c>
      <c r="I46" s="634" t="s">
        <v>256</v>
      </c>
      <c r="J46" s="635" t="s">
        <v>256</v>
      </c>
      <c r="K46" s="634" t="s">
        <v>256</v>
      </c>
      <c r="L46" s="635" t="s">
        <v>256</v>
      </c>
      <c r="M46" s="634" t="s">
        <v>256</v>
      </c>
      <c r="N46" s="635" t="s">
        <v>256</v>
      </c>
      <c r="O46" s="634" t="s">
        <v>256</v>
      </c>
      <c r="P46" s="635" t="s">
        <v>256</v>
      </c>
      <c r="Q46" s="368" t="s">
        <v>256</v>
      </c>
      <c r="R46" s="369" t="s">
        <v>256</v>
      </c>
      <c r="S46" s="368" t="s">
        <v>938</v>
      </c>
      <c r="T46" s="101" t="s">
        <v>256</v>
      </c>
      <c r="U46" s="101" t="s">
        <v>256</v>
      </c>
      <c r="V46" s="368" t="s">
        <v>256</v>
      </c>
      <c r="W46" s="101" t="s">
        <v>1175</v>
      </c>
      <c r="X46" s="151" t="s">
        <v>765</v>
      </c>
      <c r="Y46" s="368" t="s">
        <v>1175</v>
      </c>
      <c r="Z46" s="369" t="s">
        <v>1175</v>
      </c>
      <c r="AA46" s="368" t="s">
        <v>938</v>
      </c>
      <c r="AB46" s="369" t="s">
        <v>256</v>
      </c>
      <c r="AC46" s="368" t="s">
        <v>938</v>
      </c>
      <c r="AD46" s="369" t="s">
        <v>256</v>
      </c>
      <c r="AE46" s="368" t="s">
        <v>353</v>
      </c>
      <c r="AF46" s="369" t="s">
        <v>423</v>
      </c>
      <c r="AG46" s="368" t="s">
        <v>428</v>
      </c>
      <c r="AH46" s="369" t="s">
        <v>422</v>
      </c>
      <c r="AI46" s="368" t="s">
        <v>474</v>
      </c>
      <c r="AJ46" s="369" t="s">
        <v>474</v>
      </c>
      <c r="AK46" s="368" t="s">
        <v>523</v>
      </c>
      <c r="AL46" s="369" t="s">
        <v>520</v>
      </c>
      <c r="AM46" s="368" t="s">
        <v>569</v>
      </c>
      <c r="AN46" s="369" t="s">
        <v>571</v>
      </c>
      <c r="AO46" s="151" t="s">
        <v>902</v>
      </c>
      <c r="AP46" s="368" t="s">
        <v>619</v>
      </c>
      <c r="AQ46" s="369" t="s">
        <v>619</v>
      </c>
      <c r="AR46" s="634" t="s">
        <v>256</v>
      </c>
      <c r="AS46" s="61" t="s">
        <v>256</v>
      </c>
      <c r="AT46" s="635" t="s">
        <v>256</v>
      </c>
      <c r="AU46" s="634" t="s">
        <v>256</v>
      </c>
      <c r="AV46" s="635" t="s">
        <v>256</v>
      </c>
      <c r="AW46" s="589" t="s">
        <v>797</v>
      </c>
      <c r="AX46" s="253" t="s">
        <v>938</v>
      </c>
      <c r="AY46" s="254" t="s">
        <v>256</v>
      </c>
      <c r="AZ46" s="368" t="s">
        <v>667</v>
      </c>
      <c r="BA46" s="369" t="s">
        <v>667</v>
      </c>
      <c r="BB46" s="555" t="s">
        <v>256</v>
      </c>
      <c r="BC46" s="368" t="s">
        <v>749</v>
      </c>
      <c r="BD46" s="369" t="s">
        <v>751</v>
      </c>
      <c r="JS46" s="5"/>
    </row>
    <row r="47" spans="1:279" s="1" customFormat="1">
      <c r="A47" s="1077"/>
      <c r="B47" s="1135"/>
      <c r="C47" s="69" t="s">
        <v>206</v>
      </c>
      <c r="D47" s="189" t="s">
        <v>838</v>
      </c>
      <c r="E47" s="385"/>
      <c r="F47" s="637"/>
      <c r="G47" s="208"/>
      <c r="H47" s="638" t="s">
        <v>177</v>
      </c>
      <c r="I47" s="385" t="s">
        <v>177</v>
      </c>
      <c r="J47" s="637" t="s">
        <v>177</v>
      </c>
      <c r="K47" s="385" t="s">
        <v>177</v>
      </c>
      <c r="L47" s="637" t="s">
        <v>177</v>
      </c>
      <c r="M47" s="385" t="s">
        <v>177</v>
      </c>
      <c r="N47" s="418" t="s">
        <v>177</v>
      </c>
      <c r="O47" s="385" t="s">
        <v>177</v>
      </c>
      <c r="P47" s="418" t="s">
        <v>177</v>
      </c>
      <c r="Q47" s="253"/>
      <c r="R47" s="370"/>
      <c r="S47" s="253" t="s">
        <v>1176</v>
      </c>
      <c r="T47" s="77" t="s">
        <v>1176</v>
      </c>
      <c r="U47" s="77" t="s">
        <v>1176</v>
      </c>
      <c r="V47" s="253" t="s">
        <v>1176</v>
      </c>
      <c r="W47" s="430" t="s">
        <v>1176</v>
      </c>
      <c r="X47" s="143" t="s">
        <v>346</v>
      </c>
      <c r="Y47" s="253" t="s">
        <v>1176</v>
      </c>
      <c r="Z47" s="370" t="s">
        <v>1176</v>
      </c>
      <c r="AA47" s="253"/>
      <c r="AB47" s="370"/>
      <c r="AC47" s="253" t="s">
        <v>457</v>
      </c>
      <c r="AD47" s="254" t="s">
        <v>397</v>
      </c>
      <c r="AE47" s="253" t="s">
        <v>346</v>
      </c>
      <c r="AF47" s="370" t="s">
        <v>356</v>
      </c>
      <c r="AG47" s="253" t="s">
        <v>346</v>
      </c>
      <c r="AH47" s="370" t="s">
        <v>421</v>
      </c>
      <c r="AI47" s="253" t="s">
        <v>346</v>
      </c>
      <c r="AJ47" s="254" t="s">
        <v>346</v>
      </c>
      <c r="AK47" s="253" t="s">
        <v>346</v>
      </c>
      <c r="AL47" s="254" t="s">
        <v>346</v>
      </c>
      <c r="AM47" s="253" t="s">
        <v>346</v>
      </c>
      <c r="AN47" s="254" t="s">
        <v>346</v>
      </c>
      <c r="AO47" s="143" t="s">
        <v>346</v>
      </c>
      <c r="AP47" s="253" t="s">
        <v>346</v>
      </c>
      <c r="AQ47" s="254" t="s">
        <v>346</v>
      </c>
      <c r="AR47" s="385" t="s">
        <v>177</v>
      </c>
      <c r="AS47" s="30" t="s">
        <v>177</v>
      </c>
      <c r="AT47" s="418" t="s">
        <v>177</v>
      </c>
      <c r="AU47" s="385" t="s">
        <v>177</v>
      </c>
      <c r="AV47" s="418" t="s">
        <v>177</v>
      </c>
      <c r="AW47" s="158"/>
      <c r="AX47" s="253" t="s">
        <v>457</v>
      </c>
      <c r="AY47" s="254" t="s">
        <v>397</v>
      </c>
      <c r="AZ47" s="253" t="s">
        <v>346</v>
      </c>
      <c r="BA47" s="254" t="s">
        <v>346</v>
      </c>
      <c r="BB47" s="252"/>
      <c r="BC47" s="519" t="s">
        <v>346</v>
      </c>
      <c r="BD47" s="521" t="s">
        <v>346</v>
      </c>
      <c r="JS47" s="5"/>
    </row>
    <row r="48" spans="1:279" s="1" customFormat="1">
      <c r="A48" s="1077"/>
      <c r="B48" s="1135"/>
      <c r="C48" s="69" t="s">
        <v>205</v>
      </c>
      <c r="D48" s="189" t="s">
        <v>850</v>
      </c>
      <c r="E48" s="385" t="s">
        <v>257</v>
      </c>
      <c r="F48" s="637" t="s">
        <v>260</v>
      </c>
      <c r="G48" s="208" t="s">
        <v>851</v>
      </c>
      <c r="H48" s="638" t="s">
        <v>1410</v>
      </c>
      <c r="I48" s="385" t="s">
        <v>1458</v>
      </c>
      <c r="J48" s="637" t="s">
        <v>668</v>
      </c>
      <c r="K48" s="385" t="s">
        <v>1459</v>
      </c>
      <c r="L48" s="418" t="s">
        <v>1459</v>
      </c>
      <c r="M48" s="385" t="s">
        <v>1460</v>
      </c>
      <c r="N48" s="418" t="s">
        <v>1461</v>
      </c>
      <c r="O48" s="385" t="s">
        <v>1533</v>
      </c>
      <c r="P48" s="418" t="s">
        <v>1534</v>
      </c>
      <c r="Q48" s="253" t="s">
        <v>1299</v>
      </c>
      <c r="R48" s="370" t="s">
        <v>1300</v>
      </c>
      <c r="S48" s="253" t="s">
        <v>1340</v>
      </c>
      <c r="T48" s="77" t="s">
        <v>1341</v>
      </c>
      <c r="U48" s="77" t="s">
        <v>1342</v>
      </c>
      <c r="V48" s="253" t="s">
        <v>1177</v>
      </c>
      <c r="W48" s="430" t="s">
        <v>1178</v>
      </c>
      <c r="X48" s="143" t="s">
        <v>766</v>
      </c>
      <c r="Y48" s="253" t="s">
        <v>1246</v>
      </c>
      <c r="Z48" s="370" t="s">
        <v>1247</v>
      </c>
      <c r="AA48" s="253" t="s">
        <v>939</v>
      </c>
      <c r="AB48" s="370" t="s">
        <v>940</v>
      </c>
      <c r="AC48" s="253" t="s">
        <v>1067</v>
      </c>
      <c r="AD48" s="358" t="s">
        <v>1060</v>
      </c>
      <c r="AE48" s="253" t="s">
        <v>354</v>
      </c>
      <c r="AF48" s="254" t="s">
        <v>346</v>
      </c>
      <c r="AG48" s="253" t="s">
        <v>424</v>
      </c>
      <c r="AH48" s="254" t="s">
        <v>429</v>
      </c>
      <c r="AI48" s="253" t="s">
        <v>476</v>
      </c>
      <c r="AJ48" s="254" t="s">
        <v>475</v>
      </c>
      <c r="AK48" s="253" t="s">
        <v>522</v>
      </c>
      <c r="AL48" s="254" t="s">
        <v>521</v>
      </c>
      <c r="AM48" s="253" t="s">
        <v>570</v>
      </c>
      <c r="AN48" s="254" t="s">
        <v>572</v>
      </c>
      <c r="AO48" s="143" t="s">
        <v>903</v>
      </c>
      <c r="AP48" s="253" t="s">
        <v>620</v>
      </c>
      <c r="AQ48" s="254" t="s">
        <v>621</v>
      </c>
      <c r="AR48" s="385" t="s">
        <v>1576</v>
      </c>
      <c r="AS48" s="30" t="s">
        <v>1577</v>
      </c>
      <c r="AT48" s="418" t="s">
        <v>1578</v>
      </c>
      <c r="AU48" s="385" t="s">
        <v>1579</v>
      </c>
      <c r="AV48" s="418" t="s">
        <v>1580</v>
      </c>
      <c r="AW48" s="158" t="s">
        <v>798</v>
      </c>
      <c r="AX48" s="253" t="s">
        <v>1125</v>
      </c>
      <c r="AY48" s="358" t="s">
        <v>1117</v>
      </c>
      <c r="AZ48" s="253" t="s">
        <v>669</v>
      </c>
      <c r="BA48" s="254" t="s">
        <v>668</v>
      </c>
      <c r="BB48" s="252" t="s">
        <v>1014</v>
      </c>
      <c r="BC48" s="519" t="s">
        <v>750</v>
      </c>
      <c r="BD48" s="521" t="s">
        <v>753</v>
      </c>
      <c r="JS48" s="5"/>
    </row>
    <row r="49" spans="1:279" s="1" customFormat="1" ht="39" customHeight="1">
      <c r="A49" s="1077"/>
      <c r="B49" s="1135"/>
      <c r="C49" s="69" t="s">
        <v>327</v>
      </c>
      <c r="D49" s="189" t="s">
        <v>178</v>
      </c>
      <c r="E49" s="385" t="s">
        <v>258</v>
      </c>
      <c r="F49" s="637" t="s">
        <v>258</v>
      </c>
      <c r="G49" s="208" t="s">
        <v>175</v>
      </c>
      <c r="H49" s="638" t="s">
        <v>425</v>
      </c>
      <c r="I49" s="385" t="s">
        <v>258</v>
      </c>
      <c r="J49" s="637" t="s">
        <v>258</v>
      </c>
      <c r="K49" s="385" t="s">
        <v>258</v>
      </c>
      <c r="L49" s="418" t="s">
        <v>258</v>
      </c>
      <c r="M49" s="385" t="s">
        <v>258</v>
      </c>
      <c r="N49" s="418" t="s">
        <v>258</v>
      </c>
      <c r="O49" s="385" t="s">
        <v>258</v>
      </c>
      <c r="P49" s="418" t="s">
        <v>258</v>
      </c>
      <c r="Q49" s="253" t="s">
        <v>258</v>
      </c>
      <c r="R49" s="370" t="s">
        <v>258</v>
      </c>
      <c r="S49" s="253" t="s">
        <v>258</v>
      </c>
      <c r="T49" s="77" t="s">
        <v>258</v>
      </c>
      <c r="U49" s="77" t="s">
        <v>258</v>
      </c>
      <c r="V49" s="253" t="s">
        <v>258</v>
      </c>
      <c r="W49" s="430" t="s">
        <v>258</v>
      </c>
      <c r="X49" s="143" t="s">
        <v>258</v>
      </c>
      <c r="Y49" s="253" t="s">
        <v>258</v>
      </c>
      <c r="Z49" s="370" t="s">
        <v>258</v>
      </c>
      <c r="AA49" s="253" t="s">
        <v>258</v>
      </c>
      <c r="AB49" s="370" t="s">
        <v>258</v>
      </c>
      <c r="AC49" s="253" t="s">
        <v>258</v>
      </c>
      <c r="AD49" s="358" t="s">
        <v>943</v>
      </c>
      <c r="AE49" s="253" t="s">
        <v>258</v>
      </c>
      <c r="AF49" s="254" t="s">
        <v>346</v>
      </c>
      <c r="AG49" s="253" t="s">
        <v>425</v>
      </c>
      <c r="AH49" s="254" t="s">
        <v>425</v>
      </c>
      <c r="AI49" s="253" t="s">
        <v>258</v>
      </c>
      <c r="AJ49" s="254" t="s">
        <v>425</v>
      </c>
      <c r="AK49" s="253" t="s">
        <v>258</v>
      </c>
      <c r="AL49" s="254" t="s">
        <v>258</v>
      </c>
      <c r="AM49" s="253" t="s">
        <v>258</v>
      </c>
      <c r="AN49" s="254" t="s">
        <v>258</v>
      </c>
      <c r="AO49" s="143" t="s">
        <v>258</v>
      </c>
      <c r="AP49" s="253" t="s">
        <v>258</v>
      </c>
      <c r="AQ49" s="254" t="s">
        <v>258</v>
      </c>
      <c r="AR49" s="385" t="s">
        <v>258</v>
      </c>
      <c r="AS49" s="30" t="s">
        <v>258</v>
      </c>
      <c r="AT49" s="418" t="s">
        <v>258</v>
      </c>
      <c r="AU49" s="385" t="s">
        <v>258</v>
      </c>
      <c r="AV49" s="418" t="s">
        <v>258</v>
      </c>
      <c r="AW49" s="158" t="s">
        <v>258</v>
      </c>
      <c r="AX49" s="253" t="s">
        <v>258</v>
      </c>
      <c r="AY49" s="358" t="s">
        <v>943</v>
      </c>
      <c r="AZ49" s="253" t="s">
        <v>258</v>
      </c>
      <c r="BA49" s="254" t="s">
        <v>258</v>
      </c>
      <c r="BB49" s="252" t="s">
        <v>1015</v>
      </c>
      <c r="BC49" s="519" t="s">
        <v>258</v>
      </c>
      <c r="BD49" s="521" t="s">
        <v>258</v>
      </c>
      <c r="JS49" s="5"/>
    </row>
    <row r="50" spans="1:279" s="1" customFormat="1" ht="24">
      <c r="A50" s="1077"/>
      <c r="B50" s="1135"/>
      <c r="C50" s="69" t="s">
        <v>207</v>
      </c>
      <c r="D50" s="189" t="s">
        <v>178</v>
      </c>
      <c r="E50" s="385" t="s">
        <v>259</v>
      </c>
      <c r="F50" s="637" t="s">
        <v>259</v>
      </c>
      <c r="G50" s="208" t="s">
        <v>175</v>
      </c>
      <c r="H50" s="638" t="s">
        <v>259</v>
      </c>
      <c r="I50" s="385" t="s">
        <v>259</v>
      </c>
      <c r="J50" s="637" t="s">
        <v>259</v>
      </c>
      <c r="K50" s="385" t="s">
        <v>259</v>
      </c>
      <c r="L50" s="418" t="s">
        <v>259</v>
      </c>
      <c r="M50" s="385" t="s">
        <v>259</v>
      </c>
      <c r="N50" s="418" t="s">
        <v>259</v>
      </c>
      <c r="O50" s="385" t="s">
        <v>259</v>
      </c>
      <c r="P50" s="418" t="s">
        <v>259</v>
      </c>
      <c r="Q50" s="253" t="s">
        <v>259</v>
      </c>
      <c r="R50" s="370" t="s">
        <v>259</v>
      </c>
      <c r="S50" s="253" t="s">
        <v>259</v>
      </c>
      <c r="T50" s="77" t="s">
        <v>259</v>
      </c>
      <c r="U50" s="77" t="s">
        <v>259</v>
      </c>
      <c r="V50" s="253" t="s">
        <v>259</v>
      </c>
      <c r="W50" s="430" t="s">
        <v>259</v>
      </c>
      <c r="X50" s="143" t="s">
        <v>426</v>
      </c>
      <c r="Y50" s="253" t="s">
        <v>259</v>
      </c>
      <c r="Z50" s="370" t="s">
        <v>259</v>
      </c>
      <c r="AA50" s="253" t="s">
        <v>259</v>
      </c>
      <c r="AB50" s="358" t="s">
        <v>259</v>
      </c>
      <c r="AC50" s="253" t="s">
        <v>259</v>
      </c>
      <c r="AD50" s="358" t="s">
        <v>943</v>
      </c>
      <c r="AE50" s="253" t="s">
        <v>426</v>
      </c>
      <c r="AF50" s="254" t="s">
        <v>346</v>
      </c>
      <c r="AG50" s="253" t="s">
        <v>426</v>
      </c>
      <c r="AH50" s="254" t="s">
        <v>426</v>
      </c>
      <c r="AI50" s="253" t="s">
        <v>426</v>
      </c>
      <c r="AJ50" s="254" t="s">
        <v>426</v>
      </c>
      <c r="AK50" s="253" t="s">
        <v>426</v>
      </c>
      <c r="AL50" s="254" t="s">
        <v>426</v>
      </c>
      <c r="AM50" s="253" t="s">
        <v>426</v>
      </c>
      <c r="AN50" s="254" t="s">
        <v>426</v>
      </c>
      <c r="AO50" s="143" t="s">
        <v>426</v>
      </c>
      <c r="AP50" s="253" t="s">
        <v>426</v>
      </c>
      <c r="AQ50" s="254" t="s">
        <v>426</v>
      </c>
      <c r="AR50" s="385" t="s">
        <v>259</v>
      </c>
      <c r="AS50" s="30" t="s">
        <v>259</v>
      </c>
      <c r="AT50" s="418" t="s">
        <v>259</v>
      </c>
      <c r="AU50" s="385" t="s">
        <v>259</v>
      </c>
      <c r="AV50" s="418" t="s">
        <v>259</v>
      </c>
      <c r="AW50" s="158" t="s">
        <v>259</v>
      </c>
      <c r="AX50" s="253" t="s">
        <v>259</v>
      </c>
      <c r="AY50" s="358" t="s">
        <v>943</v>
      </c>
      <c r="AZ50" s="253" t="s">
        <v>426</v>
      </c>
      <c r="BA50" s="254" t="s">
        <v>426</v>
      </c>
      <c r="BB50" s="252" t="s">
        <v>1016</v>
      </c>
      <c r="BC50" s="519" t="s">
        <v>426</v>
      </c>
      <c r="BD50" s="521" t="s">
        <v>426</v>
      </c>
      <c r="JS50" s="5"/>
    </row>
    <row r="51" spans="1:279" s="1" customFormat="1" ht="24">
      <c r="A51" s="1077"/>
      <c r="B51" s="1135"/>
      <c r="C51" s="69" t="s">
        <v>208</v>
      </c>
      <c r="D51" s="189" t="s">
        <v>178</v>
      </c>
      <c r="E51" s="385" t="s">
        <v>78</v>
      </c>
      <c r="F51" s="637" t="s">
        <v>78</v>
      </c>
      <c r="G51" s="208" t="s">
        <v>175</v>
      </c>
      <c r="H51" s="638" t="s">
        <v>78</v>
      </c>
      <c r="I51" s="385" t="s">
        <v>78</v>
      </c>
      <c r="J51" s="637" t="s">
        <v>78</v>
      </c>
      <c r="K51" s="385" t="s">
        <v>78</v>
      </c>
      <c r="L51" s="418" t="s">
        <v>78</v>
      </c>
      <c r="M51" s="385" t="s">
        <v>78</v>
      </c>
      <c r="N51" s="418" t="s">
        <v>78</v>
      </c>
      <c r="O51" s="385" t="s">
        <v>78</v>
      </c>
      <c r="P51" s="418" t="s">
        <v>78</v>
      </c>
      <c r="Q51" s="253" t="s">
        <v>78</v>
      </c>
      <c r="R51" s="370" t="s">
        <v>78</v>
      </c>
      <c r="S51" s="253" t="s">
        <v>78</v>
      </c>
      <c r="T51" s="113" t="s">
        <v>78</v>
      </c>
      <c r="U51" s="113" t="s">
        <v>78</v>
      </c>
      <c r="V51" s="253" t="s">
        <v>78</v>
      </c>
      <c r="W51" s="430" t="s">
        <v>78</v>
      </c>
      <c r="X51" s="143" t="s">
        <v>78</v>
      </c>
      <c r="Y51" s="253" t="s">
        <v>78</v>
      </c>
      <c r="Z51" s="370" t="s">
        <v>78</v>
      </c>
      <c r="AA51" s="253" t="s">
        <v>78</v>
      </c>
      <c r="AB51" s="254" t="s">
        <v>78</v>
      </c>
      <c r="AC51" s="253" t="s">
        <v>78</v>
      </c>
      <c r="AD51" s="254" t="s">
        <v>943</v>
      </c>
      <c r="AE51" s="253" t="s">
        <v>78</v>
      </c>
      <c r="AF51" s="254" t="s">
        <v>346</v>
      </c>
      <c r="AG51" s="253" t="s">
        <v>78</v>
      </c>
      <c r="AH51" s="254" t="s">
        <v>78</v>
      </c>
      <c r="AI51" s="253" t="s">
        <v>78</v>
      </c>
      <c r="AJ51" s="254" t="s">
        <v>78</v>
      </c>
      <c r="AK51" s="253" t="s">
        <v>78</v>
      </c>
      <c r="AL51" s="254" t="s">
        <v>78</v>
      </c>
      <c r="AM51" s="253" t="s">
        <v>78</v>
      </c>
      <c r="AN51" s="254" t="s">
        <v>78</v>
      </c>
      <c r="AO51" s="143" t="s">
        <v>78</v>
      </c>
      <c r="AP51" s="253" t="s">
        <v>78</v>
      </c>
      <c r="AQ51" s="254" t="s">
        <v>78</v>
      </c>
      <c r="AR51" s="385" t="s">
        <v>78</v>
      </c>
      <c r="AS51" s="30" t="s">
        <v>78</v>
      </c>
      <c r="AT51" s="418" t="s">
        <v>78</v>
      </c>
      <c r="AU51" s="385" t="s">
        <v>78</v>
      </c>
      <c r="AV51" s="418" t="s">
        <v>78</v>
      </c>
      <c r="AW51" s="158" t="s">
        <v>78</v>
      </c>
      <c r="AX51" s="253" t="s">
        <v>78</v>
      </c>
      <c r="AY51" s="254" t="s">
        <v>943</v>
      </c>
      <c r="AZ51" s="253" t="s">
        <v>78</v>
      </c>
      <c r="BA51" s="254" t="s">
        <v>78</v>
      </c>
      <c r="BB51" s="252" t="s">
        <v>863</v>
      </c>
      <c r="BC51" s="519" t="s">
        <v>78</v>
      </c>
      <c r="BD51" s="521" t="s">
        <v>78</v>
      </c>
      <c r="JS51" s="5"/>
    </row>
    <row r="52" spans="1:279" s="1" customFormat="1" ht="25.5" customHeight="1">
      <c r="A52" s="1077"/>
      <c r="B52" s="1135"/>
      <c r="C52" s="69" t="s">
        <v>14</v>
      </c>
      <c r="D52" s="202">
        <v>44869</v>
      </c>
      <c r="E52" s="626">
        <v>44869</v>
      </c>
      <c r="F52" s="627">
        <v>44869</v>
      </c>
      <c r="G52" s="639">
        <v>44869</v>
      </c>
      <c r="H52" s="590">
        <v>44869</v>
      </c>
      <c r="I52" s="626" t="s">
        <v>1462</v>
      </c>
      <c r="J52" s="627" t="s">
        <v>1463</v>
      </c>
      <c r="K52" s="626" t="s">
        <v>1464</v>
      </c>
      <c r="L52" s="627" t="s">
        <v>1464</v>
      </c>
      <c r="M52" s="626" t="s">
        <v>1465</v>
      </c>
      <c r="N52" s="627" t="s">
        <v>1466</v>
      </c>
      <c r="O52" s="626" t="s">
        <v>1535</v>
      </c>
      <c r="P52" s="627" t="s">
        <v>1536</v>
      </c>
      <c r="Q52" s="366">
        <v>44869</v>
      </c>
      <c r="R52" s="367">
        <v>44869</v>
      </c>
      <c r="S52" s="366">
        <v>44869</v>
      </c>
      <c r="T52" s="100">
        <v>44869</v>
      </c>
      <c r="U52" s="100">
        <v>44869</v>
      </c>
      <c r="V52" s="366">
        <v>44869</v>
      </c>
      <c r="W52" s="100">
        <v>44869</v>
      </c>
      <c r="X52" s="444" t="s">
        <v>767</v>
      </c>
      <c r="Y52" s="366">
        <v>44869</v>
      </c>
      <c r="Z52" s="367">
        <v>44869</v>
      </c>
      <c r="AA52" s="366">
        <v>44869</v>
      </c>
      <c r="AB52" s="367">
        <v>44869</v>
      </c>
      <c r="AC52" s="366">
        <v>44848</v>
      </c>
      <c r="AD52" s="367">
        <v>44869</v>
      </c>
      <c r="AE52" s="366" t="s">
        <v>355</v>
      </c>
      <c r="AF52" s="367" t="s">
        <v>357</v>
      </c>
      <c r="AG52" s="484" t="s">
        <v>427</v>
      </c>
      <c r="AH52" s="485" t="s">
        <v>427</v>
      </c>
      <c r="AI52" s="491" t="s">
        <v>357</v>
      </c>
      <c r="AJ52" s="492" t="s">
        <v>357</v>
      </c>
      <c r="AK52" s="491" t="s">
        <v>357</v>
      </c>
      <c r="AL52" s="492" t="s">
        <v>357</v>
      </c>
      <c r="AM52" s="491" t="s">
        <v>573</v>
      </c>
      <c r="AN52" s="492" t="s">
        <v>573</v>
      </c>
      <c r="AO52" s="444" t="s">
        <v>767</v>
      </c>
      <c r="AP52" s="491" t="s">
        <v>573</v>
      </c>
      <c r="AQ52" s="492" t="s">
        <v>573</v>
      </c>
      <c r="AR52" s="626" t="s">
        <v>1581</v>
      </c>
      <c r="AS52" s="62" t="s">
        <v>1582</v>
      </c>
      <c r="AT52" s="627" t="s">
        <v>1466</v>
      </c>
      <c r="AU52" s="626" t="s">
        <v>1583</v>
      </c>
      <c r="AV52" s="627" t="s">
        <v>1584</v>
      </c>
      <c r="AW52" s="590">
        <v>44859</v>
      </c>
      <c r="AX52" s="366">
        <v>44869</v>
      </c>
      <c r="AY52" s="367">
        <v>44869</v>
      </c>
      <c r="AZ52" s="491" t="s">
        <v>573</v>
      </c>
      <c r="BA52" s="492" t="s">
        <v>573</v>
      </c>
      <c r="BB52" s="550">
        <v>44869</v>
      </c>
      <c r="BC52" s="534" t="s">
        <v>754</v>
      </c>
      <c r="BD52" s="535" t="s">
        <v>752</v>
      </c>
      <c r="JS52" s="5"/>
    </row>
    <row r="53" spans="1:279" s="1" customFormat="1">
      <c r="A53" s="1077"/>
      <c r="B53" s="1135"/>
      <c r="C53" s="69" t="s">
        <v>0</v>
      </c>
      <c r="D53" s="189" t="s">
        <v>77</v>
      </c>
      <c r="E53" s="385" t="s">
        <v>77</v>
      </c>
      <c r="F53" s="418" t="s">
        <v>77</v>
      </c>
      <c r="G53" s="208" t="s">
        <v>77</v>
      </c>
      <c r="H53" s="158" t="s">
        <v>394</v>
      </c>
      <c r="I53" s="385" t="s">
        <v>77</v>
      </c>
      <c r="J53" s="418" t="s">
        <v>77</v>
      </c>
      <c r="K53" s="385" t="s">
        <v>77</v>
      </c>
      <c r="L53" s="418" t="s">
        <v>77</v>
      </c>
      <c r="M53" s="385" t="s">
        <v>77</v>
      </c>
      <c r="N53" s="418" t="s">
        <v>77</v>
      </c>
      <c r="O53" s="385" t="s">
        <v>77</v>
      </c>
      <c r="P53" s="418" t="s">
        <v>77</v>
      </c>
      <c r="Q53" s="253" t="s">
        <v>77</v>
      </c>
      <c r="R53" s="254" t="s">
        <v>77</v>
      </c>
      <c r="S53" s="253" t="s">
        <v>77</v>
      </c>
      <c r="T53" s="113" t="s">
        <v>77</v>
      </c>
      <c r="U53" s="113" t="s">
        <v>77</v>
      </c>
      <c r="V53" s="253" t="s">
        <v>77</v>
      </c>
      <c r="W53" s="113" t="s">
        <v>77</v>
      </c>
      <c r="X53" s="143" t="s">
        <v>77</v>
      </c>
      <c r="Y53" s="253" t="s">
        <v>77</v>
      </c>
      <c r="Z53" s="254" t="s">
        <v>77</v>
      </c>
      <c r="AA53" s="253" t="s">
        <v>77</v>
      </c>
      <c r="AB53" s="254" t="s">
        <v>77</v>
      </c>
      <c r="AC53" s="253" t="s">
        <v>77</v>
      </c>
      <c r="AD53" s="254" t="s">
        <v>77</v>
      </c>
      <c r="AE53" s="253" t="s">
        <v>77</v>
      </c>
      <c r="AF53" s="254" t="s">
        <v>77</v>
      </c>
      <c r="AG53" s="253" t="s">
        <v>77</v>
      </c>
      <c r="AH53" s="254" t="s">
        <v>77</v>
      </c>
      <c r="AI53" s="253" t="s">
        <v>77</v>
      </c>
      <c r="AJ53" s="254" t="s">
        <v>77</v>
      </c>
      <c r="AK53" s="253" t="s">
        <v>77</v>
      </c>
      <c r="AL53" s="254" t="s">
        <v>77</v>
      </c>
      <c r="AM53" s="253" t="s">
        <v>77</v>
      </c>
      <c r="AN53" s="254" t="s">
        <v>77</v>
      </c>
      <c r="AO53" s="143" t="s">
        <v>77</v>
      </c>
      <c r="AP53" s="253" t="s">
        <v>77</v>
      </c>
      <c r="AQ53" s="254" t="s">
        <v>77</v>
      </c>
      <c r="AR53" s="385" t="s">
        <v>77</v>
      </c>
      <c r="AS53" s="30" t="s">
        <v>77</v>
      </c>
      <c r="AT53" s="418" t="s">
        <v>77</v>
      </c>
      <c r="AU53" s="385" t="s">
        <v>77</v>
      </c>
      <c r="AV53" s="418" t="s">
        <v>77</v>
      </c>
      <c r="AW53" s="158" t="s">
        <v>77</v>
      </c>
      <c r="AX53" s="253" t="s">
        <v>77</v>
      </c>
      <c r="AY53" s="254" t="s">
        <v>77</v>
      </c>
      <c r="AZ53" s="253" t="s">
        <v>77</v>
      </c>
      <c r="BA53" s="254" t="s">
        <v>77</v>
      </c>
      <c r="BB53" s="252" t="s">
        <v>77</v>
      </c>
      <c r="BC53" s="519" t="s">
        <v>77</v>
      </c>
      <c r="BD53" s="521" t="s">
        <v>77</v>
      </c>
      <c r="JS53" s="5"/>
    </row>
    <row r="54" spans="1:279" s="1" customFormat="1">
      <c r="A54" s="1077" t="s">
        <v>161</v>
      </c>
      <c r="B54" s="1135" t="s">
        <v>15</v>
      </c>
      <c r="C54" s="69" t="s">
        <v>33</v>
      </c>
      <c r="D54" s="189" t="s">
        <v>175</v>
      </c>
      <c r="E54" s="385" t="s">
        <v>175</v>
      </c>
      <c r="F54" s="616" t="s">
        <v>175</v>
      </c>
      <c r="G54" s="208" t="s">
        <v>175</v>
      </c>
      <c r="H54" s="617" t="s">
        <v>175</v>
      </c>
      <c r="I54" s="385" t="s">
        <v>175</v>
      </c>
      <c r="J54" s="616" t="s">
        <v>175</v>
      </c>
      <c r="K54" s="385" t="s">
        <v>175</v>
      </c>
      <c r="L54" s="616" t="s">
        <v>175</v>
      </c>
      <c r="M54" s="385" t="s">
        <v>175</v>
      </c>
      <c r="N54" s="616" t="s">
        <v>175</v>
      </c>
      <c r="O54" s="385" t="s">
        <v>175</v>
      </c>
      <c r="P54" s="616" t="s">
        <v>175</v>
      </c>
      <c r="Q54" s="253" t="s">
        <v>175</v>
      </c>
      <c r="R54" s="259" t="s">
        <v>175</v>
      </c>
      <c r="S54" s="253" t="s">
        <v>175</v>
      </c>
      <c r="T54" s="118" t="s">
        <v>175</v>
      </c>
      <c r="U54" s="118" t="s">
        <v>175</v>
      </c>
      <c r="V54" s="253" t="s">
        <v>175</v>
      </c>
      <c r="W54" s="71" t="s">
        <v>175</v>
      </c>
      <c r="X54" s="143" t="s">
        <v>175</v>
      </c>
      <c r="Y54" s="253" t="s">
        <v>175</v>
      </c>
      <c r="Z54" s="259" t="s">
        <v>175</v>
      </c>
      <c r="AA54" s="253" t="s">
        <v>175</v>
      </c>
      <c r="AB54" s="277" t="s">
        <v>175</v>
      </c>
      <c r="AC54" s="253" t="s">
        <v>175</v>
      </c>
      <c r="AD54" s="277" t="s">
        <v>175</v>
      </c>
      <c r="AE54" s="253" t="s">
        <v>175</v>
      </c>
      <c r="AF54" s="259" t="s">
        <v>175</v>
      </c>
      <c r="AG54" s="253" t="s">
        <v>175</v>
      </c>
      <c r="AH54" s="277" t="s">
        <v>175</v>
      </c>
      <c r="AI54" s="658" t="s">
        <v>175</v>
      </c>
      <c r="AJ54" s="277" t="s">
        <v>175</v>
      </c>
      <c r="AK54" s="253" t="s">
        <v>175</v>
      </c>
      <c r="AL54" s="277" t="s">
        <v>175</v>
      </c>
      <c r="AM54" s="253" t="s">
        <v>175</v>
      </c>
      <c r="AN54" s="277" t="s">
        <v>175</v>
      </c>
      <c r="AO54" s="143" t="s">
        <v>175</v>
      </c>
      <c r="AP54" s="253" t="s">
        <v>175</v>
      </c>
      <c r="AQ54" s="277" t="s">
        <v>175</v>
      </c>
      <c r="AR54" s="385" t="s">
        <v>175</v>
      </c>
      <c r="AS54" s="650" t="s">
        <v>175</v>
      </c>
      <c r="AT54" s="616" t="s">
        <v>175</v>
      </c>
      <c r="AU54" s="385" t="s">
        <v>175</v>
      </c>
      <c r="AV54" s="616" t="s">
        <v>175</v>
      </c>
      <c r="AW54" s="158" t="s">
        <v>175</v>
      </c>
      <c r="AX54" s="253" t="s">
        <v>175</v>
      </c>
      <c r="AY54" s="277" t="s">
        <v>175</v>
      </c>
      <c r="AZ54" s="253" t="s">
        <v>175</v>
      </c>
      <c r="BA54" s="277" t="s">
        <v>175</v>
      </c>
      <c r="BB54" s="252" t="s">
        <v>264</v>
      </c>
      <c r="BC54" s="519" t="s">
        <v>175</v>
      </c>
      <c r="BD54" s="533" t="s">
        <v>175</v>
      </c>
      <c r="JS54" s="5"/>
    </row>
    <row r="55" spans="1:279" s="1" customFormat="1">
      <c r="A55" s="1077"/>
      <c r="B55" s="1135"/>
      <c r="C55" s="69" t="s">
        <v>16</v>
      </c>
      <c r="D55" s="203" t="s">
        <v>852</v>
      </c>
      <c r="E55" s="640" t="s">
        <v>261</v>
      </c>
      <c r="F55" s="641" t="s">
        <v>261</v>
      </c>
      <c r="G55" s="642" t="s">
        <v>852</v>
      </c>
      <c r="H55" s="591" t="s">
        <v>261</v>
      </c>
      <c r="I55" s="640" t="s">
        <v>261</v>
      </c>
      <c r="J55" s="641" t="s">
        <v>261</v>
      </c>
      <c r="K55" s="640" t="s">
        <v>261</v>
      </c>
      <c r="L55" s="641" t="s">
        <v>261</v>
      </c>
      <c r="M55" s="640" t="s">
        <v>261</v>
      </c>
      <c r="N55" s="641" t="s">
        <v>261</v>
      </c>
      <c r="O55" s="640" t="s">
        <v>261</v>
      </c>
      <c r="P55" s="641" t="s">
        <v>261</v>
      </c>
      <c r="Q55" s="371" t="s">
        <v>261</v>
      </c>
      <c r="R55" s="372" t="s">
        <v>261</v>
      </c>
      <c r="S55" s="371" t="s">
        <v>941</v>
      </c>
      <c r="T55" s="102" t="s">
        <v>941</v>
      </c>
      <c r="U55" s="102" t="s">
        <v>941</v>
      </c>
      <c r="V55" s="371" t="s">
        <v>261</v>
      </c>
      <c r="W55" s="102" t="s">
        <v>261</v>
      </c>
      <c r="X55" s="153" t="s">
        <v>261</v>
      </c>
      <c r="Y55" s="371" t="s">
        <v>261</v>
      </c>
      <c r="Z55" s="372" t="s">
        <v>261</v>
      </c>
      <c r="AA55" s="371" t="s">
        <v>941</v>
      </c>
      <c r="AB55" s="372" t="s">
        <v>941</v>
      </c>
      <c r="AC55" s="371" t="s">
        <v>941</v>
      </c>
      <c r="AD55" s="372" t="s">
        <v>941</v>
      </c>
      <c r="AE55" s="371" t="s">
        <v>261</v>
      </c>
      <c r="AF55" s="372" t="s">
        <v>261</v>
      </c>
      <c r="AG55" s="371" t="s">
        <v>261</v>
      </c>
      <c r="AH55" s="372" t="s">
        <v>261</v>
      </c>
      <c r="AI55" s="371" t="s">
        <v>941</v>
      </c>
      <c r="AJ55" s="372" t="s">
        <v>261</v>
      </c>
      <c r="AK55" s="371" t="s">
        <v>261</v>
      </c>
      <c r="AL55" s="372" t="s">
        <v>261</v>
      </c>
      <c r="AM55" s="371" t="s">
        <v>261</v>
      </c>
      <c r="AN55" s="372" t="s">
        <v>261</v>
      </c>
      <c r="AO55" s="153" t="s">
        <v>261</v>
      </c>
      <c r="AP55" s="371" t="s">
        <v>261</v>
      </c>
      <c r="AQ55" s="372" t="s">
        <v>261</v>
      </c>
      <c r="AR55" s="640" t="s">
        <v>261</v>
      </c>
      <c r="AS55" s="63" t="s">
        <v>261</v>
      </c>
      <c r="AT55" s="641" t="s">
        <v>261</v>
      </c>
      <c r="AU55" s="640" t="s">
        <v>261</v>
      </c>
      <c r="AV55" s="641" t="s">
        <v>261</v>
      </c>
      <c r="AW55" s="591" t="s">
        <v>799</v>
      </c>
      <c r="AX55" s="371" t="s">
        <v>941</v>
      </c>
      <c r="AY55" s="372" t="s">
        <v>941</v>
      </c>
      <c r="AZ55" s="371" t="s">
        <v>261</v>
      </c>
      <c r="BA55" s="372" t="s">
        <v>261</v>
      </c>
      <c r="BB55" s="556" t="s">
        <v>1017</v>
      </c>
      <c r="BC55" s="536" t="s">
        <v>261</v>
      </c>
      <c r="BD55" s="537" t="s">
        <v>261</v>
      </c>
      <c r="JS55" s="5"/>
    </row>
    <row r="56" spans="1:279" s="1" customFormat="1">
      <c r="A56" s="1077"/>
      <c r="B56" s="1135"/>
      <c r="C56" s="69" t="s">
        <v>0</v>
      </c>
      <c r="D56" s="189" t="s">
        <v>77</v>
      </c>
      <c r="E56" s="385" t="s">
        <v>77</v>
      </c>
      <c r="F56" s="267" t="s">
        <v>77</v>
      </c>
      <c r="G56" s="208" t="s">
        <v>77</v>
      </c>
      <c r="H56" s="338" t="s">
        <v>77</v>
      </c>
      <c r="I56" s="385" t="s">
        <v>77</v>
      </c>
      <c r="J56" s="267" t="s">
        <v>77</v>
      </c>
      <c r="K56" s="385" t="s">
        <v>77</v>
      </c>
      <c r="L56" s="267" t="s">
        <v>77</v>
      </c>
      <c r="M56" s="385" t="s">
        <v>77</v>
      </c>
      <c r="N56" s="267" t="s">
        <v>77</v>
      </c>
      <c r="O56" s="385" t="s">
        <v>77</v>
      </c>
      <c r="P56" s="267" t="s">
        <v>77</v>
      </c>
      <c r="Q56" s="253" t="s">
        <v>77</v>
      </c>
      <c r="R56" s="279" t="s">
        <v>77</v>
      </c>
      <c r="S56" s="253" t="s">
        <v>77</v>
      </c>
      <c r="T56" s="109" t="s">
        <v>77</v>
      </c>
      <c r="U56" s="109" t="s">
        <v>77</v>
      </c>
      <c r="V56" s="253" t="s">
        <v>77</v>
      </c>
      <c r="W56" s="109" t="s">
        <v>77</v>
      </c>
      <c r="X56" s="143" t="s">
        <v>77</v>
      </c>
      <c r="Y56" s="253" t="s">
        <v>77</v>
      </c>
      <c r="Z56" s="279" t="s">
        <v>77</v>
      </c>
      <c r="AA56" s="253" t="s">
        <v>77</v>
      </c>
      <c r="AB56" s="279" t="s">
        <v>77</v>
      </c>
      <c r="AC56" s="253" t="s">
        <v>77</v>
      </c>
      <c r="AD56" s="279" t="s">
        <v>77</v>
      </c>
      <c r="AE56" s="253" t="s">
        <v>77</v>
      </c>
      <c r="AF56" s="279" t="s">
        <v>77</v>
      </c>
      <c r="AG56" s="253" t="s">
        <v>77</v>
      </c>
      <c r="AH56" s="279" t="s">
        <v>77</v>
      </c>
      <c r="AI56" s="658" t="s">
        <v>77</v>
      </c>
      <c r="AJ56" s="279" t="s">
        <v>77</v>
      </c>
      <c r="AK56" s="253" t="s">
        <v>77</v>
      </c>
      <c r="AL56" s="279" t="s">
        <v>77</v>
      </c>
      <c r="AM56" s="253" t="s">
        <v>77</v>
      </c>
      <c r="AN56" s="279" t="s">
        <v>77</v>
      </c>
      <c r="AO56" s="143" t="s">
        <v>77</v>
      </c>
      <c r="AP56" s="253" t="s">
        <v>77</v>
      </c>
      <c r="AQ56" s="279" t="s">
        <v>77</v>
      </c>
      <c r="AR56" s="385" t="s">
        <v>77</v>
      </c>
      <c r="AS56" s="45" t="s">
        <v>77</v>
      </c>
      <c r="AT56" s="267" t="s">
        <v>77</v>
      </c>
      <c r="AU56" s="385" t="s">
        <v>77</v>
      </c>
      <c r="AV56" s="267" t="s">
        <v>77</v>
      </c>
      <c r="AW56" s="158" t="s">
        <v>77</v>
      </c>
      <c r="AX56" s="253" t="s">
        <v>77</v>
      </c>
      <c r="AY56" s="279" t="s">
        <v>77</v>
      </c>
      <c r="AZ56" s="253" t="s">
        <v>77</v>
      </c>
      <c r="BA56" s="279" t="s">
        <v>77</v>
      </c>
      <c r="BB56" s="252" t="s">
        <v>77</v>
      </c>
      <c r="BC56" s="519" t="s">
        <v>77</v>
      </c>
      <c r="BD56" s="538" t="s">
        <v>77</v>
      </c>
      <c r="JS56" s="5"/>
    </row>
    <row r="57" spans="1:279" s="1" customFormat="1">
      <c r="A57" s="1077" t="s">
        <v>162</v>
      </c>
      <c r="B57" s="1135" t="s">
        <v>89</v>
      </c>
      <c r="C57" s="69" t="s">
        <v>33</v>
      </c>
      <c r="D57" s="189" t="s">
        <v>175</v>
      </c>
      <c r="E57" s="385" t="s">
        <v>175</v>
      </c>
      <c r="F57" s="610" t="s">
        <v>175</v>
      </c>
      <c r="G57" s="208" t="s">
        <v>175</v>
      </c>
      <c r="H57" s="605" t="s">
        <v>175</v>
      </c>
      <c r="I57" s="385" t="s">
        <v>175</v>
      </c>
      <c r="J57" s="610" t="s">
        <v>175</v>
      </c>
      <c r="K57" s="385" t="s">
        <v>175</v>
      </c>
      <c r="L57" s="610" t="s">
        <v>175</v>
      </c>
      <c r="M57" s="385" t="s">
        <v>175</v>
      </c>
      <c r="N57" s="610" t="s">
        <v>175</v>
      </c>
      <c r="O57" s="385" t="s">
        <v>175</v>
      </c>
      <c r="P57" s="610" t="s">
        <v>175</v>
      </c>
      <c r="Q57" s="253" t="s">
        <v>175</v>
      </c>
      <c r="R57" s="277" t="s">
        <v>175</v>
      </c>
      <c r="S57" s="253" t="s">
        <v>175</v>
      </c>
      <c r="T57" s="118" t="s">
        <v>175</v>
      </c>
      <c r="U57" s="118" t="s">
        <v>175</v>
      </c>
      <c r="V57" s="253" t="s">
        <v>175</v>
      </c>
      <c r="W57" s="118" t="s">
        <v>175</v>
      </c>
      <c r="X57" s="143" t="s">
        <v>175</v>
      </c>
      <c r="Y57" s="253" t="s">
        <v>175</v>
      </c>
      <c r="Z57" s="277" t="s">
        <v>175</v>
      </c>
      <c r="AA57" s="253" t="s">
        <v>175</v>
      </c>
      <c r="AB57" s="277" t="s">
        <v>175</v>
      </c>
      <c r="AC57" s="253" t="s">
        <v>175</v>
      </c>
      <c r="AD57" s="277" t="s">
        <v>175</v>
      </c>
      <c r="AE57" s="253" t="s">
        <v>175</v>
      </c>
      <c r="AF57" s="277" t="s">
        <v>175</v>
      </c>
      <c r="AG57" s="253" t="s">
        <v>175</v>
      </c>
      <c r="AH57" s="277" t="s">
        <v>175</v>
      </c>
      <c r="AI57" s="253" t="s">
        <v>175</v>
      </c>
      <c r="AJ57" s="277" t="s">
        <v>175</v>
      </c>
      <c r="AK57" s="253" t="s">
        <v>175</v>
      </c>
      <c r="AL57" s="277" t="s">
        <v>175</v>
      </c>
      <c r="AM57" s="253" t="s">
        <v>175</v>
      </c>
      <c r="AN57" s="277" t="s">
        <v>175</v>
      </c>
      <c r="AO57" s="143" t="s">
        <v>175</v>
      </c>
      <c r="AP57" s="253" t="s">
        <v>175</v>
      </c>
      <c r="AQ57" s="277" t="s">
        <v>175</v>
      </c>
      <c r="AR57" s="385" t="s">
        <v>175</v>
      </c>
      <c r="AS57" s="648" t="s">
        <v>175</v>
      </c>
      <c r="AT57" s="610"/>
      <c r="AU57" s="385" t="s">
        <v>175</v>
      </c>
      <c r="AV57" s="610" t="s">
        <v>175</v>
      </c>
      <c r="AW57" s="158" t="s">
        <v>175</v>
      </c>
      <c r="AX57" s="253" t="s">
        <v>175</v>
      </c>
      <c r="AY57" s="277" t="s">
        <v>175</v>
      </c>
      <c r="AZ57" s="253" t="s">
        <v>175</v>
      </c>
      <c r="BA57" s="277" t="s">
        <v>175</v>
      </c>
      <c r="BB57" s="252" t="s">
        <v>264</v>
      </c>
      <c r="BC57" s="519" t="s">
        <v>175</v>
      </c>
      <c r="BD57" s="533" t="s">
        <v>175</v>
      </c>
      <c r="JS57" s="5"/>
    </row>
    <row r="58" spans="1:279" s="1" customFormat="1" ht="24">
      <c r="A58" s="1121"/>
      <c r="B58" s="1137"/>
      <c r="C58" s="69" t="s">
        <v>209</v>
      </c>
      <c r="D58" s="189" t="s">
        <v>838</v>
      </c>
      <c r="E58" s="385" t="s">
        <v>262</v>
      </c>
      <c r="F58" s="418" t="s">
        <v>262</v>
      </c>
      <c r="G58" s="208" t="s">
        <v>839</v>
      </c>
      <c r="H58" s="158" t="s">
        <v>262</v>
      </c>
      <c r="I58" s="385" t="s">
        <v>262</v>
      </c>
      <c r="J58" s="418" t="s">
        <v>262</v>
      </c>
      <c r="K58" s="385" t="s">
        <v>262</v>
      </c>
      <c r="L58" s="418" t="s">
        <v>262</v>
      </c>
      <c r="M58" s="385" t="s">
        <v>262</v>
      </c>
      <c r="N58" s="418" t="s">
        <v>262</v>
      </c>
      <c r="O58" s="385" t="s">
        <v>262</v>
      </c>
      <c r="P58" s="418" t="s">
        <v>262</v>
      </c>
      <c r="Q58" s="253" t="s">
        <v>262</v>
      </c>
      <c r="R58" s="254" t="s">
        <v>262</v>
      </c>
      <c r="S58" s="253" t="s">
        <v>262</v>
      </c>
      <c r="T58" s="113" t="s">
        <v>262</v>
      </c>
      <c r="U58" s="113" t="s">
        <v>262</v>
      </c>
      <c r="V58" s="253" t="s">
        <v>262</v>
      </c>
      <c r="W58" s="113" t="s">
        <v>262</v>
      </c>
      <c r="X58" s="145" t="s">
        <v>756</v>
      </c>
      <c r="Y58" s="253" t="s">
        <v>262</v>
      </c>
      <c r="Z58" s="254" t="s">
        <v>262</v>
      </c>
      <c r="AA58" s="253" t="s">
        <v>262</v>
      </c>
      <c r="AB58" s="254" t="s">
        <v>262</v>
      </c>
      <c r="AC58" s="253" t="s">
        <v>262</v>
      </c>
      <c r="AD58" s="254" t="s">
        <v>262</v>
      </c>
      <c r="AE58" s="253" t="s">
        <v>358</v>
      </c>
      <c r="AF58" s="254" t="s">
        <v>356</v>
      </c>
      <c r="AG58" s="253" t="s">
        <v>430</v>
      </c>
      <c r="AH58" s="254" t="s">
        <v>421</v>
      </c>
      <c r="AI58" s="253" t="s">
        <v>461</v>
      </c>
      <c r="AJ58" s="254" t="s">
        <v>462</v>
      </c>
      <c r="AK58" s="253" t="s">
        <v>509</v>
      </c>
      <c r="AL58" s="254" t="s">
        <v>508</v>
      </c>
      <c r="AM58" s="253" t="s">
        <v>550</v>
      </c>
      <c r="AN58" s="254" t="s">
        <v>551</v>
      </c>
      <c r="AO58" s="145" t="s">
        <v>897</v>
      </c>
      <c r="AP58" s="253" t="s">
        <v>608</v>
      </c>
      <c r="AQ58" s="254" t="s">
        <v>607</v>
      </c>
      <c r="AR58" s="385" t="s">
        <v>262</v>
      </c>
      <c r="AS58" s="30" t="s">
        <v>262</v>
      </c>
      <c r="AT58" s="418"/>
      <c r="AU58" s="385" t="s">
        <v>262</v>
      </c>
      <c r="AV58" s="418" t="s">
        <v>262</v>
      </c>
      <c r="AW58" s="158" t="s">
        <v>262</v>
      </c>
      <c r="AX58" s="253" t="s">
        <v>1126</v>
      </c>
      <c r="AY58" s="254" t="s">
        <v>1127</v>
      </c>
      <c r="AZ58" s="253" t="s">
        <v>653</v>
      </c>
      <c r="BA58" s="254" t="s">
        <v>654</v>
      </c>
      <c r="BB58" s="252" t="s">
        <v>1018</v>
      </c>
      <c r="BC58" s="519" t="s">
        <v>699</v>
      </c>
      <c r="BD58" s="521" t="s">
        <v>700</v>
      </c>
      <c r="JS58" s="5"/>
    </row>
    <row r="59" spans="1:279" s="1" customFormat="1">
      <c r="A59" s="964">
        <v>13</v>
      </c>
      <c r="B59" s="1135" t="s">
        <v>90</v>
      </c>
      <c r="C59" s="69" t="s">
        <v>33</v>
      </c>
      <c r="D59" s="189" t="s">
        <v>175</v>
      </c>
      <c r="E59" s="385" t="s">
        <v>175</v>
      </c>
      <c r="F59" s="267" t="s">
        <v>264</v>
      </c>
      <c r="G59" s="208" t="s">
        <v>175</v>
      </c>
      <c r="H59" s="338" t="s">
        <v>264</v>
      </c>
      <c r="I59" s="385" t="s">
        <v>175</v>
      </c>
      <c r="J59" s="267" t="s">
        <v>264</v>
      </c>
      <c r="K59" s="385" t="s">
        <v>175</v>
      </c>
      <c r="L59" s="267" t="s">
        <v>264</v>
      </c>
      <c r="M59" s="385" t="s">
        <v>175</v>
      </c>
      <c r="N59" s="267" t="s">
        <v>264</v>
      </c>
      <c r="O59" s="385" t="s">
        <v>175</v>
      </c>
      <c r="P59" s="267" t="s">
        <v>264</v>
      </c>
      <c r="Q59" s="253" t="s">
        <v>175</v>
      </c>
      <c r="R59" s="279" t="s">
        <v>264</v>
      </c>
      <c r="S59" s="253" t="s">
        <v>175</v>
      </c>
      <c r="T59" s="109" t="s">
        <v>264</v>
      </c>
      <c r="U59" s="109" t="s">
        <v>264</v>
      </c>
      <c r="V59" s="253" t="s">
        <v>175</v>
      </c>
      <c r="W59" s="109" t="s">
        <v>264</v>
      </c>
      <c r="X59" s="143" t="s">
        <v>175</v>
      </c>
      <c r="Y59" s="253" t="s">
        <v>175</v>
      </c>
      <c r="Z59" s="279" t="s">
        <v>264</v>
      </c>
      <c r="AA59" s="253" t="s">
        <v>175</v>
      </c>
      <c r="AB59" s="279" t="s">
        <v>264</v>
      </c>
      <c r="AC59" s="253" t="s">
        <v>175</v>
      </c>
      <c r="AD59" s="279" t="s">
        <v>264</v>
      </c>
      <c r="AE59" s="253" t="s">
        <v>175</v>
      </c>
      <c r="AF59" s="279" t="s">
        <v>264</v>
      </c>
      <c r="AG59" s="253" t="s">
        <v>175</v>
      </c>
      <c r="AH59" s="279" t="s">
        <v>264</v>
      </c>
      <c r="AI59" s="253" t="s">
        <v>175</v>
      </c>
      <c r="AJ59" s="279" t="s">
        <v>264</v>
      </c>
      <c r="AK59" s="253" t="s">
        <v>175</v>
      </c>
      <c r="AL59" s="279" t="s">
        <v>264</v>
      </c>
      <c r="AM59" s="253" t="s">
        <v>175</v>
      </c>
      <c r="AN59" s="279" t="s">
        <v>264</v>
      </c>
      <c r="AO59" s="143" t="s">
        <v>175</v>
      </c>
      <c r="AP59" s="253" t="s">
        <v>175</v>
      </c>
      <c r="AQ59" s="279" t="s">
        <v>264</v>
      </c>
      <c r="AR59" s="385" t="s">
        <v>175</v>
      </c>
      <c r="AS59" s="45" t="s">
        <v>264</v>
      </c>
      <c r="AT59" s="267" t="s">
        <v>175</v>
      </c>
      <c r="AU59" s="385" t="s">
        <v>175</v>
      </c>
      <c r="AV59" s="267" t="s">
        <v>264</v>
      </c>
      <c r="AW59" s="158" t="s">
        <v>175</v>
      </c>
      <c r="AX59" s="253" t="s">
        <v>175</v>
      </c>
      <c r="AY59" s="279" t="s">
        <v>264</v>
      </c>
      <c r="AZ59" s="253" t="s">
        <v>175</v>
      </c>
      <c r="BA59" s="279" t="s">
        <v>264</v>
      </c>
      <c r="BB59" s="252" t="s">
        <v>264</v>
      </c>
      <c r="BC59" s="519" t="s">
        <v>175</v>
      </c>
      <c r="BD59" s="538" t="s">
        <v>264</v>
      </c>
      <c r="JS59" s="5"/>
    </row>
    <row r="60" spans="1:279" s="1" customFormat="1" ht="24">
      <c r="A60" s="964"/>
      <c r="B60" s="1135"/>
      <c r="C60" s="69" t="s">
        <v>210</v>
      </c>
      <c r="D60" s="199">
        <v>44867</v>
      </c>
      <c r="E60" s="387">
        <v>44852</v>
      </c>
      <c r="F60" s="643">
        <v>44844</v>
      </c>
      <c r="G60" s="631">
        <v>44866</v>
      </c>
      <c r="H60" s="587">
        <v>44846</v>
      </c>
      <c r="I60" s="387">
        <v>44844</v>
      </c>
      <c r="J60" s="643">
        <v>44845</v>
      </c>
      <c r="K60" s="387">
        <v>44847</v>
      </c>
      <c r="L60" s="643">
        <v>44847</v>
      </c>
      <c r="M60" s="387">
        <v>44866</v>
      </c>
      <c r="N60" s="643" t="s">
        <v>1467</v>
      </c>
      <c r="O60" s="387">
        <v>44847</v>
      </c>
      <c r="P60" s="643">
        <v>44847</v>
      </c>
      <c r="Q60" s="247">
        <v>44868</v>
      </c>
      <c r="R60" s="357">
        <v>44868</v>
      </c>
      <c r="S60" s="247">
        <v>44846</v>
      </c>
      <c r="T60" s="103">
        <v>44847</v>
      </c>
      <c r="U60" s="103">
        <v>44844</v>
      </c>
      <c r="V60" s="247">
        <v>44852</v>
      </c>
      <c r="W60" s="103">
        <v>44840</v>
      </c>
      <c r="X60" s="444">
        <v>44859</v>
      </c>
      <c r="Y60" s="247">
        <v>44857</v>
      </c>
      <c r="Z60" s="357">
        <v>44867</v>
      </c>
      <c r="AA60" s="247">
        <v>44852</v>
      </c>
      <c r="AB60" s="357">
        <v>44865</v>
      </c>
      <c r="AC60" s="247">
        <v>44862</v>
      </c>
      <c r="AD60" s="357">
        <v>44862</v>
      </c>
      <c r="AE60" s="247" t="s">
        <v>359</v>
      </c>
      <c r="AF60" s="357" t="s">
        <v>359</v>
      </c>
      <c r="AG60" s="247" t="s">
        <v>431</v>
      </c>
      <c r="AH60" s="357" t="s">
        <v>431</v>
      </c>
      <c r="AI60" s="491" t="s">
        <v>477</v>
      </c>
      <c r="AJ60" s="492" t="s">
        <v>478</v>
      </c>
      <c r="AK60" s="491">
        <v>44847</v>
      </c>
      <c r="AL60" s="492">
        <v>44854</v>
      </c>
      <c r="AM60" s="491">
        <v>44866</v>
      </c>
      <c r="AN60" s="492">
        <v>44853</v>
      </c>
      <c r="AO60" s="444">
        <v>44865</v>
      </c>
      <c r="AP60" s="491">
        <v>44867</v>
      </c>
      <c r="AQ60" s="492">
        <v>44853</v>
      </c>
      <c r="AR60" s="387">
        <v>44847</v>
      </c>
      <c r="AS60" s="60">
        <v>44866</v>
      </c>
      <c r="AT60" s="643">
        <v>44868</v>
      </c>
      <c r="AU60" s="387">
        <v>44867</v>
      </c>
      <c r="AV60" s="643">
        <v>44867</v>
      </c>
      <c r="AW60" s="587">
        <v>44865</v>
      </c>
      <c r="AX60" s="247">
        <v>44853</v>
      </c>
      <c r="AY60" s="357">
        <v>44853</v>
      </c>
      <c r="AZ60" s="491">
        <v>44867</v>
      </c>
      <c r="BA60" s="492">
        <v>44867</v>
      </c>
      <c r="BB60" s="553">
        <v>44854</v>
      </c>
      <c r="BC60" s="534">
        <v>44866</v>
      </c>
      <c r="BD60" s="535">
        <v>44857</v>
      </c>
      <c r="JS60" s="5"/>
    </row>
    <row r="61" spans="1:279" s="1" customFormat="1" ht="24">
      <c r="A61" s="964"/>
      <c r="B61" s="1135"/>
      <c r="C61" s="69" t="s">
        <v>0</v>
      </c>
      <c r="D61" s="189" t="s">
        <v>77</v>
      </c>
      <c r="E61" s="385" t="s">
        <v>263</v>
      </c>
      <c r="F61" s="418" t="s">
        <v>263</v>
      </c>
      <c r="G61" s="208" t="s">
        <v>77</v>
      </c>
      <c r="H61" s="158" t="s">
        <v>263</v>
      </c>
      <c r="I61" s="385" t="s">
        <v>263</v>
      </c>
      <c r="J61" s="418" t="s">
        <v>263</v>
      </c>
      <c r="K61" s="385" t="s">
        <v>263</v>
      </c>
      <c r="L61" s="418" t="s">
        <v>263</v>
      </c>
      <c r="M61" s="385" t="s">
        <v>263</v>
      </c>
      <c r="N61" s="418" t="s">
        <v>263</v>
      </c>
      <c r="O61" s="385" t="s">
        <v>263</v>
      </c>
      <c r="P61" s="418" t="s">
        <v>263</v>
      </c>
      <c r="Q61" s="253" t="s">
        <v>263</v>
      </c>
      <c r="R61" s="254" t="s">
        <v>263</v>
      </c>
      <c r="S61" s="253" t="s">
        <v>263</v>
      </c>
      <c r="T61" s="113" t="s">
        <v>263</v>
      </c>
      <c r="U61" s="113" t="s">
        <v>263</v>
      </c>
      <c r="V61" s="253" t="s">
        <v>263</v>
      </c>
      <c r="W61" s="113" t="s">
        <v>263</v>
      </c>
      <c r="X61" s="143" t="s">
        <v>768</v>
      </c>
      <c r="Y61" s="253" t="s">
        <v>263</v>
      </c>
      <c r="Z61" s="254" t="s">
        <v>263</v>
      </c>
      <c r="AA61" s="253" t="s">
        <v>263</v>
      </c>
      <c r="AB61" s="254" t="s">
        <v>263</v>
      </c>
      <c r="AC61" s="253" t="s">
        <v>263</v>
      </c>
      <c r="AD61" s="254" t="s">
        <v>263</v>
      </c>
      <c r="AE61" s="253" t="s">
        <v>263</v>
      </c>
      <c r="AF61" s="254" t="s">
        <v>263</v>
      </c>
      <c r="AG61" s="253" t="s">
        <v>263</v>
      </c>
      <c r="AH61" s="254" t="s">
        <v>263</v>
      </c>
      <c r="AI61" s="253" t="s">
        <v>263</v>
      </c>
      <c r="AJ61" s="254" t="s">
        <v>263</v>
      </c>
      <c r="AK61" s="253" t="s">
        <v>263</v>
      </c>
      <c r="AL61" s="254" t="s">
        <v>263</v>
      </c>
      <c r="AM61" s="253" t="s">
        <v>263</v>
      </c>
      <c r="AN61" s="254" t="s">
        <v>263</v>
      </c>
      <c r="AO61" s="143" t="s">
        <v>263</v>
      </c>
      <c r="AP61" s="253" t="s">
        <v>263</v>
      </c>
      <c r="AQ61" s="254" t="s">
        <v>263</v>
      </c>
      <c r="AR61" s="385" t="s">
        <v>263</v>
      </c>
      <c r="AS61" s="30" t="s">
        <v>263</v>
      </c>
      <c r="AT61" s="418" t="s">
        <v>263</v>
      </c>
      <c r="AU61" s="385" t="s">
        <v>263</v>
      </c>
      <c r="AV61" s="418" t="s">
        <v>263</v>
      </c>
      <c r="AW61" s="158" t="s">
        <v>263</v>
      </c>
      <c r="AX61" s="253" t="s">
        <v>263</v>
      </c>
      <c r="AY61" s="254" t="s">
        <v>263</v>
      </c>
      <c r="AZ61" s="253" t="s">
        <v>263</v>
      </c>
      <c r="BA61" s="254" t="s">
        <v>263</v>
      </c>
      <c r="BB61" s="252" t="s">
        <v>1019</v>
      </c>
      <c r="BC61" s="519" t="s">
        <v>263</v>
      </c>
      <c r="BD61" s="521" t="s">
        <v>263</v>
      </c>
      <c r="JS61" s="5"/>
    </row>
    <row r="62" spans="1:279" s="1" customFormat="1">
      <c r="A62" s="964">
        <v>14</v>
      </c>
      <c r="B62" s="1135" t="s">
        <v>91</v>
      </c>
      <c r="C62" s="69" t="s">
        <v>33</v>
      </c>
      <c r="D62" s="189" t="s">
        <v>175</v>
      </c>
      <c r="E62" s="385" t="s">
        <v>175</v>
      </c>
      <c r="F62" s="267" t="s">
        <v>175</v>
      </c>
      <c r="G62" s="208" t="s">
        <v>175</v>
      </c>
      <c r="H62" s="338" t="s">
        <v>175</v>
      </c>
      <c r="I62" s="385" t="s">
        <v>175</v>
      </c>
      <c r="J62" s="267" t="s">
        <v>175</v>
      </c>
      <c r="K62" s="385" t="s">
        <v>175</v>
      </c>
      <c r="L62" s="267" t="s">
        <v>175</v>
      </c>
      <c r="M62" s="385" t="s">
        <v>175</v>
      </c>
      <c r="N62" s="267" t="s">
        <v>175</v>
      </c>
      <c r="O62" s="385" t="s">
        <v>175</v>
      </c>
      <c r="P62" s="267" t="s">
        <v>175</v>
      </c>
      <c r="Q62" s="253" t="s">
        <v>175</v>
      </c>
      <c r="R62" s="279" t="s">
        <v>175</v>
      </c>
      <c r="S62" s="253" t="s">
        <v>175</v>
      </c>
      <c r="T62" s="109" t="s">
        <v>175</v>
      </c>
      <c r="U62" s="109" t="s">
        <v>175</v>
      </c>
      <c r="V62" s="253" t="s">
        <v>175</v>
      </c>
      <c r="W62" s="109" t="s">
        <v>175</v>
      </c>
      <c r="X62" s="143" t="s">
        <v>175</v>
      </c>
      <c r="Y62" s="253" t="s">
        <v>175</v>
      </c>
      <c r="Z62" s="279" t="s">
        <v>175</v>
      </c>
      <c r="AA62" s="253" t="s">
        <v>175</v>
      </c>
      <c r="AB62" s="279" t="s">
        <v>175</v>
      </c>
      <c r="AC62" s="253" t="s">
        <v>175</v>
      </c>
      <c r="AD62" s="279" t="s">
        <v>175</v>
      </c>
      <c r="AE62" s="253" t="s">
        <v>175</v>
      </c>
      <c r="AF62" s="279" t="s">
        <v>175</v>
      </c>
      <c r="AG62" s="253" t="s">
        <v>175</v>
      </c>
      <c r="AH62" s="279" t="s">
        <v>175</v>
      </c>
      <c r="AI62" s="253" t="s">
        <v>175</v>
      </c>
      <c r="AJ62" s="279" t="s">
        <v>175</v>
      </c>
      <c r="AK62" s="253" t="s">
        <v>175</v>
      </c>
      <c r="AL62" s="279" t="s">
        <v>175</v>
      </c>
      <c r="AM62" s="253" t="s">
        <v>175</v>
      </c>
      <c r="AN62" s="279" t="s">
        <v>175</v>
      </c>
      <c r="AO62" s="143" t="s">
        <v>175</v>
      </c>
      <c r="AP62" s="253" t="s">
        <v>175</v>
      </c>
      <c r="AQ62" s="279" t="s">
        <v>175</v>
      </c>
      <c r="AR62" s="385" t="s">
        <v>175</v>
      </c>
      <c r="AS62" s="45" t="s">
        <v>175</v>
      </c>
      <c r="AT62" s="267"/>
      <c r="AU62" s="385" t="s">
        <v>175</v>
      </c>
      <c r="AV62" s="267" t="s">
        <v>175</v>
      </c>
      <c r="AW62" s="158" t="s">
        <v>175</v>
      </c>
      <c r="AX62" s="253" t="s">
        <v>175</v>
      </c>
      <c r="AY62" s="279" t="s">
        <v>175</v>
      </c>
      <c r="AZ62" s="253" t="s">
        <v>175</v>
      </c>
      <c r="BA62" s="279" t="s">
        <v>175</v>
      </c>
      <c r="BB62" s="252" t="s">
        <v>264</v>
      </c>
      <c r="BC62" s="519" t="s">
        <v>175</v>
      </c>
      <c r="BD62" s="538" t="s">
        <v>175</v>
      </c>
      <c r="JS62" s="5"/>
    </row>
    <row r="63" spans="1:279" s="1" customFormat="1" ht="24">
      <c r="A63" s="964"/>
      <c r="B63" s="1135"/>
      <c r="C63" s="69" t="s">
        <v>210</v>
      </c>
      <c r="D63" s="199">
        <v>44867</v>
      </c>
      <c r="E63" s="387">
        <v>44852</v>
      </c>
      <c r="F63" s="643">
        <v>44844</v>
      </c>
      <c r="G63" s="631">
        <v>44866</v>
      </c>
      <c r="H63" s="587">
        <v>44846</v>
      </c>
      <c r="I63" s="387">
        <v>44853</v>
      </c>
      <c r="J63" s="643">
        <v>44845</v>
      </c>
      <c r="K63" s="387">
        <v>44853</v>
      </c>
      <c r="L63" s="643">
        <v>44847</v>
      </c>
      <c r="M63" s="387">
        <v>44866</v>
      </c>
      <c r="N63" s="643" t="s">
        <v>1467</v>
      </c>
      <c r="O63" s="387">
        <v>44847</v>
      </c>
      <c r="P63" s="643">
        <v>44847</v>
      </c>
      <c r="Q63" s="247">
        <v>44868</v>
      </c>
      <c r="R63" s="357">
        <v>44867</v>
      </c>
      <c r="S63" s="247">
        <v>44846</v>
      </c>
      <c r="T63" s="103">
        <v>44847</v>
      </c>
      <c r="U63" s="103">
        <v>44844</v>
      </c>
      <c r="V63" s="247">
        <v>44840</v>
      </c>
      <c r="W63" s="103">
        <v>44852</v>
      </c>
      <c r="X63" s="444">
        <v>44858</v>
      </c>
      <c r="Y63" s="247">
        <v>44857</v>
      </c>
      <c r="Z63" s="357">
        <v>44867</v>
      </c>
      <c r="AA63" s="247">
        <v>44852</v>
      </c>
      <c r="AB63" s="357">
        <v>44865</v>
      </c>
      <c r="AC63" s="247">
        <v>44862</v>
      </c>
      <c r="AD63" s="357">
        <v>44862</v>
      </c>
      <c r="AE63" s="247" t="s">
        <v>359</v>
      </c>
      <c r="AF63" s="357" t="s">
        <v>359</v>
      </c>
      <c r="AG63" s="247" t="s">
        <v>431</v>
      </c>
      <c r="AH63" s="357" t="s">
        <v>431</v>
      </c>
      <c r="AI63" s="247">
        <v>44868</v>
      </c>
      <c r="AJ63" s="357">
        <v>44866</v>
      </c>
      <c r="AK63" s="491">
        <v>44847</v>
      </c>
      <c r="AL63" s="492">
        <v>44854</v>
      </c>
      <c r="AM63" s="491">
        <v>44866</v>
      </c>
      <c r="AN63" s="492">
        <v>44853</v>
      </c>
      <c r="AO63" s="444">
        <v>44865</v>
      </c>
      <c r="AP63" s="491">
        <v>44867</v>
      </c>
      <c r="AQ63" s="492">
        <v>44853</v>
      </c>
      <c r="AR63" s="387">
        <v>44846</v>
      </c>
      <c r="AS63" s="60">
        <v>44866</v>
      </c>
      <c r="AT63" s="643">
        <v>44868</v>
      </c>
      <c r="AU63" s="387">
        <v>44847</v>
      </c>
      <c r="AV63" s="643">
        <v>44867</v>
      </c>
      <c r="AW63" s="587">
        <v>44865</v>
      </c>
      <c r="AX63" s="247">
        <v>44853</v>
      </c>
      <c r="AY63" s="357">
        <v>44853</v>
      </c>
      <c r="AZ63" s="491">
        <v>44867</v>
      </c>
      <c r="BA63" s="492">
        <v>44867</v>
      </c>
      <c r="BB63" s="553">
        <v>44854</v>
      </c>
      <c r="BC63" s="534">
        <v>44866</v>
      </c>
      <c r="BD63" s="535">
        <v>44857</v>
      </c>
      <c r="JS63" s="5"/>
    </row>
    <row r="64" spans="1:279" s="1" customFormat="1">
      <c r="A64" s="964"/>
      <c r="B64" s="1135"/>
      <c r="C64" s="69" t="s">
        <v>0</v>
      </c>
      <c r="D64" s="189" t="s">
        <v>77</v>
      </c>
      <c r="E64" s="385" t="s">
        <v>77</v>
      </c>
      <c r="F64" s="267" t="s">
        <v>77</v>
      </c>
      <c r="G64" s="208" t="s">
        <v>77</v>
      </c>
      <c r="H64" s="338" t="s">
        <v>77</v>
      </c>
      <c r="I64" s="385" t="s">
        <v>77</v>
      </c>
      <c r="J64" s="267" t="s">
        <v>77</v>
      </c>
      <c r="K64" s="385" t="s">
        <v>77</v>
      </c>
      <c r="L64" s="267" t="s">
        <v>77</v>
      </c>
      <c r="M64" s="385" t="s">
        <v>77</v>
      </c>
      <c r="N64" s="267" t="s">
        <v>77</v>
      </c>
      <c r="O64" s="385" t="s">
        <v>77</v>
      </c>
      <c r="P64" s="267" t="s">
        <v>77</v>
      </c>
      <c r="Q64" s="253" t="s">
        <v>77</v>
      </c>
      <c r="R64" s="279" t="s">
        <v>77</v>
      </c>
      <c r="S64" s="253" t="s">
        <v>77</v>
      </c>
      <c r="T64" s="109" t="s">
        <v>77</v>
      </c>
      <c r="U64" s="109" t="s">
        <v>77</v>
      </c>
      <c r="V64" s="253" t="s">
        <v>77</v>
      </c>
      <c r="W64" s="109" t="s">
        <v>77</v>
      </c>
      <c r="X64" s="143" t="s">
        <v>77</v>
      </c>
      <c r="Y64" s="253" t="s">
        <v>77</v>
      </c>
      <c r="Z64" s="279" t="s">
        <v>77</v>
      </c>
      <c r="AA64" s="253" t="s">
        <v>77</v>
      </c>
      <c r="AB64" s="279" t="s">
        <v>77</v>
      </c>
      <c r="AC64" s="253" t="s">
        <v>77</v>
      </c>
      <c r="AD64" s="279" t="s">
        <v>77</v>
      </c>
      <c r="AE64" s="253" t="s">
        <v>77</v>
      </c>
      <c r="AF64" s="279" t="s">
        <v>77</v>
      </c>
      <c r="AG64" s="253" t="s">
        <v>77</v>
      </c>
      <c r="AH64" s="279" t="s">
        <v>77</v>
      </c>
      <c r="AI64" s="253" t="s">
        <v>77</v>
      </c>
      <c r="AJ64" s="279" t="s">
        <v>77</v>
      </c>
      <c r="AK64" s="253" t="s">
        <v>77</v>
      </c>
      <c r="AL64" s="279" t="s">
        <v>77</v>
      </c>
      <c r="AM64" s="253" t="s">
        <v>77</v>
      </c>
      <c r="AN64" s="279" t="s">
        <v>77</v>
      </c>
      <c r="AO64" s="143" t="s">
        <v>77</v>
      </c>
      <c r="AP64" s="253" t="s">
        <v>77</v>
      </c>
      <c r="AQ64" s="279" t="s">
        <v>77</v>
      </c>
      <c r="AR64" s="385" t="s">
        <v>77</v>
      </c>
      <c r="AS64" s="45" t="s">
        <v>77</v>
      </c>
      <c r="AT64" s="267"/>
      <c r="AU64" s="385" t="s">
        <v>77</v>
      </c>
      <c r="AV64" s="267" t="s">
        <v>77</v>
      </c>
      <c r="AW64" s="158" t="s">
        <v>263</v>
      </c>
      <c r="AX64" s="253" t="s">
        <v>77</v>
      </c>
      <c r="AY64" s="279" t="s">
        <v>77</v>
      </c>
      <c r="AZ64" s="253" t="s">
        <v>77</v>
      </c>
      <c r="BA64" s="279" t="s">
        <v>77</v>
      </c>
      <c r="BB64" s="252" t="s">
        <v>77</v>
      </c>
      <c r="BC64" s="519" t="s">
        <v>77</v>
      </c>
      <c r="BD64" s="538" t="s">
        <v>77</v>
      </c>
      <c r="JS64" s="5"/>
    </row>
    <row r="65" spans="1:279" s="1" customFormat="1">
      <c r="A65" s="964">
        <v>15</v>
      </c>
      <c r="B65" s="1135" t="s">
        <v>92</v>
      </c>
      <c r="C65" s="69" t="s">
        <v>33</v>
      </c>
      <c r="D65" s="189" t="s">
        <v>175</v>
      </c>
      <c r="E65" s="385" t="s">
        <v>175</v>
      </c>
      <c r="F65" s="267" t="s">
        <v>175</v>
      </c>
      <c r="G65" s="208" t="s">
        <v>175</v>
      </c>
      <c r="H65" s="338" t="s">
        <v>175</v>
      </c>
      <c r="I65" s="385" t="s">
        <v>175</v>
      </c>
      <c r="J65" s="267" t="s">
        <v>175</v>
      </c>
      <c r="K65" s="385" t="s">
        <v>175</v>
      </c>
      <c r="L65" s="267" t="s">
        <v>175</v>
      </c>
      <c r="M65" s="385" t="s">
        <v>175</v>
      </c>
      <c r="N65" s="267" t="s">
        <v>175</v>
      </c>
      <c r="O65" s="385" t="s">
        <v>175</v>
      </c>
      <c r="P65" s="267" t="s">
        <v>175</v>
      </c>
      <c r="Q65" s="253" t="s">
        <v>175</v>
      </c>
      <c r="R65" s="279" t="s">
        <v>175</v>
      </c>
      <c r="S65" s="253" t="s">
        <v>175</v>
      </c>
      <c r="T65" s="109" t="s">
        <v>175</v>
      </c>
      <c r="U65" s="109" t="s">
        <v>175</v>
      </c>
      <c r="V65" s="253" t="s">
        <v>175</v>
      </c>
      <c r="W65" s="109" t="s">
        <v>175</v>
      </c>
      <c r="X65" s="143" t="s">
        <v>175</v>
      </c>
      <c r="Y65" s="253" t="s">
        <v>175</v>
      </c>
      <c r="Z65" s="279" t="s">
        <v>175</v>
      </c>
      <c r="AA65" s="253" t="s">
        <v>175</v>
      </c>
      <c r="AB65" s="279" t="s">
        <v>175</v>
      </c>
      <c r="AC65" s="253" t="s">
        <v>175</v>
      </c>
      <c r="AD65" s="279" t="s">
        <v>175</v>
      </c>
      <c r="AE65" s="253" t="s">
        <v>175</v>
      </c>
      <c r="AF65" s="279" t="s">
        <v>175</v>
      </c>
      <c r="AG65" s="253" t="s">
        <v>175</v>
      </c>
      <c r="AH65" s="279" t="s">
        <v>175</v>
      </c>
      <c r="AI65" s="253" t="s">
        <v>175</v>
      </c>
      <c r="AJ65" s="279" t="s">
        <v>175</v>
      </c>
      <c r="AK65" s="253" t="s">
        <v>175</v>
      </c>
      <c r="AL65" s="279" t="s">
        <v>175</v>
      </c>
      <c r="AM65" s="253" t="s">
        <v>175</v>
      </c>
      <c r="AN65" s="279" t="s">
        <v>175</v>
      </c>
      <c r="AO65" s="143" t="s">
        <v>175</v>
      </c>
      <c r="AP65" s="253" t="s">
        <v>175</v>
      </c>
      <c r="AQ65" s="279" t="s">
        <v>175</v>
      </c>
      <c r="AR65" s="385" t="s">
        <v>175</v>
      </c>
      <c r="AS65" s="45" t="s">
        <v>175</v>
      </c>
      <c r="AT65" s="267" t="s">
        <v>175</v>
      </c>
      <c r="AU65" s="385" t="s">
        <v>175</v>
      </c>
      <c r="AV65" s="267" t="s">
        <v>175</v>
      </c>
      <c r="AW65" s="158" t="s">
        <v>175</v>
      </c>
      <c r="AX65" s="253" t="s">
        <v>175</v>
      </c>
      <c r="AY65" s="279" t="s">
        <v>175</v>
      </c>
      <c r="AZ65" s="253" t="s">
        <v>175</v>
      </c>
      <c r="BA65" s="279" t="s">
        <v>175</v>
      </c>
      <c r="BB65" s="252" t="s">
        <v>264</v>
      </c>
      <c r="BC65" s="519" t="s">
        <v>175</v>
      </c>
      <c r="BD65" s="538" t="s">
        <v>175</v>
      </c>
      <c r="JS65" s="5"/>
    </row>
    <row r="66" spans="1:279" s="1" customFormat="1" ht="24">
      <c r="A66" s="964"/>
      <c r="B66" s="1135"/>
      <c r="C66" s="69" t="s">
        <v>210</v>
      </c>
      <c r="D66" s="199">
        <v>44867</v>
      </c>
      <c r="E66" s="387">
        <v>44852</v>
      </c>
      <c r="F66" s="643">
        <v>44844</v>
      </c>
      <c r="G66" s="631">
        <v>44866</v>
      </c>
      <c r="H66" s="587">
        <v>44846</v>
      </c>
      <c r="I66" s="387">
        <v>44844</v>
      </c>
      <c r="J66" s="643">
        <v>44845</v>
      </c>
      <c r="K66" s="387">
        <v>44847</v>
      </c>
      <c r="L66" s="643">
        <v>44847</v>
      </c>
      <c r="M66" s="387">
        <v>44866</v>
      </c>
      <c r="N66" s="643" t="s">
        <v>1467</v>
      </c>
      <c r="O66" s="387">
        <v>44847</v>
      </c>
      <c r="P66" s="643">
        <v>44847</v>
      </c>
      <c r="Q66" s="247">
        <v>44868</v>
      </c>
      <c r="R66" s="357">
        <v>44867</v>
      </c>
      <c r="S66" s="247">
        <v>44846</v>
      </c>
      <c r="T66" s="103">
        <v>44847</v>
      </c>
      <c r="U66" s="103">
        <v>44844</v>
      </c>
      <c r="V66" s="247">
        <v>44840</v>
      </c>
      <c r="W66" s="103">
        <v>44852</v>
      </c>
      <c r="X66" s="444">
        <v>44858</v>
      </c>
      <c r="Y66" s="247">
        <v>44857</v>
      </c>
      <c r="Z66" s="357">
        <v>44867</v>
      </c>
      <c r="AA66" s="247">
        <v>44852</v>
      </c>
      <c r="AB66" s="357">
        <v>44858</v>
      </c>
      <c r="AC66" s="247">
        <v>44862</v>
      </c>
      <c r="AD66" s="357">
        <v>44862</v>
      </c>
      <c r="AE66" s="247" t="s">
        <v>359</v>
      </c>
      <c r="AF66" s="357" t="s">
        <v>359</v>
      </c>
      <c r="AG66" s="247" t="s">
        <v>431</v>
      </c>
      <c r="AH66" s="357" t="s">
        <v>431</v>
      </c>
      <c r="AI66" s="491" t="s">
        <v>477</v>
      </c>
      <c r="AJ66" s="492" t="s">
        <v>478</v>
      </c>
      <c r="AK66" s="491">
        <v>44847</v>
      </c>
      <c r="AL66" s="492">
        <v>44854</v>
      </c>
      <c r="AM66" s="491">
        <v>44866</v>
      </c>
      <c r="AN66" s="492">
        <v>44853</v>
      </c>
      <c r="AO66" s="444">
        <v>44865</v>
      </c>
      <c r="AP66" s="491">
        <v>44867</v>
      </c>
      <c r="AQ66" s="492">
        <v>44853</v>
      </c>
      <c r="AR66" s="387">
        <v>44846</v>
      </c>
      <c r="AS66" s="60">
        <v>44866</v>
      </c>
      <c r="AT66" s="643">
        <v>44868</v>
      </c>
      <c r="AU66" s="387">
        <v>44847</v>
      </c>
      <c r="AV66" s="643">
        <v>44867</v>
      </c>
      <c r="AW66" s="587">
        <v>44865</v>
      </c>
      <c r="AX66" s="247">
        <v>44853</v>
      </c>
      <c r="AY66" s="357">
        <v>44853</v>
      </c>
      <c r="AZ66" s="491">
        <v>44867</v>
      </c>
      <c r="BA66" s="492">
        <v>44867</v>
      </c>
      <c r="BB66" s="553">
        <v>44854</v>
      </c>
      <c r="BC66" s="534">
        <v>44866</v>
      </c>
      <c r="BD66" s="535">
        <v>44857</v>
      </c>
      <c r="JS66" s="5"/>
    </row>
    <row r="67" spans="1:279" s="1" customFormat="1" ht="24">
      <c r="A67" s="964"/>
      <c r="B67" s="1135"/>
      <c r="C67" s="69" t="s">
        <v>0</v>
      </c>
      <c r="D67" s="189" t="s">
        <v>77</v>
      </c>
      <c r="E67" s="385" t="s">
        <v>263</v>
      </c>
      <c r="F67" s="418" t="s">
        <v>263</v>
      </c>
      <c r="G67" s="208" t="s">
        <v>77</v>
      </c>
      <c r="H67" s="158" t="s">
        <v>263</v>
      </c>
      <c r="I67" s="385" t="s">
        <v>263</v>
      </c>
      <c r="J67" s="418" t="s">
        <v>263</v>
      </c>
      <c r="K67" s="385" t="s">
        <v>263</v>
      </c>
      <c r="L67" s="418" t="s">
        <v>263</v>
      </c>
      <c r="M67" s="385" t="s">
        <v>263</v>
      </c>
      <c r="N67" s="418" t="s">
        <v>263</v>
      </c>
      <c r="O67" s="385" t="s">
        <v>263</v>
      </c>
      <c r="P67" s="418" t="s">
        <v>263</v>
      </c>
      <c r="Q67" s="253" t="s">
        <v>263</v>
      </c>
      <c r="R67" s="254" t="s">
        <v>263</v>
      </c>
      <c r="S67" s="253" t="s">
        <v>263</v>
      </c>
      <c r="T67" s="113" t="s">
        <v>263</v>
      </c>
      <c r="U67" s="113" t="s">
        <v>263</v>
      </c>
      <c r="V67" s="253" t="s">
        <v>263</v>
      </c>
      <c r="W67" s="113" t="s">
        <v>263</v>
      </c>
      <c r="X67" s="143" t="s">
        <v>768</v>
      </c>
      <c r="Y67" s="253" t="s">
        <v>263</v>
      </c>
      <c r="Z67" s="254" t="s">
        <v>263</v>
      </c>
      <c r="AA67" s="253" t="s">
        <v>263</v>
      </c>
      <c r="AB67" s="254" t="s">
        <v>263</v>
      </c>
      <c r="AC67" s="253" t="s">
        <v>263</v>
      </c>
      <c r="AD67" s="254" t="s">
        <v>263</v>
      </c>
      <c r="AE67" s="253" t="s">
        <v>263</v>
      </c>
      <c r="AF67" s="254" t="s">
        <v>263</v>
      </c>
      <c r="AG67" s="253" t="s">
        <v>263</v>
      </c>
      <c r="AH67" s="254" t="s">
        <v>263</v>
      </c>
      <c r="AI67" s="253" t="s">
        <v>263</v>
      </c>
      <c r="AJ67" s="254" t="s">
        <v>263</v>
      </c>
      <c r="AK67" s="253" t="s">
        <v>263</v>
      </c>
      <c r="AL67" s="254" t="s">
        <v>263</v>
      </c>
      <c r="AM67" s="253" t="s">
        <v>263</v>
      </c>
      <c r="AN67" s="254" t="s">
        <v>263</v>
      </c>
      <c r="AO67" s="143" t="s">
        <v>263</v>
      </c>
      <c r="AP67" s="253" t="s">
        <v>263</v>
      </c>
      <c r="AQ67" s="254" t="s">
        <v>263</v>
      </c>
      <c r="AR67" s="385" t="s">
        <v>263</v>
      </c>
      <c r="AS67" s="30" t="s">
        <v>263</v>
      </c>
      <c r="AT67" s="418" t="s">
        <v>263</v>
      </c>
      <c r="AU67" s="385" t="s">
        <v>263</v>
      </c>
      <c r="AV67" s="418" t="s">
        <v>263</v>
      </c>
      <c r="AW67" s="158" t="s">
        <v>263</v>
      </c>
      <c r="AX67" s="253" t="s">
        <v>263</v>
      </c>
      <c r="AY67" s="254" t="s">
        <v>263</v>
      </c>
      <c r="AZ67" s="253" t="s">
        <v>263</v>
      </c>
      <c r="BA67" s="254" t="s">
        <v>263</v>
      </c>
      <c r="BB67" s="252" t="s">
        <v>1019</v>
      </c>
      <c r="BC67" s="519" t="s">
        <v>263</v>
      </c>
      <c r="BD67" s="521" t="s">
        <v>263</v>
      </c>
      <c r="JS67" s="5"/>
    </row>
    <row r="68" spans="1:279" s="1" customFormat="1">
      <c r="A68" s="1077" t="s">
        <v>61</v>
      </c>
      <c r="B68" s="1135" t="s">
        <v>93</v>
      </c>
      <c r="C68" s="69" t="s">
        <v>33</v>
      </c>
      <c r="D68" s="189" t="s">
        <v>175</v>
      </c>
      <c r="E68" s="1133" t="s">
        <v>178</v>
      </c>
      <c r="F68" s="1134"/>
      <c r="G68" s="208" t="s">
        <v>175</v>
      </c>
      <c r="H68" s="158" t="s">
        <v>175</v>
      </c>
      <c r="I68" s="1133" t="s">
        <v>178</v>
      </c>
      <c r="J68" s="1134"/>
      <c r="K68" s="1133" t="s">
        <v>178</v>
      </c>
      <c r="L68" s="1134"/>
      <c r="M68" s="1133" t="s">
        <v>178</v>
      </c>
      <c r="N68" s="1134"/>
      <c r="O68" s="1133" t="s">
        <v>178</v>
      </c>
      <c r="P68" s="1134"/>
      <c r="Q68" s="998" t="s">
        <v>942</v>
      </c>
      <c r="R68" s="1000"/>
      <c r="S68" s="998" t="s">
        <v>863</v>
      </c>
      <c r="T68" s="999"/>
      <c r="U68" s="1004"/>
      <c r="V68" s="966" t="s">
        <v>1179</v>
      </c>
      <c r="W68" s="990"/>
      <c r="X68" s="143" t="s">
        <v>175</v>
      </c>
      <c r="Y68" s="966" t="s">
        <v>1179</v>
      </c>
      <c r="Z68" s="967"/>
      <c r="AA68" s="966" t="s">
        <v>942</v>
      </c>
      <c r="AB68" s="967"/>
      <c r="AC68" s="966" t="s">
        <v>1068</v>
      </c>
      <c r="AD68" s="967"/>
      <c r="AE68" s="966" t="s">
        <v>178</v>
      </c>
      <c r="AF68" s="967"/>
      <c r="AG68" s="966" t="s">
        <v>178</v>
      </c>
      <c r="AH68" s="967"/>
      <c r="AI68" s="966" t="s">
        <v>178</v>
      </c>
      <c r="AJ68" s="967"/>
      <c r="AK68" s="966" t="s">
        <v>178</v>
      </c>
      <c r="AL68" s="967"/>
      <c r="AM68" s="966" t="s">
        <v>178</v>
      </c>
      <c r="AN68" s="967"/>
      <c r="AO68" s="143" t="s">
        <v>175</v>
      </c>
      <c r="AP68" s="966" t="s">
        <v>178</v>
      </c>
      <c r="AQ68" s="967"/>
      <c r="AR68" s="1196" t="s">
        <v>178</v>
      </c>
      <c r="AS68" s="1223"/>
      <c r="AT68" s="1224"/>
      <c r="AU68" s="1133" t="s">
        <v>178</v>
      </c>
      <c r="AV68" s="1134"/>
      <c r="AW68" s="158" t="s">
        <v>78</v>
      </c>
      <c r="AX68" s="966" t="s">
        <v>1068</v>
      </c>
      <c r="AY68" s="967"/>
      <c r="AZ68" s="966" t="s">
        <v>178</v>
      </c>
      <c r="BA68" s="967"/>
      <c r="BB68" s="252" t="s">
        <v>863</v>
      </c>
      <c r="BC68" s="1166" t="s">
        <v>178</v>
      </c>
      <c r="BD68" s="1167"/>
      <c r="JS68" s="5"/>
    </row>
    <row r="69" spans="1:279" s="1" customFormat="1" ht="36" customHeight="1">
      <c r="A69" s="1077"/>
      <c r="B69" s="1135"/>
      <c r="C69" s="69" t="s">
        <v>211</v>
      </c>
      <c r="D69" s="189" t="s">
        <v>178</v>
      </c>
      <c r="E69" s="1133" t="s">
        <v>178</v>
      </c>
      <c r="F69" s="1134"/>
      <c r="G69" s="208" t="s">
        <v>178</v>
      </c>
      <c r="H69" s="158" t="s">
        <v>1411</v>
      </c>
      <c r="I69" s="1133" t="s">
        <v>178</v>
      </c>
      <c r="J69" s="1134"/>
      <c r="K69" s="1133" t="s">
        <v>178</v>
      </c>
      <c r="L69" s="1134"/>
      <c r="M69" s="1133" t="s">
        <v>178</v>
      </c>
      <c r="N69" s="1134"/>
      <c r="O69" s="1133" t="s">
        <v>178</v>
      </c>
      <c r="P69" s="1134"/>
      <c r="Q69" s="998" t="s">
        <v>178</v>
      </c>
      <c r="R69" s="1000"/>
      <c r="S69" s="998" t="s">
        <v>1343</v>
      </c>
      <c r="T69" s="999"/>
      <c r="U69" s="1004"/>
      <c r="V69" s="966" t="s">
        <v>78</v>
      </c>
      <c r="W69" s="990"/>
      <c r="X69" s="143" t="s">
        <v>178</v>
      </c>
      <c r="Y69" s="966" t="s">
        <v>1248</v>
      </c>
      <c r="Z69" s="967"/>
      <c r="AA69" s="966" t="s">
        <v>943</v>
      </c>
      <c r="AB69" s="967"/>
      <c r="AC69" s="964" t="s">
        <v>1343</v>
      </c>
      <c r="AD69" s="969"/>
      <c r="AE69" s="1133" t="s">
        <v>1657</v>
      </c>
      <c r="AF69" s="1134"/>
      <c r="AG69" s="966" t="s">
        <v>175</v>
      </c>
      <c r="AH69" s="967"/>
      <c r="AI69" s="966" t="s">
        <v>175</v>
      </c>
      <c r="AJ69" s="967"/>
      <c r="AK69" s="966" t="s">
        <v>175</v>
      </c>
      <c r="AL69" s="967"/>
      <c r="AM69" s="966" t="s">
        <v>175</v>
      </c>
      <c r="AN69" s="967"/>
      <c r="AO69" s="143" t="s">
        <v>178</v>
      </c>
      <c r="AP69" s="966" t="s">
        <v>175</v>
      </c>
      <c r="AQ69" s="967"/>
      <c r="AR69" s="1197" t="s">
        <v>178</v>
      </c>
      <c r="AS69" s="1225"/>
      <c r="AT69" s="1226"/>
      <c r="AU69" s="1133" t="s">
        <v>178</v>
      </c>
      <c r="AV69" s="1134"/>
      <c r="AW69" s="158" t="s">
        <v>346</v>
      </c>
      <c r="AX69" s="964" t="s">
        <v>78</v>
      </c>
      <c r="AY69" s="969"/>
      <c r="AZ69" s="966" t="s">
        <v>175</v>
      </c>
      <c r="BA69" s="967"/>
      <c r="BB69" s="252" t="s">
        <v>1020</v>
      </c>
      <c r="BC69" s="966" t="s">
        <v>175</v>
      </c>
      <c r="BD69" s="967"/>
      <c r="JS69" s="5"/>
    </row>
    <row r="70" spans="1:279" s="1" customFormat="1" ht="33" customHeight="1">
      <c r="A70" s="1077"/>
      <c r="B70" s="1135"/>
      <c r="C70" s="69" t="s">
        <v>0</v>
      </c>
      <c r="D70" s="189" t="s">
        <v>77</v>
      </c>
      <c r="E70" s="1136" t="s">
        <v>178</v>
      </c>
      <c r="F70" s="1134"/>
      <c r="G70" s="208" t="s">
        <v>77</v>
      </c>
      <c r="H70" s="158"/>
      <c r="I70" s="1136" t="s">
        <v>178</v>
      </c>
      <c r="J70" s="1134"/>
      <c r="K70" s="1136" t="s">
        <v>178</v>
      </c>
      <c r="L70" s="1134"/>
      <c r="M70" s="1136" t="s">
        <v>178</v>
      </c>
      <c r="N70" s="1134"/>
      <c r="O70" s="1136" t="s">
        <v>178</v>
      </c>
      <c r="P70" s="1134"/>
      <c r="Q70" s="948" t="s">
        <v>178</v>
      </c>
      <c r="R70" s="968"/>
      <c r="S70" s="948" t="s">
        <v>1343</v>
      </c>
      <c r="T70" s="999"/>
      <c r="U70" s="1004"/>
      <c r="V70" s="964" t="s">
        <v>78</v>
      </c>
      <c r="W70" s="990"/>
      <c r="X70" s="142" t="s">
        <v>77</v>
      </c>
      <c r="Y70" s="964" t="s">
        <v>1248</v>
      </c>
      <c r="Z70" s="967"/>
      <c r="AA70" s="964" t="s">
        <v>943</v>
      </c>
      <c r="AB70" s="967"/>
      <c r="AC70" s="964" t="s">
        <v>863</v>
      </c>
      <c r="AD70" s="967"/>
      <c r="AE70" s="1136" t="s">
        <v>1658</v>
      </c>
      <c r="AF70" s="1134"/>
      <c r="AG70" s="964" t="s">
        <v>77</v>
      </c>
      <c r="AH70" s="967"/>
      <c r="AI70" s="964" t="s">
        <v>77</v>
      </c>
      <c r="AJ70" s="967"/>
      <c r="AK70" s="964" t="s">
        <v>77</v>
      </c>
      <c r="AL70" s="967"/>
      <c r="AM70" s="964" t="s">
        <v>77</v>
      </c>
      <c r="AN70" s="967"/>
      <c r="AO70" s="142" t="s">
        <v>77</v>
      </c>
      <c r="AP70" s="964" t="s">
        <v>77</v>
      </c>
      <c r="AQ70" s="967"/>
      <c r="AR70" s="1198"/>
      <c r="AS70" s="1227"/>
      <c r="AT70" s="1228"/>
      <c r="AU70" s="1136" t="s">
        <v>178</v>
      </c>
      <c r="AV70" s="1134"/>
      <c r="AW70" s="158" t="s">
        <v>789</v>
      </c>
      <c r="AX70" s="964" t="s">
        <v>863</v>
      </c>
      <c r="AY70" s="967"/>
      <c r="AZ70" s="964" t="s">
        <v>77</v>
      </c>
      <c r="BA70" s="967"/>
      <c r="BB70" s="252" t="s">
        <v>863</v>
      </c>
      <c r="BC70" s="964" t="s">
        <v>77</v>
      </c>
      <c r="BD70" s="967"/>
      <c r="JS70" s="5"/>
    </row>
    <row r="71" spans="1:279" s="1" customFormat="1">
      <c r="A71" s="1077" t="s">
        <v>62</v>
      </c>
      <c r="B71" s="1079" t="s">
        <v>60</v>
      </c>
      <c r="C71" s="69" t="s">
        <v>33</v>
      </c>
      <c r="D71" s="189" t="s">
        <v>175</v>
      </c>
      <c r="E71" s="1133" t="s">
        <v>178</v>
      </c>
      <c r="F71" s="1134"/>
      <c r="G71" s="208" t="s">
        <v>175</v>
      </c>
      <c r="H71" s="158" t="s">
        <v>175</v>
      </c>
      <c r="I71" s="1133" t="s">
        <v>178</v>
      </c>
      <c r="J71" s="1134"/>
      <c r="K71" s="1133" t="s">
        <v>178</v>
      </c>
      <c r="L71" s="1134"/>
      <c r="M71" s="1133" t="s">
        <v>178</v>
      </c>
      <c r="N71" s="1134"/>
      <c r="O71" s="1133" t="s">
        <v>178</v>
      </c>
      <c r="P71" s="1134"/>
      <c r="Q71" s="998" t="s">
        <v>178</v>
      </c>
      <c r="R71" s="1000"/>
      <c r="S71" s="998" t="s">
        <v>944</v>
      </c>
      <c r="T71" s="999"/>
      <c r="U71" s="1004"/>
      <c r="V71" s="966" t="s">
        <v>178</v>
      </c>
      <c r="W71" s="990"/>
      <c r="X71" s="143" t="s">
        <v>175</v>
      </c>
      <c r="Y71" s="966" t="s">
        <v>1180</v>
      </c>
      <c r="Z71" s="967"/>
      <c r="AA71" s="966" t="s">
        <v>944</v>
      </c>
      <c r="AB71" s="967"/>
      <c r="AC71" s="966" t="s">
        <v>944</v>
      </c>
      <c r="AD71" s="967"/>
      <c r="AE71" s="966" t="s">
        <v>178</v>
      </c>
      <c r="AF71" s="967"/>
      <c r="AG71" s="966" t="s">
        <v>178</v>
      </c>
      <c r="AH71" s="967"/>
      <c r="AI71" s="966" t="s">
        <v>178</v>
      </c>
      <c r="AJ71" s="967"/>
      <c r="AK71" s="966" t="s">
        <v>178</v>
      </c>
      <c r="AL71" s="967"/>
      <c r="AM71" s="966" t="s">
        <v>178</v>
      </c>
      <c r="AN71" s="967"/>
      <c r="AO71" s="143" t="s">
        <v>175</v>
      </c>
      <c r="AP71" s="966" t="s">
        <v>178</v>
      </c>
      <c r="AQ71" s="967"/>
      <c r="AR71" s="1178" t="s">
        <v>178</v>
      </c>
      <c r="AS71" s="1179"/>
      <c r="AT71" s="1180"/>
      <c r="AU71" s="1133" t="s">
        <v>178</v>
      </c>
      <c r="AV71" s="1134"/>
      <c r="AW71" s="158" t="s">
        <v>78</v>
      </c>
      <c r="AX71" s="966" t="s">
        <v>944</v>
      </c>
      <c r="AY71" s="967"/>
      <c r="AZ71" s="966" t="s">
        <v>178</v>
      </c>
      <c r="BA71" s="967"/>
      <c r="BB71" s="252" t="s">
        <v>175</v>
      </c>
      <c r="BC71" s="1166" t="s">
        <v>178</v>
      </c>
      <c r="BD71" s="1167"/>
      <c r="JS71" s="5"/>
    </row>
    <row r="72" spans="1:279" s="1" customFormat="1">
      <c r="A72" s="1077"/>
      <c r="B72" s="1079"/>
      <c r="C72" s="69" t="s">
        <v>212</v>
      </c>
      <c r="D72" s="189" t="s">
        <v>853</v>
      </c>
      <c r="E72" s="1133" t="s">
        <v>178</v>
      </c>
      <c r="F72" s="1134"/>
      <c r="G72" s="208" t="s">
        <v>854</v>
      </c>
      <c r="H72" s="158" t="s">
        <v>769</v>
      </c>
      <c r="I72" s="1133" t="s">
        <v>178</v>
      </c>
      <c r="J72" s="1134"/>
      <c r="K72" s="1133" t="s">
        <v>178</v>
      </c>
      <c r="L72" s="1134"/>
      <c r="M72" s="1133" t="s">
        <v>178</v>
      </c>
      <c r="N72" s="1134"/>
      <c r="O72" s="1133" t="s">
        <v>178</v>
      </c>
      <c r="P72" s="1134"/>
      <c r="Q72" s="998" t="s">
        <v>178</v>
      </c>
      <c r="R72" s="1000"/>
      <c r="S72" s="998" t="s">
        <v>1344</v>
      </c>
      <c r="T72" s="999"/>
      <c r="U72" s="1004"/>
      <c r="V72" s="966" t="s">
        <v>178</v>
      </c>
      <c r="W72" s="990"/>
      <c r="X72" s="143" t="s">
        <v>769</v>
      </c>
      <c r="Y72" s="966" t="s">
        <v>1249</v>
      </c>
      <c r="Z72" s="967"/>
      <c r="AA72" s="966" t="s">
        <v>945</v>
      </c>
      <c r="AB72" s="967"/>
      <c r="AC72" s="966" t="s">
        <v>1069</v>
      </c>
      <c r="AD72" s="967"/>
      <c r="AE72" s="966" t="s">
        <v>178</v>
      </c>
      <c r="AF72" s="967"/>
      <c r="AG72" s="966" t="s">
        <v>178</v>
      </c>
      <c r="AH72" s="967"/>
      <c r="AI72" s="966" t="s">
        <v>178</v>
      </c>
      <c r="AJ72" s="967"/>
      <c r="AK72" s="966" t="s">
        <v>178</v>
      </c>
      <c r="AL72" s="967"/>
      <c r="AM72" s="966" t="s">
        <v>178</v>
      </c>
      <c r="AN72" s="967"/>
      <c r="AO72" s="143" t="s">
        <v>853</v>
      </c>
      <c r="AP72" s="966" t="s">
        <v>178</v>
      </c>
      <c r="AQ72" s="967"/>
      <c r="AR72" s="1178" t="s">
        <v>178</v>
      </c>
      <c r="AS72" s="1179"/>
      <c r="AT72" s="1180"/>
      <c r="AU72" s="1133" t="s">
        <v>178</v>
      </c>
      <c r="AV72" s="1134"/>
      <c r="AW72" s="158" t="s">
        <v>800</v>
      </c>
      <c r="AX72" s="966" t="s">
        <v>1128</v>
      </c>
      <c r="AY72" s="967"/>
      <c r="AZ72" s="966" t="s">
        <v>178</v>
      </c>
      <c r="BA72" s="967"/>
      <c r="BB72" s="252" t="s">
        <v>1021</v>
      </c>
      <c r="BC72" s="1166" t="s">
        <v>178</v>
      </c>
      <c r="BD72" s="1167"/>
      <c r="JS72" s="5"/>
    </row>
    <row r="73" spans="1:279" s="1" customFormat="1" ht="36" customHeight="1">
      <c r="A73" s="1121"/>
      <c r="B73" s="1122"/>
      <c r="C73" s="69" t="s">
        <v>211</v>
      </c>
      <c r="D73" s="189" t="s">
        <v>178</v>
      </c>
      <c r="E73" s="1133" t="s">
        <v>178</v>
      </c>
      <c r="F73" s="1134"/>
      <c r="G73" s="208" t="s">
        <v>178</v>
      </c>
      <c r="H73" s="158" t="s">
        <v>178</v>
      </c>
      <c r="I73" s="1133" t="s">
        <v>178</v>
      </c>
      <c r="J73" s="1134"/>
      <c r="K73" s="1133" t="s">
        <v>178</v>
      </c>
      <c r="L73" s="1134"/>
      <c r="M73" s="1133" t="s">
        <v>178</v>
      </c>
      <c r="N73" s="1134"/>
      <c r="O73" s="1133" t="s">
        <v>178</v>
      </c>
      <c r="P73" s="1134"/>
      <c r="Q73" s="998" t="s">
        <v>177</v>
      </c>
      <c r="R73" s="1000"/>
      <c r="S73" s="998" t="s">
        <v>177</v>
      </c>
      <c r="T73" s="999"/>
      <c r="U73" s="1004"/>
      <c r="V73" s="966" t="s">
        <v>943</v>
      </c>
      <c r="W73" s="990"/>
      <c r="X73" s="143" t="s">
        <v>178</v>
      </c>
      <c r="Y73" s="966" t="s">
        <v>863</v>
      </c>
      <c r="Z73" s="967"/>
      <c r="AA73" s="966" t="s">
        <v>177</v>
      </c>
      <c r="AB73" s="967"/>
      <c r="AC73" s="966" t="s">
        <v>177</v>
      </c>
      <c r="AD73" s="967"/>
      <c r="AE73" s="1123" t="s">
        <v>361</v>
      </c>
      <c r="AF73" s="1124"/>
      <c r="AG73" s="966" t="s">
        <v>175</v>
      </c>
      <c r="AH73" s="967"/>
      <c r="AI73" s="966" t="s">
        <v>175</v>
      </c>
      <c r="AJ73" s="967"/>
      <c r="AK73" s="966" t="s">
        <v>175</v>
      </c>
      <c r="AL73" s="967"/>
      <c r="AM73" s="966" t="s">
        <v>175</v>
      </c>
      <c r="AN73" s="967"/>
      <c r="AO73" s="143" t="s">
        <v>178</v>
      </c>
      <c r="AP73" s="966" t="s">
        <v>175</v>
      </c>
      <c r="AQ73" s="967"/>
      <c r="AR73" s="1178" t="s">
        <v>178</v>
      </c>
      <c r="AS73" s="1179"/>
      <c r="AT73" s="1180"/>
      <c r="AU73" s="1133" t="s">
        <v>178</v>
      </c>
      <c r="AV73" s="1134"/>
      <c r="AW73" s="158" t="s">
        <v>346</v>
      </c>
      <c r="AX73" s="966" t="s">
        <v>863</v>
      </c>
      <c r="AY73" s="967"/>
      <c r="AZ73" s="966" t="s">
        <v>175</v>
      </c>
      <c r="BA73" s="967"/>
      <c r="BB73" s="252" t="s">
        <v>959</v>
      </c>
      <c r="BC73" s="966" t="s">
        <v>175</v>
      </c>
      <c r="BD73" s="967"/>
      <c r="JS73" s="5"/>
    </row>
    <row r="74" spans="1:279" s="1" customFormat="1" ht="36" customHeight="1">
      <c r="A74" s="1121"/>
      <c r="B74" s="1122"/>
      <c r="C74" s="69" t="s">
        <v>34</v>
      </c>
      <c r="D74" s="189" t="s">
        <v>77</v>
      </c>
      <c r="E74" s="1133" t="s">
        <v>178</v>
      </c>
      <c r="F74" s="1134"/>
      <c r="G74" s="208" t="s">
        <v>77</v>
      </c>
      <c r="H74" s="158" t="s">
        <v>394</v>
      </c>
      <c r="I74" s="1133" t="s">
        <v>178</v>
      </c>
      <c r="J74" s="1134"/>
      <c r="K74" s="1133" t="s">
        <v>178</v>
      </c>
      <c r="L74" s="1134"/>
      <c r="M74" s="1133" t="s">
        <v>178</v>
      </c>
      <c r="N74" s="1134"/>
      <c r="O74" s="1133" t="s">
        <v>178</v>
      </c>
      <c r="P74" s="1134"/>
      <c r="Q74" s="998" t="s">
        <v>178</v>
      </c>
      <c r="R74" s="1000"/>
      <c r="S74" s="1018" t="s">
        <v>946</v>
      </c>
      <c r="T74" s="1019"/>
      <c r="U74" s="1020"/>
      <c r="V74" s="966" t="s">
        <v>78</v>
      </c>
      <c r="W74" s="990"/>
      <c r="X74" s="142" t="s">
        <v>77</v>
      </c>
      <c r="Y74" s="966" t="s">
        <v>863</v>
      </c>
      <c r="Z74" s="967"/>
      <c r="AA74" s="964" t="s">
        <v>946</v>
      </c>
      <c r="AB74" s="969"/>
      <c r="AC74" s="964" t="s">
        <v>78</v>
      </c>
      <c r="AD74" s="969"/>
      <c r="AE74" s="1080" t="s">
        <v>360</v>
      </c>
      <c r="AF74" s="1124"/>
      <c r="AG74" s="964" t="s">
        <v>77</v>
      </c>
      <c r="AH74" s="967"/>
      <c r="AI74" s="964" t="s">
        <v>77</v>
      </c>
      <c r="AJ74" s="967"/>
      <c r="AK74" s="964" t="s">
        <v>77</v>
      </c>
      <c r="AL74" s="967"/>
      <c r="AM74" s="964" t="s">
        <v>77</v>
      </c>
      <c r="AN74" s="967"/>
      <c r="AO74" s="142" t="s">
        <v>77</v>
      </c>
      <c r="AP74" s="964" t="s">
        <v>77</v>
      </c>
      <c r="AQ74" s="967"/>
      <c r="AR74" s="1178" t="s">
        <v>178</v>
      </c>
      <c r="AS74" s="1179"/>
      <c r="AT74" s="1180"/>
      <c r="AU74" s="1133" t="s">
        <v>178</v>
      </c>
      <c r="AV74" s="1134"/>
      <c r="AW74" s="158" t="s">
        <v>77</v>
      </c>
      <c r="AX74" s="964" t="s">
        <v>863</v>
      </c>
      <c r="AY74" s="969"/>
      <c r="AZ74" s="964" t="s">
        <v>77</v>
      </c>
      <c r="BA74" s="967"/>
      <c r="BB74" s="252" t="s">
        <v>1022</v>
      </c>
      <c r="BC74" s="964" t="s">
        <v>77</v>
      </c>
      <c r="BD74" s="967"/>
      <c r="JS74" s="5"/>
    </row>
    <row r="75" spans="1:279" s="1" customFormat="1" ht="43.5" customHeight="1">
      <c r="A75" s="1077" t="s">
        <v>63</v>
      </c>
      <c r="B75" s="1079" t="s">
        <v>94</v>
      </c>
      <c r="C75" s="69" t="s">
        <v>33</v>
      </c>
      <c r="D75" s="189" t="s">
        <v>175</v>
      </c>
      <c r="E75" s="1133" t="s">
        <v>175</v>
      </c>
      <c r="F75" s="1134"/>
      <c r="G75" s="208" t="s">
        <v>175</v>
      </c>
      <c r="H75" s="158" t="s">
        <v>175</v>
      </c>
      <c r="I75" s="1133" t="s">
        <v>175</v>
      </c>
      <c r="J75" s="1134"/>
      <c r="K75" s="1133" t="s">
        <v>175</v>
      </c>
      <c r="L75" s="1134"/>
      <c r="M75" s="1133" t="s">
        <v>175</v>
      </c>
      <c r="N75" s="1134"/>
      <c r="O75" s="1133" t="s">
        <v>175</v>
      </c>
      <c r="P75" s="1134"/>
      <c r="Q75" s="998" t="s">
        <v>175</v>
      </c>
      <c r="R75" s="1000"/>
      <c r="S75" s="998" t="s">
        <v>175</v>
      </c>
      <c r="T75" s="999"/>
      <c r="U75" s="1004"/>
      <c r="V75" s="966" t="s">
        <v>175</v>
      </c>
      <c r="W75" s="990"/>
      <c r="X75" s="143" t="s">
        <v>175</v>
      </c>
      <c r="Y75" s="966" t="s">
        <v>175</v>
      </c>
      <c r="Z75" s="967"/>
      <c r="AA75" s="966" t="s">
        <v>175</v>
      </c>
      <c r="AB75" s="967"/>
      <c r="AC75" s="966" t="s">
        <v>175</v>
      </c>
      <c r="AD75" s="967"/>
      <c r="AE75" s="966" t="s">
        <v>175</v>
      </c>
      <c r="AF75" s="967"/>
      <c r="AG75" s="966" t="s">
        <v>175</v>
      </c>
      <c r="AH75" s="967"/>
      <c r="AI75" s="966" t="s">
        <v>175</v>
      </c>
      <c r="AJ75" s="967"/>
      <c r="AK75" s="966" t="s">
        <v>175</v>
      </c>
      <c r="AL75" s="967"/>
      <c r="AM75" s="966" t="s">
        <v>175</v>
      </c>
      <c r="AN75" s="967"/>
      <c r="AO75" s="143" t="s">
        <v>175</v>
      </c>
      <c r="AP75" s="966" t="s">
        <v>175</v>
      </c>
      <c r="AQ75" s="967"/>
      <c r="AR75" s="1178" t="s">
        <v>175</v>
      </c>
      <c r="AS75" s="1179"/>
      <c r="AT75" s="1180"/>
      <c r="AU75" s="1133" t="s">
        <v>175</v>
      </c>
      <c r="AV75" s="1134"/>
      <c r="AW75" s="158" t="s">
        <v>175</v>
      </c>
      <c r="AX75" s="966" t="s">
        <v>175</v>
      </c>
      <c r="AY75" s="967"/>
      <c r="AZ75" s="966" t="s">
        <v>175</v>
      </c>
      <c r="BA75" s="967"/>
      <c r="BB75" s="252" t="s">
        <v>175</v>
      </c>
      <c r="BC75" s="966" t="s">
        <v>175</v>
      </c>
      <c r="BD75" s="967"/>
      <c r="JS75" s="5"/>
    </row>
    <row r="76" spans="1:279" s="1" customFormat="1" ht="27.75" customHeight="1">
      <c r="A76" s="1077"/>
      <c r="B76" s="1079"/>
      <c r="C76" s="69" t="s">
        <v>213</v>
      </c>
      <c r="D76" s="189" t="s">
        <v>838</v>
      </c>
      <c r="E76" s="1133" t="s">
        <v>262</v>
      </c>
      <c r="F76" s="1134"/>
      <c r="G76" s="208" t="s">
        <v>839</v>
      </c>
      <c r="H76" s="158" t="s">
        <v>192</v>
      </c>
      <c r="I76" s="1133" t="s">
        <v>262</v>
      </c>
      <c r="J76" s="1134"/>
      <c r="K76" s="1133" t="s">
        <v>262</v>
      </c>
      <c r="L76" s="1134"/>
      <c r="M76" s="1133" t="s">
        <v>262</v>
      </c>
      <c r="N76" s="1134"/>
      <c r="O76" s="1133" t="s">
        <v>262</v>
      </c>
      <c r="P76" s="1134"/>
      <c r="Q76" s="998" t="s">
        <v>1301</v>
      </c>
      <c r="R76" s="1000"/>
      <c r="S76" s="998" t="s">
        <v>1333</v>
      </c>
      <c r="T76" s="999"/>
      <c r="U76" s="1004"/>
      <c r="V76" s="966" t="s">
        <v>1181</v>
      </c>
      <c r="W76" s="990"/>
      <c r="X76" s="143" t="s">
        <v>756</v>
      </c>
      <c r="Y76" s="966" t="s">
        <v>1250</v>
      </c>
      <c r="Z76" s="967"/>
      <c r="AA76" s="966" t="s">
        <v>928</v>
      </c>
      <c r="AB76" s="967"/>
      <c r="AC76" s="966" t="s">
        <v>1059</v>
      </c>
      <c r="AD76" s="967"/>
      <c r="AE76" s="966" t="s">
        <v>358</v>
      </c>
      <c r="AF76" s="967"/>
      <c r="AG76" s="966" t="s">
        <v>421</v>
      </c>
      <c r="AH76" s="967"/>
      <c r="AI76" s="966" t="s">
        <v>479</v>
      </c>
      <c r="AJ76" s="967"/>
      <c r="AK76" s="966" t="s">
        <v>524</v>
      </c>
      <c r="AL76" s="967"/>
      <c r="AM76" s="966" t="s">
        <v>574</v>
      </c>
      <c r="AN76" s="967"/>
      <c r="AO76" s="145" t="s">
        <v>897</v>
      </c>
      <c r="AP76" s="966" t="s">
        <v>622</v>
      </c>
      <c r="AQ76" s="967"/>
      <c r="AR76" s="1178" t="s">
        <v>262</v>
      </c>
      <c r="AS76" s="1179"/>
      <c r="AT76" s="1180"/>
      <c r="AU76" s="1133" t="s">
        <v>262</v>
      </c>
      <c r="AV76" s="1134"/>
      <c r="AW76" s="158" t="s">
        <v>262</v>
      </c>
      <c r="AX76" s="966" t="s">
        <v>1116</v>
      </c>
      <c r="AY76" s="967"/>
      <c r="AZ76" s="966" t="s">
        <v>670</v>
      </c>
      <c r="BA76" s="967"/>
      <c r="BB76" s="252" t="s">
        <v>1009</v>
      </c>
      <c r="BC76" s="966" t="s">
        <v>712</v>
      </c>
      <c r="BD76" s="967"/>
      <c r="JS76" s="5"/>
    </row>
    <row r="77" spans="1:279" s="1" customFormat="1">
      <c r="A77" s="1077"/>
      <c r="B77" s="1079"/>
      <c r="C77" s="69" t="s">
        <v>0</v>
      </c>
      <c r="D77" s="189" t="s">
        <v>77</v>
      </c>
      <c r="E77" s="1133" t="s">
        <v>77</v>
      </c>
      <c r="F77" s="1134"/>
      <c r="G77" s="208" t="s">
        <v>77</v>
      </c>
      <c r="H77" s="158" t="s">
        <v>394</v>
      </c>
      <c r="I77" s="1133" t="s">
        <v>77</v>
      </c>
      <c r="J77" s="1134"/>
      <c r="K77" s="1133" t="s">
        <v>77</v>
      </c>
      <c r="L77" s="1134"/>
      <c r="M77" s="1133" t="s">
        <v>77</v>
      </c>
      <c r="N77" s="1134"/>
      <c r="O77" s="1133" t="s">
        <v>77</v>
      </c>
      <c r="P77" s="1134"/>
      <c r="Q77" s="998" t="s">
        <v>77</v>
      </c>
      <c r="R77" s="1000"/>
      <c r="S77" s="998" t="s">
        <v>77</v>
      </c>
      <c r="T77" s="999"/>
      <c r="U77" s="1004"/>
      <c r="V77" s="966" t="s">
        <v>77</v>
      </c>
      <c r="W77" s="990"/>
      <c r="X77" s="143" t="s">
        <v>77</v>
      </c>
      <c r="Y77" s="966" t="s">
        <v>77</v>
      </c>
      <c r="Z77" s="967"/>
      <c r="AA77" s="966" t="s">
        <v>77</v>
      </c>
      <c r="AB77" s="967"/>
      <c r="AC77" s="966" t="s">
        <v>77</v>
      </c>
      <c r="AD77" s="967"/>
      <c r="AE77" s="966" t="s">
        <v>77</v>
      </c>
      <c r="AF77" s="967"/>
      <c r="AG77" s="966" t="s">
        <v>77</v>
      </c>
      <c r="AH77" s="967"/>
      <c r="AI77" s="966" t="s">
        <v>77</v>
      </c>
      <c r="AJ77" s="967"/>
      <c r="AK77" s="966" t="s">
        <v>77</v>
      </c>
      <c r="AL77" s="967"/>
      <c r="AM77" s="966" t="s">
        <v>77</v>
      </c>
      <c r="AN77" s="967"/>
      <c r="AO77" s="143" t="s">
        <v>77</v>
      </c>
      <c r="AP77" s="966" t="s">
        <v>77</v>
      </c>
      <c r="AQ77" s="967"/>
      <c r="AR77" s="1178" t="s">
        <v>77</v>
      </c>
      <c r="AS77" s="1179"/>
      <c r="AT77" s="1180"/>
      <c r="AU77" s="1133" t="s">
        <v>77</v>
      </c>
      <c r="AV77" s="1134"/>
      <c r="AW77" s="158" t="s">
        <v>77</v>
      </c>
      <c r="AX77" s="966" t="s">
        <v>77</v>
      </c>
      <c r="AY77" s="967"/>
      <c r="AZ77" s="966" t="s">
        <v>77</v>
      </c>
      <c r="BA77" s="967"/>
      <c r="BB77" s="252" t="s">
        <v>77</v>
      </c>
      <c r="BC77" s="966" t="s">
        <v>77</v>
      </c>
      <c r="BD77" s="967"/>
      <c r="JS77" s="5"/>
    </row>
    <row r="78" spans="1:279" s="1" customFormat="1">
      <c r="A78" s="1077" t="s">
        <v>64</v>
      </c>
      <c r="B78" s="1079" t="s">
        <v>165</v>
      </c>
      <c r="C78" s="69" t="s">
        <v>33</v>
      </c>
      <c r="D78" s="204" t="s">
        <v>175</v>
      </c>
      <c r="E78" s="266" t="s">
        <v>175</v>
      </c>
      <c r="F78" s="267" t="s">
        <v>175</v>
      </c>
      <c r="G78" s="644" t="s">
        <v>175</v>
      </c>
      <c r="H78" s="338" t="s">
        <v>175</v>
      </c>
      <c r="I78" s="266" t="s">
        <v>175</v>
      </c>
      <c r="J78" s="267" t="s">
        <v>175</v>
      </c>
      <c r="K78" s="266" t="s">
        <v>175</v>
      </c>
      <c r="L78" s="267" t="s">
        <v>175</v>
      </c>
      <c r="M78" s="266" t="s">
        <v>175</v>
      </c>
      <c r="N78" s="267" t="s">
        <v>175</v>
      </c>
      <c r="O78" s="266" t="s">
        <v>175</v>
      </c>
      <c r="P78" s="267" t="s">
        <v>175</v>
      </c>
      <c r="Q78" s="278" t="s">
        <v>175</v>
      </c>
      <c r="R78" s="279" t="s">
        <v>175</v>
      </c>
      <c r="S78" s="278" t="s">
        <v>175</v>
      </c>
      <c r="T78" s="109" t="s">
        <v>175</v>
      </c>
      <c r="U78" s="109" t="s">
        <v>175</v>
      </c>
      <c r="V78" s="278" t="s">
        <v>175</v>
      </c>
      <c r="W78" s="109" t="s">
        <v>175</v>
      </c>
      <c r="X78" s="154" t="s">
        <v>175</v>
      </c>
      <c r="Y78" s="278" t="s">
        <v>175</v>
      </c>
      <c r="Z78" s="279" t="s">
        <v>175</v>
      </c>
      <c r="AA78" s="278" t="s">
        <v>175</v>
      </c>
      <c r="AB78" s="279" t="s">
        <v>175</v>
      </c>
      <c r="AC78" s="278" t="s">
        <v>175</v>
      </c>
      <c r="AD78" s="279" t="s">
        <v>175</v>
      </c>
      <c r="AE78" s="278" t="s">
        <v>175</v>
      </c>
      <c r="AF78" s="279" t="s">
        <v>175</v>
      </c>
      <c r="AG78" s="278" t="s">
        <v>175</v>
      </c>
      <c r="AH78" s="279" t="s">
        <v>175</v>
      </c>
      <c r="AI78" s="278" t="s">
        <v>175</v>
      </c>
      <c r="AJ78" s="279" t="s">
        <v>175</v>
      </c>
      <c r="AK78" s="278" t="s">
        <v>175</v>
      </c>
      <c r="AL78" s="279" t="s">
        <v>175</v>
      </c>
      <c r="AM78" s="278" t="s">
        <v>175</v>
      </c>
      <c r="AN78" s="279" t="s">
        <v>175</v>
      </c>
      <c r="AO78" s="154" t="s">
        <v>175</v>
      </c>
      <c r="AP78" s="278" t="s">
        <v>175</v>
      </c>
      <c r="AQ78" s="279" t="s">
        <v>175</v>
      </c>
      <c r="AR78" s="266" t="s">
        <v>175</v>
      </c>
      <c r="AS78" s="45" t="s">
        <v>175</v>
      </c>
      <c r="AT78" s="267" t="s">
        <v>175</v>
      </c>
      <c r="AU78" s="266" t="s">
        <v>175</v>
      </c>
      <c r="AV78" s="267" t="s">
        <v>175</v>
      </c>
      <c r="AW78" s="338" t="s">
        <v>175</v>
      </c>
      <c r="AX78" s="278" t="s">
        <v>175</v>
      </c>
      <c r="AY78" s="279" t="s">
        <v>175</v>
      </c>
      <c r="AZ78" s="278" t="s">
        <v>175</v>
      </c>
      <c r="BA78" s="279" t="s">
        <v>175</v>
      </c>
      <c r="BB78" s="557" t="s">
        <v>264</v>
      </c>
      <c r="BC78" s="278" t="s">
        <v>175</v>
      </c>
      <c r="BD78" s="279" t="s">
        <v>175</v>
      </c>
      <c r="JS78" s="5"/>
    </row>
    <row r="79" spans="1:279" s="1" customFormat="1">
      <c r="A79" s="1077"/>
      <c r="B79" s="1079"/>
      <c r="C79" s="69" t="s">
        <v>166</v>
      </c>
      <c r="D79" s="189">
        <v>2019</v>
      </c>
      <c r="E79" s="385">
        <v>2020</v>
      </c>
      <c r="F79" s="418">
        <v>2020</v>
      </c>
      <c r="G79" s="208">
        <v>2021</v>
      </c>
      <c r="H79" s="158">
        <v>2021</v>
      </c>
      <c r="I79" s="385">
        <v>2021</v>
      </c>
      <c r="J79" s="418">
        <v>2021</v>
      </c>
      <c r="K79" s="385">
        <v>2021</v>
      </c>
      <c r="L79" s="418">
        <v>2021</v>
      </c>
      <c r="M79" s="385">
        <v>2021</v>
      </c>
      <c r="N79" s="418">
        <v>2021</v>
      </c>
      <c r="O79" s="385">
        <v>2020</v>
      </c>
      <c r="P79" s="418">
        <v>2021</v>
      </c>
      <c r="Q79" s="253">
        <v>2021</v>
      </c>
      <c r="R79" s="254">
        <v>2021</v>
      </c>
      <c r="S79" s="253">
        <v>2021</v>
      </c>
      <c r="T79" s="113">
        <v>2021</v>
      </c>
      <c r="U79" s="113">
        <v>2021</v>
      </c>
      <c r="V79" s="253">
        <v>2021</v>
      </c>
      <c r="W79" s="113">
        <v>2021</v>
      </c>
      <c r="X79" s="143">
        <v>2021</v>
      </c>
      <c r="Y79" s="253">
        <v>2020</v>
      </c>
      <c r="Z79" s="254">
        <v>2020</v>
      </c>
      <c r="AA79" s="253">
        <v>2021</v>
      </c>
      <c r="AB79" s="254">
        <v>2021</v>
      </c>
      <c r="AC79" s="253">
        <v>2020</v>
      </c>
      <c r="AD79" s="254">
        <v>2021</v>
      </c>
      <c r="AE79" s="253">
        <v>2021</v>
      </c>
      <c r="AF79" s="254">
        <v>2021</v>
      </c>
      <c r="AG79" s="253">
        <v>2021</v>
      </c>
      <c r="AH79" s="254">
        <v>2021</v>
      </c>
      <c r="AI79" s="658">
        <v>2021</v>
      </c>
      <c r="AJ79" s="662">
        <v>2021</v>
      </c>
      <c r="AK79" s="253">
        <v>2021</v>
      </c>
      <c r="AL79" s="254">
        <v>2021</v>
      </c>
      <c r="AM79" s="253">
        <v>2021</v>
      </c>
      <c r="AN79" s="254">
        <v>2021</v>
      </c>
      <c r="AO79" s="143">
        <v>2021</v>
      </c>
      <c r="AP79" s="253">
        <v>2019</v>
      </c>
      <c r="AQ79" s="254">
        <v>2019</v>
      </c>
      <c r="AR79" s="385">
        <v>2020</v>
      </c>
      <c r="AS79" s="30">
        <v>2020</v>
      </c>
      <c r="AT79" s="418">
        <v>2020</v>
      </c>
      <c r="AU79" s="385">
        <v>2020</v>
      </c>
      <c r="AV79" s="418">
        <v>2020</v>
      </c>
      <c r="AW79" s="158">
        <v>2021</v>
      </c>
      <c r="AX79" s="253">
        <v>2021</v>
      </c>
      <c r="AY79" s="254">
        <v>2021</v>
      </c>
      <c r="AZ79" s="253">
        <v>2021</v>
      </c>
      <c r="BA79" s="254">
        <v>2021</v>
      </c>
      <c r="BB79" s="252">
        <v>2020</v>
      </c>
      <c r="BC79" s="253">
        <v>2019</v>
      </c>
      <c r="BD79" s="254">
        <v>2021</v>
      </c>
      <c r="JS79" s="5"/>
    </row>
    <row r="80" spans="1:279" s="1" customFormat="1" ht="24">
      <c r="A80" s="1077"/>
      <c r="B80" s="1079"/>
      <c r="C80" s="69" t="s">
        <v>213</v>
      </c>
      <c r="D80" s="189" t="s">
        <v>838</v>
      </c>
      <c r="E80" s="385" t="s">
        <v>262</v>
      </c>
      <c r="F80" s="418" t="s">
        <v>262</v>
      </c>
      <c r="G80" s="208" t="s">
        <v>839</v>
      </c>
      <c r="H80" s="158" t="s">
        <v>262</v>
      </c>
      <c r="I80" s="385" t="s">
        <v>262</v>
      </c>
      <c r="J80" s="418" t="s">
        <v>262</v>
      </c>
      <c r="K80" s="385" t="s">
        <v>262</v>
      </c>
      <c r="L80" s="418" t="s">
        <v>262</v>
      </c>
      <c r="M80" s="385" t="s">
        <v>262</v>
      </c>
      <c r="N80" s="418" t="s">
        <v>262</v>
      </c>
      <c r="O80" s="385" t="s">
        <v>262</v>
      </c>
      <c r="P80" s="418" t="s">
        <v>262</v>
      </c>
      <c r="Q80" s="253" t="s">
        <v>262</v>
      </c>
      <c r="R80" s="254" t="s">
        <v>262</v>
      </c>
      <c r="S80" s="253" t="s">
        <v>262</v>
      </c>
      <c r="T80" s="113" t="s">
        <v>262</v>
      </c>
      <c r="U80" s="113" t="s">
        <v>262</v>
      </c>
      <c r="V80" s="253" t="s">
        <v>262</v>
      </c>
      <c r="W80" s="113" t="s">
        <v>262</v>
      </c>
      <c r="X80" s="143" t="s">
        <v>699</v>
      </c>
      <c r="Y80" s="253" t="s">
        <v>262</v>
      </c>
      <c r="Z80" s="254" t="s">
        <v>262</v>
      </c>
      <c r="AA80" s="253" t="s">
        <v>262</v>
      </c>
      <c r="AB80" s="254" t="s">
        <v>262</v>
      </c>
      <c r="AC80" s="253" t="s">
        <v>262</v>
      </c>
      <c r="AD80" s="254" t="s">
        <v>262</v>
      </c>
      <c r="AE80" s="253" t="s">
        <v>358</v>
      </c>
      <c r="AF80" s="254" t="s">
        <v>356</v>
      </c>
      <c r="AG80" s="253" t="s">
        <v>421</v>
      </c>
      <c r="AH80" s="254" t="s">
        <v>421</v>
      </c>
      <c r="AI80" s="658" t="s">
        <v>461</v>
      </c>
      <c r="AJ80" s="663"/>
      <c r="AK80" s="253" t="s">
        <v>524</v>
      </c>
      <c r="AL80" s="254" t="s">
        <v>524</v>
      </c>
      <c r="AM80" s="253" t="s">
        <v>550</v>
      </c>
      <c r="AN80" s="254" t="s">
        <v>551</v>
      </c>
      <c r="AO80" s="145" t="s">
        <v>897</v>
      </c>
      <c r="AP80" s="253" t="s">
        <v>608</v>
      </c>
      <c r="AQ80" s="254" t="s">
        <v>607</v>
      </c>
      <c r="AR80" s="385" t="s">
        <v>262</v>
      </c>
      <c r="AS80" s="30" t="s">
        <v>262</v>
      </c>
      <c r="AT80" s="418" t="s">
        <v>262</v>
      </c>
      <c r="AU80" s="385" t="s">
        <v>262</v>
      </c>
      <c r="AV80" s="418" t="s">
        <v>262</v>
      </c>
      <c r="AW80" s="158" t="s">
        <v>262</v>
      </c>
      <c r="AX80" s="253" t="s">
        <v>262</v>
      </c>
      <c r="AY80" s="254" t="s">
        <v>262</v>
      </c>
      <c r="AZ80" s="253" t="s">
        <v>653</v>
      </c>
      <c r="BA80" s="254" t="s">
        <v>654</v>
      </c>
      <c r="BB80" s="252" t="s">
        <v>1023</v>
      </c>
      <c r="BC80" s="253" t="s">
        <v>699</v>
      </c>
      <c r="BD80" s="254" t="s">
        <v>700</v>
      </c>
      <c r="JS80" s="5"/>
    </row>
    <row r="81" spans="1:279" s="1" customFormat="1">
      <c r="A81" s="1077"/>
      <c r="B81" s="1079"/>
      <c r="C81" s="69" t="s">
        <v>0</v>
      </c>
      <c r="D81" s="189" t="s">
        <v>77</v>
      </c>
      <c r="E81" s="385" t="s">
        <v>77</v>
      </c>
      <c r="F81" s="418" t="s">
        <v>77</v>
      </c>
      <c r="G81" s="208" t="s">
        <v>77</v>
      </c>
      <c r="H81" s="158" t="s">
        <v>77</v>
      </c>
      <c r="I81" s="385" t="s">
        <v>77</v>
      </c>
      <c r="J81" s="418" t="s">
        <v>77</v>
      </c>
      <c r="K81" s="385" t="s">
        <v>77</v>
      </c>
      <c r="L81" s="418" t="s">
        <v>77</v>
      </c>
      <c r="M81" s="385" t="s">
        <v>77</v>
      </c>
      <c r="N81" s="418" t="s">
        <v>77</v>
      </c>
      <c r="O81" s="385" t="s">
        <v>77</v>
      </c>
      <c r="P81" s="418" t="s">
        <v>77</v>
      </c>
      <c r="Q81" s="253" t="s">
        <v>77</v>
      </c>
      <c r="R81" s="254" t="s">
        <v>77</v>
      </c>
      <c r="S81" s="253" t="s">
        <v>77</v>
      </c>
      <c r="T81" s="113" t="s">
        <v>77</v>
      </c>
      <c r="U81" s="113" t="s">
        <v>77</v>
      </c>
      <c r="V81" s="253" t="s">
        <v>77</v>
      </c>
      <c r="W81" s="113" t="s">
        <v>77</v>
      </c>
      <c r="X81" s="143" t="s">
        <v>77</v>
      </c>
      <c r="Y81" s="253" t="s">
        <v>77</v>
      </c>
      <c r="Z81" s="254" t="s">
        <v>77</v>
      </c>
      <c r="AA81" s="253" t="s">
        <v>77</v>
      </c>
      <c r="AB81" s="254" t="s">
        <v>77</v>
      </c>
      <c r="AC81" s="253" t="s">
        <v>77</v>
      </c>
      <c r="AD81" s="254" t="s">
        <v>77</v>
      </c>
      <c r="AE81" s="253" t="s">
        <v>77</v>
      </c>
      <c r="AF81" s="254" t="s">
        <v>77</v>
      </c>
      <c r="AG81" s="253" t="s">
        <v>77</v>
      </c>
      <c r="AH81" s="254" t="s">
        <v>77</v>
      </c>
      <c r="AI81" s="658" t="s">
        <v>77</v>
      </c>
      <c r="AJ81" s="662" t="s">
        <v>77</v>
      </c>
      <c r="AK81" s="253" t="s">
        <v>77</v>
      </c>
      <c r="AL81" s="254" t="s">
        <v>77</v>
      </c>
      <c r="AM81" s="253" t="s">
        <v>77</v>
      </c>
      <c r="AN81" s="254" t="s">
        <v>77</v>
      </c>
      <c r="AO81" s="143" t="s">
        <v>77</v>
      </c>
      <c r="AP81" s="253" t="s">
        <v>77</v>
      </c>
      <c r="AQ81" s="254" t="s">
        <v>77</v>
      </c>
      <c r="AR81" s="1178" t="s">
        <v>1585</v>
      </c>
      <c r="AS81" s="1179"/>
      <c r="AT81" s="1180"/>
      <c r="AU81" s="385" t="s">
        <v>77</v>
      </c>
      <c r="AV81" s="418" t="s">
        <v>77</v>
      </c>
      <c r="AW81" s="158" t="s">
        <v>77</v>
      </c>
      <c r="AX81" s="253" t="s">
        <v>77</v>
      </c>
      <c r="AY81" s="254" t="s">
        <v>77</v>
      </c>
      <c r="AZ81" s="253" t="s">
        <v>77</v>
      </c>
      <c r="BA81" s="254" t="s">
        <v>77</v>
      </c>
      <c r="BB81" s="252" t="s">
        <v>77</v>
      </c>
      <c r="BC81" s="253" t="s">
        <v>77</v>
      </c>
      <c r="BD81" s="254" t="s">
        <v>77</v>
      </c>
      <c r="JS81" s="5"/>
    </row>
    <row r="82" spans="1:279" s="1" customFormat="1">
      <c r="A82" s="1078" t="s">
        <v>65</v>
      </c>
      <c r="B82" s="1127" t="s">
        <v>214</v>
      </c>
      <c r="C82" s="69" t="s">
        <v>10</v>
      </c>
      <c r="D82" s="189" t="s">
        <v>350</v>
      </c>
      <c r="E82" s="385" t="s">
        <v>252</v>
      </c>
      <c r="F82" s="418" t="s">
        <v>252</v>
      </c>
      <c r="G82" s="208" t="s">
        <v>525</v>
      </c>
      <c r="H82" s="158" t="s">
        <v>350</v>
      </c>
      <c r="I82" s="385" t="s">
        <v>1468</v>
      </c>
      <c r="J82" s="418" t="s">
        <v>252</v>
      </c>
      <c r="K82" s="385" t="s">
        <v>350</v>
      </c>
      <c r="L82" s="418" t="s">
        <v>252</v>
      </c>
      <c r="M82" s="385" t="s">
        <v>1416</v>
      </c>
      <c r="N82" s="418" t="s">
        <v>252</v>
      </c>
      <c r="O82" s="385" t="s">
        <v>252</v>
      </c>
      <c r="P82" s="418" t="s">
        <v>252</v>
      </c>
      <c r="Q82" s="253" t="s">
        <v>1302</v>
      </c>
      <c r="R82" s="254" t="s">
        <v>350</v>
      </c>
      <c r="S82" s="253" t="s">
        <v>567</v>
      </c>
      <c r="T82" s="113" t="s">
        <v>350</v>
      </c>
      <c r="U82" s="113" t="s">
        <v>948</v>
      </c>
      <c r="V82" s="253" t="s">
        <v>1182</v>
      </c>
      <c r="W82" s="113" t="s">
        <v>350</v>
      </c>
      <c r="X82" s="143" t="s">
        <v>350</v>
      </c>
      <c r="Y82" s="253" t="s">
        <v>947</v>
      </c>
      <c r="Z82" s="254" t="s">
        <v>350</v>
      </c>
      <c r="AA82" s="253" t="s">
        <v>947</v>
      </c>
      <c r="AB82" s="254" t="s">
        <v>948</v>
      </c>
      <c r="AC82" s="253" t="s">
        <v>1070</v>
      </c>
      <c r="AD82" s="254" t="s">
        <v>948</v>
      </c>
      <c r="AE82" s="253" t="s">
        <v>350</v>
      </c>
      <c r="AF82" s="254" t="s">
        <v>350</v>
      </c>
      <c r="AG82" s="253" t="s">
        <v>350</v>
      </c>
      <c r="AH82" s="254" t="s">
        <v>350</v>
      </c>
      <c r="AI82" s="253" t="s">
        <v>480</v>
      </c>
      <c r="AJ82" s="254" t="s">
        <v>480</v>
      </c>
      <c r="AK82" s="253" t="s">
        <v>525</v>
      </c>
      <c r="AL82" s="254" t="s">
        <v>350</v>
      </c>
      <c r="AM82" s="253" t="s">
        <v>576</v>
      </c>
      <c r="AN82" s="254" t="s">
        <v>350</v>
      </c>
      <c r="AO82" s="143" t="s">
        <v>717</v>
      </c>
      <c r="AP82" s="253" t="s">
        <v>350</v>
      </c>
      <c r="AQ82" s="254" t="s">
        <v>350</v>
      </c>
      <c r="AR82" s="385" t="s">
        <v>350</v>
      </c>
      <c r="AS82" s="30" t="s">
        <v>252</v>
      </c>
      <c r="AT82" s="418" t="s">
        <v>1416</v>
      </c>
      <c r="AU82" s="385" t="s">
        <v>1182</v>
      </c>
      <c r="AV82" s="418" t="s">
        <v>350</v>
      </c>
      <c r="AW82" s="143" t="s">
        <v>801</v>
      </c>
      <c r="AX82" s="253" t="s">
        <v>1129</v>
      </c>
      <c r="AY82" s="254" t="s">
        <v>1129</v>
      </c>
      <c r="AZ82" s="253" t="s">
        <v>350</v>
      </c>
      <c r="BA82" s="254" t="s">
        <v>350</v>
      </c>
      <c r="BB82" s="252" t="s">
        <v>576</v>
      </c>
      <c r="BC82" s="253" t="s">
        <v>350</v>
      </c>
      <c r="BD82" s="254" t="s">
        <v>717</v>
      </c>
      <c r="JS82" s="5"/>
    </row>
    <row r="83" spans="1:279" s="1" customFormat="1">
      <c r="A83" s="1125"/>
      <c r="B83" s="1128"/>
      <c r="C83" s="69" t="s">
        <v>215</v>
      </c>
      <c r="D83" s="189" t="s">
        <v>855</v>
      </c>
      <c r="E83" s="385" t="s">
        <v>265</v>
      </c>
      <c r="F83" s="418" t="s">
        <v>266</v>
      </c>
      <c r="G83" s="208" t="s">
        <v>856</v>
      </c>
      <c r="H83" s="158" t="s">
        <v>1412</v>
      </c>
      <c r="I83" s="385" t="s">
        <v>1469</v>
      </c>
      <c r="J83" s="418" t="s">
        <v>1470</v>
      </c>
      <c r="K83" s="385" t="s">
        <v>1471</v>
      </c>
      <c r="L83" s="418" t="s">
        <v>1472</v>
      </c>
      <c r="M83" s="385">
        <v>2478</v>
      </c>
      <c r="N83" s="418" t="s">
        <v>1473</v>
      </c>
      <c r="O83" s="385" t="s">
        <v>1537</v>
      </c>
      <c r="P83" s="418" t="s">
        <v>1538</v>
      </c>
      <c r="Q83" s="253">
        <v>495878</v>
      </c>
      <c r="R83" s="254" t="s">
        <v>1303</v>
      </c>
      <c r="S83" s="253" t="s">
        <v>943</v>
      </c>
      <c r="T83" s="113">
        <v>2000237429</v>
      </c>
      <c r="U83" s="113" t="s">
        <v>1345</v>
      </c>
      <c r="V83" s="253" t="s">
        <v>1183</v>
      </c>
      <c r="W83" s="113" t="s">
        <v>1184</v>
      </c>
      <c r="X83" s="143" t="s">
        <v>770</v>
      </c>
      <c r="Y83" s="253">
        <v>2000235545</v>
      </c>
      <c r="Z83" s="254" t="s">
        <v>1251</v>
      </c>
      <c r="AA83" s="253" t="s">
        <v>949</v>
      </c>
      <c r="AB83" s="254" t="s">
        <v>950</v>
      </c>
      <c r="AC83" s="253" t="s">
        <v>1071</v>
      </c>
      <c r="AD83" s="254" t="s">
        <v>1072</v>
      </c>
      <c r="AE83" s="253" t="s">
        <v>362</v>
      </c>
      <c r="AF83" s="254" t="s">
        <v>364</v>
      </c>
      <c r="AG83" s="253" t="s">
        <v>433</v>
      </c>
      <c r="AH83" s="254" t="s">
        <v>432</v>
      </c>
      <c r="AI83" s="253">
        <v>2000259879</v>
      </c>
      <c r="AJ83" s="254">
        <v>2000259198</v>
      </c>
      <c r="AK83" s="253">
        <v>2416</v>
      </c>
      <c r="AL83" s="254" t="s">
        <v>526</v>
      </c>
      <c r="AM83" s="253" t="s">
        <v>577</v>
      </c>
      <c r="AN83" s="254" t="s">
        <v>575</v>
      </c>
      <c r="AO83" s="143" t="s">
        <v>904</v>
      </c>
      <c r="AP83" s="253" t="s">
        <v>625</v>
      </c>
      <c r="AQ83" s="254" t="s">
        <v>623</v>
      </c>
      <c r="AR83" s="385">
        <v>2000202745</v>
      </c>
      <c r="AS83" s="30" t="s">
        <v>1586</v>
      </c>
      <c r="AT83" s="418">
        <v>2503</v>
      </c>
      <c r="AU83" s="385" t="s">
        <v>1587</v>
      </c>
      <c r="AV83" s="418" t="s">
        <v>1588</v>
      </c>
      <c r="AW83" s="143" t="s">
        <v>802</v>
      </c>
      <c r="AX83" s="253">
        <v>2227</v>
      </c>
      <c r="AY83" s="254">
        <v>2228</v>
      </c>
      <c r="AZ83" s="253" t="s">
        <v>673</v>
      </c>
      <c r="BA83" s="254" t="s">
        <v>671</v>
      </c>
      <c r="BB83" s="252" t="s">
        <v>1024</v>
      </c>
      <c r="BC83" s="253" t="s">
        <v>714</v>
      </c>
      <c r="BD83" s="254" t="s">
        <v>716</v>
      </c>
      <c r="JS83" s="5"/>
    </row>
    <row r="84" spans="1:279" s="1" customFormat="1" ht="147" customHeight="1">
      <c r="A84" s="1125"/>
      <c r="B84" s="1128"/>
      <c r="C84" s="69" t="s">
        <v>216</v>
      </c>
      <c r="D84" s="189" t="s">
        <v>267</v>
      </c>
      <c r="E84" s="385" t="s">
        <v>267</v>
      </c>
      <c r="F84" s="418" t="s">
        <v>267</v>
      </c>
      <c r="G84" s="208" t="s">
        <v>267</v>
      </c>
      <c r="H84" s="158" t="s">
        <v>267</v>
      </c>
      <c r="I84" s="385" t="s">
        <v>267</v>
      </c>
      <c r="J84" s="418" t="s">
        <v>267</v>
      </c>
      <c r="K84" s="385" t="s">
        <v>267</v>
      </c>
      <c r="L84" s="418" t="s">
        <v>267</v>
      </c>
      <c r="M84" s="385" t="s">
        <v>267</v>
      </c>
      <c r="N84" s="418" t="s">
        <v>267</v>
      </c>
      <c r="O84" s="385" t="s">
        <v>267</v>
      </c>
      <c r="P84" s="418" t="s">
        <v>267</v>
      </c>
      <c r="Q84" s="253" t="s">
        <v>567</v>
      </c>
      <c r="R84" s="254" t="s">
        <v>567</v>
      </c>
      <c r="S84" s="253" t="s">
        <v>863</v>
      </c>
      <c r="T84" s="113" t="s">
        <v>863</v>
      </c>
      <c r="U84" s="113" t="s">
        <v>943</v>
      </c>
      <c r="V84" s="253" t="s">
        <v>267</v>
      </c>
      <c r="W84" s="113" t="s">
        <v>267</v>
      </c>
      <c r="X84" s="143" t="s">
        <v>1642</v>
      </c>
      <c r="Y84" s="253" t="s">
        <v>267</v>
      </c>
      <c r="Z84" s="254" t="s">
        <v>267</v>
      </c>
      <c r="AA84" s="253" t="s">
        <v>863</v>
      </c>
      <c r="AB84" s="254" t="s">
        <v>863</v>
      </c>
      <c r="AC84" s="253" t="s">
        <v>863</v>
      </c>
      <c r="AD84" s="254" t="s">
        <v>863</v>
      </c>
      <c r="AE84" s="253" t="s">
        <v>363</v>
      </c>
      <c r="AF84" s="254" t="s">
        <v>365</v>
      </c>
      <c r="AG84" s="253" t="s">
        <v>434</v>
      </c>
      <c r="AH84" s="254" t="s">
        <v>435</v>
      </c>
      <c r="AI84" s="253" t="s">
        <v>482</v>
      </c>
      <c r="AJ84" s="254" t="s">
        <v>481</v>
      </c>
      <c r="AK84" s="253" t="s">
        <v>527</v>
      </c>
      <c r="AL84" s="254" t="s">
        <v>527</v>
      </c>
      <c r="AM84" s="253" t="s">
        <v>579</v>
      </c>
      <c r="AN84" s="254" t="s">
        <v>578</v>
      </c>
      <c r="AO84" s="143" t="s">
        <v>905</v>
      </c>
      <c r="AP84" s="253" t="s">
        <v>624</v>
      </c>
      <c r="AQ84" s="254" t="s">
        <v>624</v>
      </c>
      <c r="AR84" s="385" t="s">
        <v>267</v>
      </c>
      <c r="AS84" s="30" t="s">
        <v>267</v>
      </c>
      <c r="AT84" s="418" t="s">
        <v>267</v>
      </c>
      <c r="AU84" s="385" t="s">
        <v>267</v>
      </c>
      <c r="AV84" s="418" t="s">
        <v>267</v>
      </c>
      <c r="AW84" s="143" t="s">
        <v>267</v>
      </c>
      <c r="AX84" s="253" t="s">
        <v>78</v>
      </c>
      <c r="AY84" s="254" t="s">
        <v>78</v>
      </c>
      <c r="AZ84" s="253" t="s">
        <v>672</v>
      </c>
      <c r="BA84" s="254" t="s">
        <v>672</v>
      </c>
      <c r="BB84" s="252" t="s">
        <v>1648</v>
      </c>
      <c r="BC84" s="253" t="s">
        <v>713</v>
      </c>
      <c r="BD84" s="254" t="s">
        <v>715</v>
      </c>
      <c r="JS84" s="5"/>
    </row>
    <row r="85" spans="1:279" s="1" customFormat="1" ht="24.75">
      <c r="A85" s="1126"/>
      <c r="B85" s="1129"/>
      <c r="C85" s="69" t="s">
        <v>213</v>
      </c>
      <c r="D85" s="189" t="s">
        <v>838</v>
      </c>
      <c r="E85" s="385" t="s">
        <v>262</v>
      </c>
      <c r="F85" s="418" t="s">
        <v>262</v>
      </c>
      <c r="G85" s="208" t="s">
        <v>839</v>
      </c>
      <c r="H85" s="158" t="s">
        <v>262</v>
      </c>
      <c r="I85" s="385" t="s">
        <v>262</v>
      </c>
      <c r="J85" s="418" t="s">
        <v>262</v>
      </c>
      <c r="K85" s="385" t="s">
        <v>262</v>
      </c>
      <c r="L85" s="418" t="s">
        <v>262</v>
      </c>
      <c r="M85" s="385" t="s">
        <v>262</v>
      </c>
      <c r="N85" s="418" t="s">
        <v>262</v>
      </c>
      <c r="O85" s="385" t="s">
        <v>262</v>
      </c>
      <c r="P85" s="418" t="s">
        <v>262</v>
      </c>
      <c r="Q85" s="253" t="s">
        <v>567</v>
      </c>
      <c r="R85" s="254" t="s">
        <v>943</v>
      </c>
      <c r="S85" s="253" t="s">
        <v>1334</v>
      </c>
      <c r="T85" s="113" t="s">
        <v>1335</v>
      </c>
      <c r="U85" s="113" t="s">
        <v>943</v>
      </c>
      <c r="V85" s="253" t="s">
        <v>262</v>
      </c>
      <c r="W85" s="113" t="s">
        <v>262</v>
      </c>
      <c r="X85" s="143" t="s">
        <v>699</v>
      </c>
      <c r="Y85" s="253" t="s">
        <v>262</v>
      </c>
      <c r="Z85" s="254" t="s">
        <v>262</v>
      </c>
      <c r="AA85" s="253" t="s">
        <v>931</v>
      </c>
      <c r="AB85" s="254" t="s">
        <v>932</v>
      </c>
      <c r="AC85" s="253" t="s">
        <v>1059</v>
      </c>
      <c r="AD85" s="254" t="s">
        <v>1060</v>
      </c>
      <c r="AE85" s="253" t="s">
        <v>358</v>
      </c>
      <c r="AF85" s="254" t="s">
        <v>356</v>
      </c>
      <c r="AG85" s="253" t="s">
        <v>403</v>
      </c>
      <c r="AH85" s="358" t="s">
        <v>402</v>
      </c>
      <c r="AI85" s="253" t="s">
        <v>461</v>
      </c>
      <c r="AJ85" s="254" t="s">
        <v>462</v>
      </c>
      <c r="AK85" s="253" t="s">
        <v>508</v>
      </c>
      <c r="AL85" s="254" t="s">
        <v>508</v>
      </c>
      <c r="AM85" s="253" t="s">
        <v>550</v>
      </c>
      <c r="AN85" s="254" t="s">
        <v>551</v>
      </c>
      <c r="AO85" s="145" t="s">
        <v>897</v>
      </c>
      <c r="AP85" s="253" t="s">
        <v>607</v>
      </c>
      <c r="AQ85" s="254" t="s">
        <v>607</v>
      </c>
      <c r="AR85" s="385" t="s">
        <v>262</v>
      </c>
      <c r="AS85" s="30" t="s">
        <v>262</v>
      </c>
      <c r="AT85" s="418" t="s">
        <v>262</v>
      </c>
      <c r="AU85" s="385" t="s">
        <v>262</v>
      </c>
      <c r="AV85" s="418" t="s">
        <v>262</v>
      </c>
      <c r="AW85" s="143" t="s">
        <v>262</v>
      </c>
      <c r="AX85" s="253" t="s">
        <v>1653</v>
      </c>
      <c r="AY85" s="675" t="s">
        <v>1653</v>
      </c>
      <c r="AZ85" s="253" t="s">
        <v>653</v>
      </c>
      <c r="BA85" s="254" t="s">
        <v>654</v>
      </c>
      <c r="BB85" s="252" t="s">
        <v>1006</v>
      </c>
      <c r="BC85" s="253" t="s">
        <v>699</v>
      </c>
      <c r="BD85" s="254" t="s">
        <v>700</v>
      </c>
      <c r="JS85" s="5"/>
    </row>
    <row r="86" spans="1:279" s="1" customFormat="1" ht="72">
      <c r="A86" s="65" t="s">
        <v>66</v>
      </c>
      <c r="B86" s="66" t="s">
        <v>217</v>
      </c>
      <c r="C86" s="69" t="s">
        <v>33</v>
      </c>
      <c r="D86" s="189" t="s">
        <v>177</v>
      </c>
      <c r="E86" s="385" t="s">
        <v>268</v>
      </c>
      <c r="F86" s="418" t="s">
        <v>268</v>
      </c>
      <c r="G86" s="208" t="s">
        <v>175</v>
      </c>
      <c r="H86" s="158" t="s">
        <v>1413</v>
      </c>
      <c r="I86" s="385" t="s">
        <v>1474</v>
      </c>
      <c r="J86" s="418" t="s">
        <v>1474</v>
      </c>
      <c r="K86" s="385" t="s">
        <v>1474</v>
      </c>
      <c r="L86" s="418" t="s">
        <v>1474</v>
      </c>
      <c r="M86" s="385" t="s">
        <v>1475</v>
      </c>
      <c r="N86" s="418" t="s">
        <v>1475</v>
      </c>
      <c r="O86" s="385" t="s">
        <v>1475</v>
      </c>
      <c r="P86" s="418" t="s">
        <v>1475</v>
      </c>
      <c r="Q86" s="253" t="s">
        <v>268</v>
      </c>
      <c r="R86" s="254" t="s">
        <v>268</v>
      </c>
      <c r="S86" s="253" t="s">
        <v>268</v>
      </c>
      <c r="T86" s="113" t="s">
        <v>268</v>
      </c>
      <c r="U86" s="113" t="s">
        <v>268</v>
      </c>
      <c r="V86" s="253" t="s">
        <v>268</v>
      </c>
      <c r="W86" s="113" t="s">
        <v>268</v>
      </c>
      <c r="X86" s="167" t="s">
        <v>177</v>
      </c>
      <c r="Y86" s="253" t="s">
        <v>268</v>
      </c>
      <c r="Z86" s="254" t="s">
        <v>268</v>
      </c>
      <c r="AA86" s="253" t="s">
        <v>268</v>
      </c>
      <c r="AB86" s="254" t="s">
        <v>268</v>
      </c>
      <c r="AC86" s="253" t="s">
        <v>268</v>
      </c>
      <c r="AD86" s="254" t="s">
        <v>268</v>
      </c>
      <c r="AE86" s="473" t="s">
        <v>177</v>
      </c>
      <c r="AF86" s="474" t="s">
        <v>177</v>
      </c>
      <c r="AG86" s="473" t="s">
        <v>177</v>
      </c>
      <c r="AH86" s="474" t="s">
        <v>177</v>
      </c>
      <c r="AI86" s="473" t="s">
        <v>177</v>
      </c>
      <c r="AJ86" s="474" t="s">
        <v>177</v>
      </c>
      <c r="AK86" s="473" t="s">
        <v>177</v>
      </c>
      <c r="AL86" s="474" t="s">
        <v>177</v>
      </c>
      <c r="AM86" s="473" t="s">
        <v>177</v>
      </c>
      <c r="AN86" s="474" t="s">
        <v>177</v>
      </c>
      <c r="AO86" s="160" t="s">
        <v>177</v>
      </c>
      <c r="AP86" s="473" t="s">
        <v>177</v>
      </c>
      <c r="AQ86" s="474" t="s">
        <v>177</v>
      </c>
      <c r="AR86" s="385" t="s">
        <v>1474</v>
      </c>
      <c r="AS86" s="30" t="s">
        <v>1474</v>
      </c>
      <c r="AT86" s="418" t="s">
        <v>1474</v>
      </c>
      <c r="AU86" s="385" t="s">
        <v>1475</v>
      </c>
      <c r="AV86" s="418" t="s">
        <v>1475</v>
      </c>
      <c r="AW86" s="158" t="s">
        <v>268</v>
      </c>
      <c r="AX86" s="253" t="s">
        <v>268</v>
      </c>
      <c r="AY86" s="254" t="s">
        <v>268</v>
      </c>
      <c r="AZ86" s="473" t="s">
        <v>177</v>
      </c>
      <c r="BA86" s="474" t="s">
        <v>177</v>
      </c>
      <c r="BB86" s="252" t="s">
        <v>177</v>
      </c>
      <c r="BC86" s="473" t="s">
        <v>177</v>
      </c>
      <c r="BD86" s="474" t="s">
        <v>177</v>
      </c>
      <c r="JS86" s="5"/>
    </row>
    <row r="87" spans="1:279" s="1" customFormat="1" ht="20.25">
      <c r="A87" s="1086" t="s">
        <v>116</v>
      </c>
      <c r="B87" s="1087"/>
      <c r="C87" s="1088"/>
      <c r="D87" s="664" t="s">
        <v>179</v>
      </c>
      <c r="E87" s="1131" t="s">
        <v>179</v>
      </c>
      <c r="F87" s="1132"/>
      <c r="G87" s="209" t="s">
        <v>179</v>
      </c>
      <c r="H87" s="541" t="s">
        <v>823</v>
      </c>
      <c r="I87" s="1131" t="s">
        <v>179</v>
      </c>
      <c r="J87" s="1132"/>
      <c r="K87" s="1131" t="s">
        <v>179</v>
      </c>
      <c r="L87" s="1132"/>
      <c r="M87" s="1131" t="s">
        <v>179</v>
      </c>
      <c r="N87" s="1132"/>
      <c r="O87" s="1131" t="s">
        <v>179</v>
      </c>
      <c r="P87" s="1132"/>
      <c r="Q87" s="1033" t="s">
        <v>179</v>
      </c>
      <c r="R87" s="1130"/>
      <c r="S87" s="942" t="s">
        <v>1073</v>
      </c>
      <c r="T87" s="1021"/>
      <c r="U87" s="1020"/>
      <c r="V87" s="1033" t="s">
        <v>179</v>
      </c>
      <c r="W87" s="1034"/>
      <c r="X87" s="512" t="s">
        <v>179</v>
      </c>
      <c r="Y87" s="1033" t="s">
        <v>179</v>
      </c>
      <c r="Z87" s="1130"/>
      <c r="AA87" s="1033" t="s">
        <v>179</v>
      </c>
      <c r="AB87" s="1130"/>
      <c r="AC87" s="933" t="s">
        <v>179</v>
      </c>
      <c r="AD87" s="935"/>
      <c r="AE87" s="933" t="s">
        <v>360</v>
      </c>
      <c r="AF87" s="935"/>
      <c r="AG87" s="933" t="s">
        <v>179</v>
      </c>
      <c r="AH87" s="935"/>
      <c r="AI87" s="933" t="s">
        <v>179</v>
      </c>
      <c r="AJ87" s="935"/>
      <c r="AK87" s="933" t="s">
        <v>179</v>
      </c>
      <c r="AL87" s="935"/>
      <c r="AM87" s="933" t="s">
        <v>179</v>
      </c>
      <c r="AN87" s="935"/>
      <c r="AO87" s="179" t="s">
        <v>179</v>
      </c>
      <c r="AP87" s="933" t="s">
        <v>179</v>
      </c>
      <c r="AQ87" s="935"/>
      <c r="AR87" s="933" t="s">
        <v>179</v>
      </c>
      <c r="AS87" s="934"/>
      <c r="AT87" s="935"/>
      <c r="AU87" s="1131" t="s">
        <v>179</v>
      </c>
      <c r="AV87" s="1132"/>
      <c r="AW87" s="142" t="s">
        <v>179</v>
      </c>
      <c r="AX87" s="933" t="s">
        <v>999</v>
      </c>
      <c r="AY87" s="935"/>
      <c r="AZ87" s="933" t="s">
        <v>179</v>
      </c>
      <c r="BA87" s="935"/>
      <c r="BB87" s="674" t="s">
        <v>999</v>
      </c>
      <c r="BC87" s="933" t="s">
        <v>179</v>
      </c>
      <c r="BD87" s="935"/>
      <c r="JS87" s="5"/>
    </row>
    <row r="88" spans="1:279" s="1" customFormat="1" ht="20.25">
      <c r="A88" s="1086" t="s">
        <v>122</v>
      </c>
      <c r="B88" s="1087"/>
      <c r="C88" s="1088"/>
      <c r="D88" s="187"/>
      <c r="E88" s="243"/>
      <c r="F88" s="244"/>
      <c r="G88" s="187"/>
      <c r="H88" s="330"/>
      <c r="I88" s="243"/>
      <c r="J88" s="244"/>
      <c r="K88" s="243"/>
      <c r="L88" s="244"/>
      <c r="M88" s="243"/>
      <c r="N88" s="244"/>
      <c r="O88" s="243"/>
      <c r="P88" s="244"/>
      <c r="Q88" s="243"/>
      <c r="R88" s="244"/>
      <c r="S88" s="243"/>
      <c r="T88" s="72"/>
      <c r="U88" s="93"/>
      <c r="V88" s="243"/>
      <c r="W88" s="72"/>
      <c r="X88" s="141"/>
      <c r="Y88" s="243"/>
      <c r="Z88" s="244"/>
      <c r="AA88" s="243"/>
      <c r="AB88" s="244"/>
      <c r="AC88" s="243"/>
      <c r="AD88" s="244"/>
      <c r="AE88" s="243"/>
      <c r="AF88" s="244"/>
      <c r="AG88" s="243"/>
      <c r="AH88" s="244"/>
      <c r="AI88" s="243"/>
      <c r="AJ88" s="244"/>
      <c r="AK88" s="243"/>
      <c r="AL88" s="244"/>
      <c r="AM88" s="243"/>
      <c r="AN88" s="244" t="s">
        <v>580</v>
      </c>
      <c r="AO88" s="141"/>
      <c r="AP88" s="243"/>
      <c r="AQ88" s="244"/>
      <c r="AR88" s="243"/>
      <c r="AS88" s="32"/>
      <c r="AT88" s="244"/>
      <c r="AU88" s="243"/>
      <c r="AV88" s="244"/>
      <c r="AW88" s="141"/>
      <c r="AX88" s="243"/>
      <c r="AY88" s="244"/>
      <c r="AZ88" s="243"/>
      <c r="BA88" s="244"/>
      <c r="BB88" s="545"/>
      <c r="BC88" s="243"/>
      <c r="BD88" s="244"/>
      <c r="JS88" s="5"/>
    </row>
    <row r="89" spans="1:279" s="1" customFormat="1">
      <c r="A89" s="1077" t="s">
        <v>67</v>
      </c>
      <c r="B89" s="1084" t="s">
        <v>35</v>
      </c>
      <c r="C89" s="130" t="s">
        <v>33</v>
      </c>
      <c r="D89" s="189" t="s">
        <v>175</v>
      </c>
      <c r="E89" s="385" t="s">
        <v>175</v>
      </c>
      <c r="F89" s="267" t="s">
        <v>175</v>
      </c>
      <c r="G89" s="208" t="s">
        <v>175</v>
      </c>
      <c r="H89" s="338" t="s">
        <v>175</v>
      </c>
      <c r="I89" s="385" t="s">
        <v>175</v>
      </c>
      <c r="J89" s="267" t="s">
        <v>175</v>
      </c>
      <c r="K89" s="385" t="s">
        <v>175</v>
      </c>
      <c r="L89" s="267" t="s">
        <v>175</v>
      </c>
      <c r="M89" s="385" t="s">
        <v>175</v>
      </c>
      <c r="N89" s="267" t="s">
        <v>175</v>
      </c>
      <c r="O89" s="385" t="s">
        <v>175</v>
      </c>
      <c r="P89" s="267" t="s">
        <v>175</v>
      </c>
      <c r="Q89" s="253" t="s">
        <v>175</v>
      </c>
      <c r="R89" s="279" t="s">
        <v>175</v>
      </c>
      <c r="S89" s="253" t="s">
        <v>175</v>
      </c>
      <c r="T89" s="109" t="s">
        <v>175</v>
      </c>
      <c r="U89" s="109" t="s">
        <v>175</v>
      </c>
      <c r="V89" s="253" t="s">
        <v>264</v>
      </c>
      <c r="W89" s="113" t="s">
        <v>264</v>
      </c>
      <c r="X89" s="143" t="s">
        <v>175</v>
      </c>
      <c r="Y89" s="253" t="s">
        <v>264</v>
      </c>
      <c r="Z89" s="254" t="s">
        <v>264</v>
      </c>
      <c r="AA89" s="253" t="s">
        <v>175</v>
      </c>
      <c r="AB89" s="279" t="s">
        <v>175</v>
      </c>
      <c r="AC89" s="253" t="s">
        <v>175</v>
      </c>
      <c r="AD89" s="279" t="s">
        <v>175</v>
      </c>
      <c r="AE89" s="253" t="s">
        <v>175</v>
      </c>
      <c r="AF89" s="279" t="s">
        <v>175</v>
      </c>
      <c r="AG89" s="253" t="s">
        <v>175</v>
      </c>
      <c r="AH89" s="279" t="s">
        <v>175</v>
      </c>
      <c r="AI89" s="253" t="s">
        <v>175</v>
      </c>
      <c r="AJ89" s="279" t="s">
        <v>264</v>
      </c>
      <c r="AK89" s="253" t="s">
        <v>175</v>
      </c>
      <c r="AL89" s="279" t="s">
        <v>175</v>
      </c>
      <c r="AM89" s="253" t="s">
        <v>175</v>
      </c>
      <c r="AN89" s="279" t="s">
        <v>175</v>
      </c>
      <c r="AO89" s="143" t="s">
        <v>175</v>
      </c>
      <c r="AP89" s="253" t="s">
        <v>175</v>
      </c>
      <c r="AQ89" s="279" t="s">
        <v>175</v>
      </c>
      <c r="AR89" s="385" t="s">
        <v>175</v>
      </c>
      <c r="AS89" s="45" t="s">
        <v>175</v>
      </c>
      <c r="AT89" s="267" t="s">
        <v>175</v>
      </c>
      <c r="AU89" s="385" t="s">
        <v>175</v>
      </c>
      <c r="AV89" s="267" t="s">
        <v>175</v>
      </c>
      <c r="AW89" s="143" t="s">
        <v>175</v>
      </c>
      <c r="AX89" s="253" t="s">
        <v>175</v>
      </c>
      <c r="AY89" s="279" t="s">
        <v>175</v>
      </c>
      <c r="AZ89" s="253" t="s">
        <v>175</v>
      </c>
      <c r="BA89" s="279" t="s">
        <v>175</v>
      </c>
      <c r="BB89" s="252" t="s">
        <v>175</v>
      </c>
      <c r="BC89" s="253" t="s">
        <v>175</v>
      </c>
      <c r="BD89" s="279" t="s">
        <v>175</v>
      </c>
      <c r="JS89" s="5"/>
    </row>
    <row r="90" spans="1:279" s="1" customFormat="1" ht="24">
      <c r="A90" s="1077"/>
      <c r="B90" s="1084"/>
      <c r="C90" s="130" t="s">
        <v>38</v>
      </c>
      <c r="D90" s="189" t="s">
        <v>857</v>
      </c>
      <c r="E90" s="385" t="s">
        <v>269</v>
      </c>
      <c r="F90" s="418" t="s">
        <v>273</v>
      </c>
      <c r="G90" s="208" t="s">
        <v>858</v>
      </c>
      <c r="H90" s="158" t="s">
        <v>1414</v>
      </c>
      <c r="I90" s="385" t="s">
        <v>1476</v>
      </c>
      <c r="J90" s="418" t="s">
        <v>1477</v>
      </c>
      <c r="K90" s="385" t="s">
        <v>1478</v>
      </c>
      <c r="L90" s="418" t="s">
        <v>1479</v>
      </c>
      <c r="M90" s="385" t="s">
        <v>1480</v>
      </c>
      <c r="N90" s="418" t="s">
        <v>1481</v>
      </c>
      <c r="O90" s="385" t="s">
        <v>1539</v>
      </c>
      <c r="P90" s="418" t="s">
        <v>1540</v>
      </c>
      <c r="Q90" s="297">
        <v>20184100001517</v>
      </c>
      <c r="R90" s="373">
        <v>20204100009427</v>
      </c>
      <c r="S90" s="297" t="s">
        <v>1346</v>
      </c>
      <c r="T90" s="104" t="s">
        <v>1347</v>
      </c>
      <c r="U90" s="104" t="s">
        <v>1348</v>
      </c>
      <c r="V90" s="253" t="s">
        <v>1185</v>
      </c>
      <c r="W90" s="113" t="s">
        <v>1186</v>
      </c>
      <c r="X90" s="169" t="s">
        <v>772</v>
      </c>
      <c r="Y90" s="253" t="s">
        <v>1252</v>
      </c>
      <c r="Z90" s="254" t="s">
        <v>1253</v>
      </c>
      <c r="AA90" s="297" t="s">
        <v>951</v>
      </c>
      <c r="AB90" s="373" t="s">
        <v>952</v>
      </c>
      <c r="AC90" s="297" t="s">
        <v>1074</v>
      </c>
      <c r="AD90" s="373" t="s">
        <v>1075</v>
      </c>
      <c r="AE90" s="253" t="s">
        <v>366</v>
      </c>
      <c r="AF90" s="475">
        <v>20204100031667</v>
      </c>
      <c r="AG90" s="253" t="s">
        <v>439</v>
      </c>
      <c r="AH90" s="475" t="s">
        <v>437</v>
      </c>
      <c r="AI90" s="253" t="s">
        <v>483</v>
      </c>
      <c r="AJ90" s="475" t="s">
        <v>485</v>
      </c>
      <c r="AK90" s="253" t="s">
        <v>528</v>
      </c>
      <c r="AL90" s="475" t="s">
        <v>529</v>
      </c>
      <c r="AM90" s="253" t="s">
        <v>581</v>
      </c>
      <c r="AN90" s="279" t="s">
        <v>580</v>
      </c>
      <c r="AO90" s="169" t="s">
        <v>1639</v>
      </c>
      <c r="AP90" s="253" t="s">
        <v>626</v>
      </c>
      <c r="AQ90" s="475" t="s">
        <v>628</v>
      </c>
      <c r="AR90" s="385" t="s">
        <v>1589</v>
      </c>
      <c r="AS90" s="30" t="s">
        <v>1590</v>
      </c>
      <c r="AT90" s="418" t="s">
        <v>1591</v>
      </c>
      <c r="AU90" s="385" t="s">
        <v>1592</v>
      </c>
      <c r="AV90" s="418" t="s">
        <v>1593</v>
      </c>
      <c r="AW90" s="143" t="s">
        <v>803</v>
      </c>
      <c r="AX90" s="297" t="s">
        <v>1130</v>
      </c>
      <c r="AY90" s="373" t="s">
        <v>1131</v>
      </c>
      <c r="AZ90" s="297" t="s">
        <v>674</v>
      </c>
      <c r="BA90" s="475" t="s">
        <v>675</v>
      </c>
      <c r="BB90" s="252" t="s">
        <v>1025</v>
      </c>
      <c r="BC90" s="297" t="s">
        <v>720</v>
      </c>
      <c r="BD90" s="475" t="s">
        <v>722</v>
      </c>
      <c r="JS90" s="5"/>
    </row>
    <row r="91" spans="1:279" s="1" customFormat="1" ht="24">
      <c r="A91" s="1077"/>
      <c r="B91" s="1084"/>
      <c r="C91" s="130" t="s">
        <v>218</v>
      </c>
      <c r="D91" s="199" t="s">
        <v>859</v>
      </c>
      <c r="E91" s="387" t="s">
        <v>272</v>
      </c>
      <c r="F91" s="645" t="s">
        <v>274</v>
      </c>
      <c r="G91" s="631">
        <v>46657</v>
      </c>
      <c r="H91" s="646" t="s">
        <v>804</v>
      </c>
      <c r="I91" s="387" t="s">
        <v>1482</v>
      </c>
      <c r="J91" s="645" t="s">
        <v>804</v>
      </c>
      <c r="K91" s="387" t="s">
        <v>1483</v>
      </c>
      <c r="L91" s="645" t="s">
        <v>804</v>
      </c>
      <c r="M91" s="387" t="s">
        <v>1077</v>
      </c>
      <c r="N91" s="645" t="s">
        <v>804</v>
      </c>
      <c r="O91" s="387" t="s">
        <v>274</v>
      </c>
      <c r="P91" s="645" t="s">
        <v>1541</v>
      </c>
      <c r="Q91" s="247" t="s">
        <v>1026</v>
      </c>
      <c r="R91" s="263" t="s">
        <v>1304</v>
      </c>
      <c r="S91" s="247" t="s">
        <v>953</v>
      </c>
      <c r="T91" s="76" t="s">
        <v>1349</v>
      </c>
      <c r="U91" s="76" t="s">
        <v>1350</v>
      </c>
      <c r="V91" s="247" t="s">
        <v>1187</v>
      </c>
      <c r="W91" s="103">
        <v>46524</v>
      </c>
      <c r="X91" s="149" t="s">
        <v>771</v>
      </c>
      <c r="Y91" s="247">
        <v>45193</v>
      </c>
      <c r="Z91" s="357">
        <v>47597</v>
      </c>
      <c r="AA91" s="247" t="s">
        <v>953</v>
      </c>
      <c r="AB91" s="263" t="s">
        <v>954</v>
      </c>
      <c r="AC91" s="247" t="s">
        <v>1076</v>
      </c>
      <c r="AD91" s="263" t="s">
        <v>1077</v>
      </c>
      <c r="AE91" s="247">
        <v>47127</v>
      </c>
      <c r="AF91" s="476" t="s">
        <v>367</v>
      </c>
      <c r="AG91" s="247" t="s">
        <v>438</v>
      </c>
      <c r="AH91" s="476" t="s">
        <v>436</v>
      </c>
      <c r="AI91" s="247">
        <v>47677</v>
      </c>
      <c r="AJ91" s="476" t="s">
        <v>484</v>
      </c>
      <c r="AK91" s="247">
        <v>45492</v>
      </c>
      <c r="AL91" s="476">
        <v>47078</v>
      </c>
      <c r="AM91" s="247">
        <v>47596</v>
      </c>
      <c r="AN91" s="476">
        <v>47479</v>
      </c>
      <c r="AO91" s="149" t="s">
        <v>1638</v>
      </c>
      <c r="AP91" s="247" t="s">
        <v>627</v>
      </c>
      <c r="AQ91" s="476" t="s">
        <v>629</v>
      </c>
      <c r="AR91" s="387" t="s">
        <v>804</v>
      </c>
      <c r="AS91" s="655" t="s">
        <v>1594</v>
      </c>
      <c r="AT91" s="645" t="s">
        <v>1595</v>
      </c>
      <c r="AU91" s="387" t="s">
        <v>272</v>
      </c>
      <c r="AV91" s="645" t="s">
        <v>274</v>
      </c>
      <c r="AW91" s="149" t="s">
        <v>804</v>
      </c>
      <c r="AX91" s="247" t="s">
        <v>272</v>
      </c>
      <c r="AY91" s="263" t="s">
        <v>274</v>
      </c>
      <c r="AZ91" s="247">
        <v>47458</v>
      </c>
      <c r="BA91" s="476">
        <v>47359</v>
      </c>
      <c r="BB91" s="553">
        <v>45161</v>
      </c>
      <c r="BC91" s="247" t="s">
        <v>719</v>
      </c>
      <c r="BD91" s="476" t="s">
        <v>721</v>
      </c>
      <c r="JS91" s="5"/>
    </row>
    <row r="92" spans="1:279" s="1" customFormat="1" ht="36">
      <c r="A92" s="1077"/>
      <c r="B92" s="1084"/>
      <c r="C92" s="130" t="s">
        <v>39</v>
      </c>
      <c r="D92" s="189" t="s">
        <v>178</v>
      </c>
      <c r="E92" s="385" t="s">
        <v>178</v>
      </c>
      <c r="F92" s="610" t="s">
        <v>178</v>
      </c>
      <c r="G92" s="208" t="s">
        <v>178</v>
      </c>
      <c r="H92" s="605" t="s">
        <v>178</v>
      </c>
      <c r="I92" s="385" t="s">
        <v>178</v>
      </c>
      <c r="J92" s="610" t="s">
        <v>178</v>
      </c>
      <c r="K92" s="385" t="s">
        <v>178</v>
      </c>
      <c r="L92" s="610" t="s">
        <v>178</v>
      </c>
      <c r="M92" s="385" t="s">
        <v>178</v>
      </c>
      <c r="N92" s="610" t="s">
        <v>178</v>
      </c>
      <c r="O92" s="385" t="s">
        <v>178</v>
      </c>
      <c r="P92" s="610" t="s">
        <v>178</v>
      </c>
      <c r="Q92" s="253" t="s">
        <v>178</v>
      </c>
      <c r="R92" s="277" t="s">
        <v>178</v>
      </c>
      <c r="S92" s="253" t="s">
        <v>863</v>
      </c>
      <c r="T92" s="118" t="s">
        <v>863</v>
      </c>
      <c r="U92" s="118" t="s">
        <v>178</v>
      </c>
      <c r="V92" s="253" t="s">
        <v>178</v>
      </c>
      <c r="W92" s="118" t="s">
        <v>178</v>
      </c>
      <c r="X92" s="143" t="s">
        <v>178</v>
      </c>
      <c r="Y92" s="253" t="s">
        <v>178</v>
      </c>
      <c r="Z92" s="277" t="s">
        <v>178</v>
      </c>
      <c r="AA92" s="253" t="s">
        <v>178</v>
      </c>
      <c r="AB92" s="277" t="s">
        <v>178</v>
      </c>
      <c r="AC92" s="253" t="s">
        <v>178</v>
      </c>
      <c r="AD92" s="277" t="s">
        <v>178</v>
      </c>
      <c r="AE92" s="253" t="s">
        <v>178</v>
      </c>
      <c r="AF92" s="254" t="s">
        <v>178</v>
      </c>
      <c r="AG92" s="253" t="s">
        <v>178</v>
      </c>
      <c r="AH92" s="254" t="s">
        <v>178</v>
      </c>
      <c r="AI92" s="253" t="s">
        <v>178</v>
      </c>
      <c r="AJ92" s="254" t="s">
        <v>178</v>
      </c>
      <c r="AK92" s="253" t="s">
        <v>178</v>
      </c>
      <c r="AL92" s="254" t="s">
        <v>178</v>
      </c>
      <c r="AM92" s="253" t="s">
        <v>178</v>
      </c>
      <c r="AN92" s="254" t="s">
        <v>178</v>
      </c>
      <c r="AO92" s="659" t="s">
        <v>178</v>
      </c>
      <c r="AP92" s="253" t="s">
        <v>178</v>
      </c>
      <c r="AQ92" s="254" t="s">
        <v>178</v>
      </c>
      <c r="AR92" s="385" t="s">
        <v>178</v>
      </c>
      <c r="AS92" s="648" t="s">
        <v>178</v>
      </c>
      <c r="AT92" s="610" t="s">
        <v>178</v>
      </c>
      <c r="AU92" s="385" t="s">
        <v>178</v>
      </c>
      <c r="AV92" s="610" t="s">
        <v>178</v>
      </c>
      <c r="AW92" s="143" t="s">
        <v>178</v>
      </c>
      <c r="AX92" s="253" t="s">
        <v>178</v>
      </c>
      <c r="AY92" s="277" t="s">
        <v>178</v>
      </c>
      <c r="AZ92" s="253" t="s">
        <v>178</v>
      </c>
      <c r="BA92" s="254" t="s">
        <v>178</v>
      </c>
      <c r="BB92" s="252" t="s">
        <v>1020</v>
      </c>
      <c r="BC92" s="253" t="s">
        <v>718</v>
      </c>
      <c r="BD92" s="254" t="s">
        <v>178</v>
      </c>
      <c r="JS92" s="5"/>
    </row>
    <row r="93" spans="1:279" s="1" customFormat="1" ht="48">
      <c r="A93" s="1077"/>
      <c r="B93" s="1084"/>
      <c r="C93" s="130" t="s">
        <v>219</v>
      </c>
      <c r="D93" s="189" t="s">
        <v>178</v>
      </c>
      <c r="E93" s="385" t="s">
        <v>178</v>
      </c>
      <c r="F93" s="418" t="s">
        <v>178</v>
      </c>
      <c r="G93" s="208" t="s">
        <v>178</v>
      </c>
      <c r="H93" s="158" t="s">
        <v>178</v>
      </c>
      <c r="I93" s="385" t="s">
        <v>178</v>
      </c>
      <c r="J93" s="418" t="s">
        <v>178</v>
      </c>
      <c r="K93" s="385" t="s">
        <v>178</v>
      </c>
      <c r="L93" s="418" t="s">
        <v>178</v>
      </c>
      <c r="M93" s="385" t="s">
        <v>178</v>
      </c>
      <c r="N93" s="418" t="s">
        <v>178</v>
      </c>
      <c r="O93" s="385" t="s">
        <v>178</v>
      </c>
      <c r="P93" s="418" t="s">
        <v>178</v>
      </c>
      <c r="Q93" s="253" t="s">
        <v>178</v>
      </c>
      <c r="R93" s="254" t="s">
        <v>178</v>
      </c>
      <c r="S93" s="253" t="s">
        <v>178</v>
      </c>
      <c r="T93" s="113" t="s">
        <v>178</v>
      </c>
      <c r="U93" s="113" t="s">
        <v>178</v>
      </c>
      <c r="V93" s="253" t="s">
        <v>178</v>
      </c>
      <c r="W93" s="113" t="s">
        <v>178</v>
      </c>
      <c r="X93" s="143" t="s">
        <v>178</v>
      </c>
      <c r="Y93" s="253" t="s">
        <v>178</v>
      </c>
      <c r="Z93" s="254" t="s">
        <v>178</v>
      </c>
      <c r="AA93" s="253" t="s">
        <v>178</v>
      </c>
      <c r="AB93" s="254" t="s">
        <v>178</v>
      </c>
      <c r="AC93" s="253" t="s">
        <v>178</v>
      </c>
      <c r="AD93" s="254" t="s">
        <v>178</v>
      </c>
      <c r="AE93" s="253" t="s">
        <v>178</v>
      </c>
      <c r="AF93" s="254" t="s">
        <v>178</v>
      </c>
      <c r="AG93" s="253" t="s">
        <v>178</v>
      </c>
      <c r="AH93" s="254" t="s">
        <v>178</v>
      </c>
      <c r="AI93" s="253" t="s">
        <v>178</v>
      </c>
      <c r="AJ93" s="254" t="s">
        <v>178</v>
      </c>
      <c r="AK93" s="253" t="s">
        <v>178</v>
      </c>
      <c r="AL93" s="254" t="s">
        <v>178</v>
      </c>
      <c r="AM93" s="253" t="s">
        <v>178</v>
      </c>
      <c r="AN93" s="254" t="s">
        <v>178</v>
      </c>
      <c r="AO93" s="143" t="s">
        <v>178</v>
      </c>
      <c r="AP93" s="253" t="s">
        <v>178</v>
      </c>
      <c r="AQ93" s="254" t="s">
        <v>178</v>
      </c>
      <c r="AR93" s="385" t="s">
        <v>178</v>
      </c>
      <c r="AS93" s="30" t="s">
        <v>178</v>
      </c>
      <c r="AT93" s="418" t="s">
        <v>178</v>
      </c>
      <c r="AU93" s="385" t="s">
        <v>178</v>
      </c>
      <c r="AV93" s="418" t="s">
        <v>178</v>
      </c>
      <c r="AW93" s="143" t="s">
        <v>178</v>
      </c>
      <c r="AX93" s="253" t="s">
        <v>178</v>
      </c>
      <c r="AY93" s="254" t="s">
        <v>178</v>
      </c>
      <c r="AZ93" s="253" t="s">
        <v>178</v>
      </c>
      <c r="BA93" s="254" t="s">
        <v>178</v>
      </c>
      <c r="BB93" s="252" t="s">
        <v>1020</v>
      </c>
      <c r="BC93" s="253" t="s">
        <v>178</v>
      </c>
      <c r="BD93" s="254" t="s">
        <v>178</v>
      </c>
      <c r="JS93" s="5"/>
    </row>
    <row r="94" spans="1:279" s="1" customFormat="1">
      <c r="A94" s="1077"/>
      <c r="B94" s="1084"/>
      <c r="C94" s="130" t="s">
        <v>220</v>
      </c>
      <c r="D94" s="189" t="s">
        <v>270</v>
      </c>
      <c r="E94" s="665" t="s">
        <v>270</v>
      </c>
      <c r="F94" s="666" t="s">
        <v>270</v>
      </c>
      <c r="G94" s="668" t="s">
        <v>270</v>
      </c>
      <c r="H94" s="143" t="s">
        <v>270</v>
      </c>
      <c r="I94" s="665" t="s">
        <v>270</v>
      </c>
      <c r="J94" s="666" t="s">
        <v>270</v>
      </c>
      <c r="K94" s="665" t="s">
        <v>270</v>
      </c>
      <c r="L94" s="666" t="s">
        <v>270</v>
      </c>
      <c r="M94" s="665" t="s">
        <v>270</v>
      </c>
      <c r="N94" s="666" t="s">
        <v>270</v>
      </c>
      <c r="O94" s="665" t="s">
        <v>270</v>
      </c>
      <c r="P94" s="666" t="s">
        <v>270</v>
      </c>
      <c r="Q94" s="665" t="s">
        <v>270</v>
      </c>
      <c r="R94" s="666" t="s">
        <v>270</v>
      </c>
      <c r="S94" s="665" t="s">
        <v>270</v>
      </c>
      <c r="T94" s="667" t="s">
        <v>270</v>
      </c>
      <c r="U94" s="667" t="s">
        <v>270</v>
      </c>
      <c r="V94" s="665" t="s">
        <v>270</v>
      </c>
      <c r="W94" s="667" t="s">
        <v>270</v>
      </c>
      <c r="X94" s="143" t="s">
        <v>270</v>
      </c>
      <c r="Y94" s="665" t="s">
        <v>270</v>
      </c>
      <c r="Z94" s="666" t="s">
        <v>270</v>
      </c>
      <c r="AA94" s="665" t="s">
        <v>270</v>
      </c>
      <c r="AB94" s="666" t="s">
        <v>270</v>
      </c>
      <c r="AC94" s="665" t="s">
        <v>270</v>
      </c>
      <c r="AD94" s="666" t="s">
        <v>270</v>
      </c>
      <c r="AE94" s="665" t="s">
        <v>270</v>
      </c>
      <c r="AF94" s="666" t="s">
        <v>270</v>
      </c>
      <c r="AG94" s="665" t="s">
        <v>270</v>
      </c>
      <c r="AH94" s="666" t="s">
        <v>270</v>
      </c>
      <c r="AI94" s="665" t="s">
        <v>270</v>
      </c>
      <c r="AJ94" s="666" t="s">
        <v>270</v>
      </c>
      <c r="AK94" s="665" t="s">
        <v>270</v>
      </c>
      <c r="AL94" s="666" t="s">
        <v>270</v>
      </c>
      <c r="AM94" s="665" t="s">
        <v>270</v>
      </c>
      <c r="AN94" s="666" t="s">
        <v>270</v>
      </c>
      <c r="AO94" s="143" t="s">
        <v>270</v>
      </c>
      <c r="AP94" s="665" t="s">
        <v>270</v>
      </c>
      <c r="AQ94" s="666" t="s">
        <v>270</v>
      </c>
      <c r="AR94" s="665" t="s">
        <v>270</v>
      </c>
      <c r="AS94" s="670" t="s">
        <v>270</v>
      </c>
      <c r="AT94" s="666" t="s">
        <v>270</v>
      </c>
      <c r="AU94" s="665" t="s">
        <v>270</v>
      </c>
      <c r="AV94" s="666" t="s">
        <v>270</v>
      </c>
      <c r="AW94" s="143" t="s">
        <v>805</v>
      </c>
      <c r="AX94" s="665" t="s">
        <v>270</v>
      </c>
      <c r="AY94" s="666" t="s">
        <v>270</v>
      </c>
      <c r="AZ94" s="665" t="s">
        <v>270</v>
      </c>
      <c r="BA94" s="666" t="s">
        <v>270</v>
      </c>
      <c r="BB94" s="669" t="s">
        <v>1027</v>
      </c>
      <c r="BC94" s="665" t="s">
        <v>270</v>
      </c>
      <c r="BD94" s="666" t="s">
        <v>270</v>
      </c>
      <c r="JS94" s="5"/>
    </row>
    <row r="95" spans="1:279" s="1" customFormat="1">
      <c r="A95" s="1077"/>
      <c r="B95" s="1084"/>
      <c r="C95" s="130" t="s">
        <v>0</v>
      </c>
      <c r="D95" s="189" t="s">
        <v>77</v>
      </c>
      <c r="E95" s="665" t="s">
        <v>271</v>
      </c>
      <c r="F95" s="671" t="s">
        <v>77</v>
      </c>
      <c r="G95" s="668" t="s">
        <v>77</v>
      </c>
      <c r="H95" s="144" t="s">
        <v>77</v>
      </c>
      <c r="I95" s="665" t="s">
        <v>271</v>
      </c>
      <c r="J95" s="671" t="s">
        <v>77</v>
      </c>
      <c r="K95" s="665" t="s">
        <v>271</v>
      </c>
      <c r="L95" s="671" t="s">
        <v>77</v>
      </c>
      <c r="M95" s="665" t="s">
        <v>271</v>
      </c>
      <c r="N95" s="671" t="s">
        <v>77</v>
      </c>
      <c r="O95" s="665" t="s">
        <v>271</v>
      </c>
      <c r="P95" s="671" t="s">
        <v>77</v>
      </c>
      <c r="Q95" s="665" t="s">
        <v>271</v>
      </c>
      <c r="R95" s="671" t="s">
        <v>77</v>
      </c>
      <c r="S95" s="665" t="s">
        <v>271</v>
      </c>
      <c r="T95" s="672" t="s">
        <v>77</v>
      </c>
      <c r="U95" s="672" t="s">
        <v>77</v>
      </c>
      <c r="V95" s="665" t="s">
        <v>271</v>
      </c>
      <c r="W95" s="672" t="s">
        <v>77</v>
      </c>
      <c r="X95" s="143" t="s">
        <v>77</v>
      </c>
      <c r="Y95" s="665" t="s">
        <v>271</v>
      </c>
      <c r="Z95" s="671" t="s">
        <v>77</v>
      </c>
      <c r="AA95" s="665" t="s">
        <v>271</v>
      </c>
      <c r="AB95" s="671" t="s">
        <v>77</v>
      </c>
      <c r="AC95" s="665" t="s">
        <v>271</v>
      </c>
      <c r="AD95" s="671" t="s">
        <v>77</v>
      </c>
      <c r="AE95" s="665" t="s">
        <v>77</v>
      </c>
      <c r="AF95" s="671" t="s">
        <v>77</v>
      </c>
      <c r="AG95" s="665" t="s">
        <v>77</v>
      </c>
      <c r="AH95" s="671" t="s">
        <v>77</v>
      </c>
      <c r="AI95" s="665" t="s">
        <v>77</v>
      </c>
      <c r="AJ95" s="671" t="s">
        <v>77</v>
      </c>
      <c r="AK95" s="665" t="s">
        <v>77</v>
      </c>
      <c r="AL95" s="671" t="s">
        <v>77</v>
      </c>
      <c r="AM95" s="665" t="s">
        <v>77</v>
      </c>
      <c r="AN95" s="671" t="s">
        <v>77</v>
      </c>
      <c r="AO95" s="143" t="s">
        <v>77</v>
      </c>
      <c r="AP95" s="665" t="s">
        <v>77</v>
      </c>
      <c r="AQ95" s="671" t="s">
        <v>77</v>
      </c>
      <c r="AR95" s="665" t="s">
        <v>271</v>
      </c>
      <c r="AS95" s="121" t="s">
        <v>77</v>
      </c>
      <c r="AT95" s="671" t="s">
        <v>77</v>
      </c>
      <c r="AU95" s="665" t="s">
        <v>271</v>
      </c>
      <c r="AV95" s="671" t="s">
        <v>77</v>
      </c>
      <c r="AW95" s="143" t="s">
        <v>77</v>
      </c>
      <c r="AX95" s="665" t="s">
        <v>271</v>
      </c>
      <c r="AY95" s="671" t="s">
        <v>77</v>
      </c>
      <c r="AZ95" s="665" t="s">
        <v>77</v>
      </c>
      <c r="BA95" s="671" t="s">
        <v>77</v>
      </c>
      <c r="BB95" s="669" t="s">
        <v>77</v>
      </c>
      <c r="BC95" s="665" t="s">
        <v>77</v>
      </c>
      <c r="BD95" s="671" t="s">
        <v>77</v>
      </c>
      <c r="JS95" s="5"/>
    </row>
    <row r="96" spans="1:279" s="1" customFormat="1">
      <c r="A96" s="1077" t="s">
        <v>69</v>
      </c>
      <c r="B96" s="1084" t="s">
        <v>95</v>
      </c>
      <c r="C96" s="130" t="s">
        <v>103</v>
      </c>
      <c r="D96" s="189" t="s">
        <v>175</v>
      </c>
      <c r="E96" s="245" t="s">
        <v>175</v>
      </c>
      <c r="F96" s="246" t="s">
        <v>175</v>
      </c>
      <c r="G96" s="251" t="s">
        <v>175</v>
      </c>
      <c r="H96" s="333" t="s">
        <v>175</v>
      </c>
      <c r="I96" s="253" t="s">
        <v>175</v>
      </c>
      <c r="J96" s="246" t="s">
        <v>175</v>
      </c>
      <c r="K96" s="253" t="s">
        <v>175</v>
      </c>
      <c r="L96" s="246" t="s">
        <v>175</v>
      </c>
      <c r="M96" s="253" t="s">
        <v>175</v>
      </c>
      <c r="N96" s="246" t="s">
        <v>175</v>
      </c>
      <c r="O96" s="253" t="s">
        <v>175</v>
      </c>
      <c r="P96" s="246" t="s">
        <v>175</v>
      </c>
      <c r="Q96" s="253" t="s">
        <v>175</v>
      </c>
      <c r="R96" s="246" t="s">
        <v>175</v>
      </c>
      <c r="S96" s="253" t="s">
        <v>1032</v>
      </c>
      <c r="T96" s="118" t="s">
        <v>175</v>
      </c>
      <c r="U96" s="118" t="s">
        <v>943</v>
      </c>
      <c r="V96" s="253" t="s">
        <v>175</v>
      </c>
      <c r="W96" s="431" t="s">
        <v>175</v>
      </c>
      <c r="X96" s="143" t="s">
        <v>175</v>
      </c>
      <c r="Y96" s="253" t="s">
        <v>175</v>
      </c>
      <c r="Z96" s="246" t="s">
        <v>175</v>
      </c>
      <c r="AA96" s="253" t="s">
        <v>943</v>
      </c>
      <c r="AB96" s="277" t="s">
        <v>175</v>
      </c>
      <c r="AC96" s="253" t="s">
        <v>264</v>
      </c>
      <c r="AD96" s="277" t="s">
        <v>175</v>
      </c>
      <c r="AE96" s="253" t="s">
        <v>175</v>
      </c>
      <c r="AF96" s="277" t="s">
        <v>175</v>
      </c>
      <c r="AG96" s="253" t="s">
        <v>175</v>
      </c>
      <c r="AH96" s="277" t="s">
        <v>177</v>
      </c>
      <c r="AI96" s="253" t="s">
        <v>175</v>
      </c>
      <c r="AJ96" s="277" t="s">
        <v>175</v>
      </c>
      <c r="AK96" s="253" t="s">
        <v>175</v>
      </c>
      <c r="AL96" s="277" t="s">
        <v>175</v>
      </c>
      <c r="AM96" s="253" t="s">
        <v>175</v>
      </c>
      <c r="AN96" s="277" t="s">
        <v>175</v>
      </c>
      <c r="AO96" s="143" t="s">
        <v>175</v>
      </c>
      <c r="AP96" s="253" t="s">
        <v>175</v>
      </c>
      <c r="AQ96" s="277" t="s">
        <v>175</v>
      </c>
      <c r="AR96" s="253" t="s">
        <v>175</v>
      </c>
      <c r="AS96" s="34" t="s">
        <v>175</v>
      </c>
      <c r="AT96" s="246" t="s">
        <v>175</v>
      </c>
      <c r="AU96" s="253" t="s">
        <v>175</v>
      </c>
      <c r="AV96" s="246" t="s">
        <v>175</v>
      </c>
      <c r="AW96" s="143" t="s">
        <v>175</v>
      </c>
      <c r="AX96" s="253" t="s">
        <v>264</v>
      </c>
      <c r="AY96" s="277" t="s">
        <v>175</v>
      </c>
      <c r="AZ96" s="253" t="s">
        <v>175</v>
      </c>
      <c r="BA96" s="277" t="s">
        <v>175</v>
      </c>
      <c r="BB96" s="252" t="s">
        <v>175</v>
      </c>
      <c r="BC96" s="253" t="s">
        <v>175</v>
      </c>
      <c r="BD96" s="277" t="s">
        <v>175</v>
      </c>
      <c r="JS96" s="5"/>
    </row>
    <row r="97" spans="1:279" s="1" customFormat="1">
      <c r="A97" s="1077"/>
      <c r="B97" s="1084"/>
      <c r="C97" s="130" t="s">
        <v>37</v>
      </c>
      <c r="D97" s="199">
        <v>51867</v>
      </c>
      <c r="E97" s="247">
        <v>44926</v>
      </c>
      <c r="F97" s="246" t="s">
        <v>178</v>
      </c>
      <c r="G97" s="199">
        <v>45808</v>
      </c>
      <c r="H97" s="334">
        <v>45293</v>
      </c>
      <c r="I97" s="247">
        <v>46520</v>
      </c>
      <c r="J97" s="246" t="s">
        <v>178</v>
      </c>
      <c r="K97" s="247">
        <v>46022</v>
      </c>
      <c r="L97" s="246" t="s">
        <v>178</v>
      </c>
      <c r="M97" s="247">
        <v>46752</v>
      </c>
      <c r="N97" s="246" t="s">
        <v>178</v>
      </c>
      <c r="O97" s="247">
        <v>51501</v>
      </c>
      <c r="P97" s="246" t="s">
        <v>178</v>
      </c>
      <c r="Q97" s="247">
        <v>45291</v>
      </c>
      <c r="R97" s="246" t="s">
        <v>178</v>
      </c>
      <c r="S97" s="247">
        <v>46022</v>
      </c>
      <c r="T97" s="118">
        <v>2029</v>
      </c>
      <c r="U97" s="118" t="s">
        <v>943</v>
      </c>
      <c r="V97" s="247">
        <v>47848</v>
      </c>
      <c r="W97" s="432">
        <v>51135</v>
      </c>
      <c r="X97" s="149">
        <v>46022</v>
      </c>
      <c r="Y97" s="247" t="s">
        <v>1254</v>
      </c>
      <c r="Z97" s="408">
        <v>52794</v>
      </c>
      <c r="AA97" s="247" t="s">
        <v>943</v>
      </c>
      <c r="AB97" s="277">
        <v>2029</v>
      </c>
      <c r="AC97" s="247" t="s">
        <v>1078</v>
      </c>
      <c r="AD97" s="277" t="s">
        <v>1078</v>
      </c>
      <c r="AE97" s="247">
        <v>46752</v>
      </c>
      <c r="AF97" s="277" t="s">
        <v>178</v>
      </c>
      <c r="AG97" s="247">
        <v>48214</v>
      </c>
      <c r="AH97" s="254" t="s">
        <v>178</v>
      </c>
      <c r="AI97" s="247">
        <v>46022</v>
      </c>
      <c r="AJ97" s="357">
        <v>48196</v>
      </c>
      <c r="AK97" s="247">
        <v>45526</v>
      </c>
      <c r="AL97" s="357">
        <v>47992</v>
      </c>
      <c r="AM97" s="247">
        <v>45525</v>
      </c>
      <c r="AN97" s="357">
        <v>44926</v>
      </c>
      <c r="AO97" s="149" t="s">
        <v>907</v>
      </c>
      <c r="AP97" s="247">
        <v>45291</v>
      </c>
      <c r="AQ97" s="357">
        <v>51867</v>
      </c>
      <c r="AR97" s="247">
        <v>48213</v>
      </c>
      <c r="AS97" s="34" t="s">
        <v>178</v>
      </c>
      <c r="AT97" s="246" t="s">
        <v>178</v>
      </c>
      <c r="AU97" s="247">
        <v>47848</v>
      </c>
      <c r="AV97" s="246" t="s">
        <v>178</v>
      </c>
      <c r="AW97" s="149">
        <v>48580</v>
      </c>
      <c r="AX97" s="247" t="s">
        <v>1132</v>
      </c>
      <c r="AY97" s="277" t="s">
        <v>1133</v>
      </c>
      <c r="AZ97" s="247">
        <v>48214</v>
      </c>
      <c r="BA97" s="357">
        <v>48214</v>
      </c>
      <c r="BB97" s="553">
        <v>47849</v>
      </c>
      <c r="BC97" s="247">
        <v>47433</v>
      </c>
      <c r="BD97" s="357"/>
      <c r="JS97" s="5"/>
    </row>
    <row r="98" spans="1:279" s="1" customFormat="1">
      <c r="A98" s="1077"/>
      <c r="B98" s="1084"/>
      <c r="C98" s="130" t="s">
        <v>180</v>
      </c>
      <c r="D98" s="189" t="s">
        <v>860</v>
      </c>
      <c r="E98" s="245" t="s">
        <v>275</v>
      </c>
      <c r="F98" s="246"/>
      <c r="G98" s="251" t="s">
        <v>861</v>
      </c>
      <c r="H98" s="333" t="s">
        <v>1415</v>
      </c>
      <c r="I98" s="253" t="s">
        <v>1484</v>
      </c>
      <c r="J98" s="246"/>
      <c r="K98" s="253" t="s">
        <v>1485</v>
      </c>
      <c r="L98" s="246"/>
      <c r="M98" s="253" t="s">
        <v>1486</v>
      </c>
      <c r="N98" s="246"/>
      <c r="O98" s="253" t="s">
        <v>1542</v>
      </c>
      <c r="P98" s="246"/>
      <c r="Q98" s="253" t="s">
        <v>1305</v>
      </c>
      <c r="R98" s="246" t="s">
        <v>935</v>
      </c>
      <c r="S98" s="253" t="s">
        <v>1351</v>
      </c>
      <c r="T98" s="118" t="s">
        <v>1352</v>
      </c>
      <c r="U98" s="118" t="s">
        <v>943</v>
      </c>
      <c r="V98" s="253" t="s">
        <v>1188</v>
      </c>
      <c r="W98" s="431" t="s">
        <v>1189</v>
      </c>
      <c r="X98" s="143" t="s">
        <v>773</v>
      </c>
      <c r="Y98" s="253" t="s">
        <v>1255</v>
      </c>
      <c r="Z98" s="246" t="s">
        <v>1256</v>
      </c>
      <c r="AA98" s="253" t="s">
        <v>943</v>
      </c>
      <c r="AB98" s="277" t="s">
        <v>955</v>
      </c>
      <c r="AC98" s="253" t="s">
        <v>1079</v>
      </c>
      <c r="AD98" s="277" t="s">
        <v>1080</v>
      </c>
      <c r="AE98" s="253" t="s">
        <v>368</v>
      </c>
      <c r="AF98" s="277" t="s">
        <v>178</v>
      </c>
      <c r="AG98" s="253" t="s">
        <v>440</v>
      </c>
      <c r="AH98" s="254" t="s">
        <v>178</v>
      </c>
      <c r="AI98" s="253" t="s">
        <v>486</v>
      </c>
      <c r="AJ98" s="254" t="s">
        <v>487</v>
      </c>
      <c r="AK98" s="253" t="s">
        <v>531</v>
      </c>
      <c r="AL98" s="357" t="s">
        <v>530</v>
      </c>
      <c r="AM98" s="253" t="s">
        <v>584</v>
      </c>
      <c r="AN98" s="357" t="s">
        <v>582</v>
      </c>
      <c r="AO98" s="143" t="s">
        <v>906</v>
      </c>
      <c r="AP98" s="253" t="s">
        <v>630</v>
      </c>
      <c r="AQ98" s="357" t="s">
        <v>631</v>
      </c>
      <c r="AR98" s="253" t="s">
        <v>1596</v>
      </c>
      <c r="AS98" s="34"/>
      <c r="AT98" s="246"/>
      <c r="AU98" s="253" t="s">
        <v>1597</v>
      </c>
      <c r="AV98" s="246"/>
      <c r="AW98" s="143" t="s">
        <v>806</v>
      </c>
      <c r="AX98" s="253" t="s">
        <v>1134</v>
      </c>
      <c r="AY98" s="277" t="s">
        <v>1135</v>
      </c>
      <c r="AZ98" s="253" t="s">
        <v>677</v>
      </c>
      <c r="BA98" s="357" t="s">
        <v>676</v>
      </c>
      <c r="BB98" s="252" t="s">
        <v>1028</v>
      </c>
      <c r="BC98" s="253" t="s">
        <v>723</v>
      </c>
      <c r="BD98" s="357"/>
      <c r="JS98" s="5"/>
    </row>
    <row r="99" spans="1:279" s="1" customFormat="1" ht="24" customHeight="1">
      <c r="A99" s="1077"/>
      <c r="B99" s="1084"/>
      <c r="C99" s="130" t="s">
        <v>156</v>
      </c>
      <c r="D99" s="189" t="s">
        <v>191</v>
      </c>
      <c r="E99" s="245" t="s">
        <v>276</v>
      </c>
      <c r="F99" s="246"/>
      <c r="G99" s="251" t="s">
        <v>191</v>
      </c>
      <c r="H99" s="333" t="s">
        <v>369</v>
      </c>
      <c r="I99" s="253" t="s">
        <v>369</v>
      </c>
      <c r="J99" s="246"/>
      <c r="K99" s="253" t="s">
        <v>369</v>
      </c>
      <c r="L99" s="246"/>
      <c r="M99" s="253" t="s">
        <v>369</v>
      </c>
      <c r="N99" s="246"/>
      <c r="O99" s="253" t="s">
        <v>369</v>
      </c>
      <c r="P99" s="246"/>
      <c r="Q99" s="253" t="s">
        <v>276</v>
      </c>
      <c r="R99" s="246" t="s">
        <v>935</v>
      </c>
      <c r="S99" s="253" t="s">
        <v>956</v>
      </c>
      <c r="T99" s="118" t="s">
        <v>956</v>
      </c>
      <c r="U99" s="118" t="s">
        <v>943</v>
      </c>
      <c r="V99" s="253" t="s">
        <v>276</v>
      </c>
      <c r="W99" s="431" t="s">
        <v>1190</v>
      </c>
      <c r="X99" s="143" t="s">
        <v>369</v>
      </c>
      <c r="Y99" s="253" t="s">
        <v>276</v>
      </c>
      <c r="Z99" s="246" t="s">
        <v>1190</v>
      </c>
      <c r="AA99" s="253" t="s">
        <v>943</v>
      </c>
      <c r="AB99" s="277" t="s">
        <v>956</v>
      </c>
      <c r="AC99" s="253" t="s">
        <v>1081</v>
      </c>
      <c r="AD99" s="277" t="s">
        <v>956</v>
      </c>
      <c r="AE99" s="253" t="s">
        <v>369</v>
      </c>
      <c r="AF99" s="277" t="s">
        <v>178</v>
      </c>
      <c r="AG99" s="253" t="s">
        <v>369</v>
      </c>
      <c r="AH99" s="254" t="s">
        <v>178</v>
      </c>
      <c r="AI99" s="253" t="s">
        <v>369</v>
      </c>
      <c r="AJ99" s="254" t="s">
        <v>369</v>
      </c>
      <c r="AK99" s="253" t="s">
        <v>369</v>
      </c>
      <c r="AL99" s="254" t="s">
        <v>369</v>
      </c>
      <c r="AM99" s="253"/>
      <c r="AN99" s="254" t="s">
        <v>369</v>
      </c>
      <c r="AO99" s="143" t="s">
        <v>369</v>
      </c>
      <c r="AP99" s="253" t="s">
        <v>369</v>
      </c>
      <c r="AQ99" s="254"/>
      <c r="AR99" s="253" t="s">
        <v>369</v>
      </c>
      <c r="AS99" s="34"/>
      <c r="AT99" s="246"/>
      <c r="AU99" s="253" t="s">
        <v>369</v>
      </c>
      <c r="AV99" s="246"/>
      <c r="AW99" s="143" t="s">
        <v>191</v>
      </c>
      <c r="AX99" s="253" t="s">
        <v>956</v>
      </c>
      <c r="AY99" s="277" t="s">
        <v>956</v>
      </c>
      <c r="AZ99" s="253" t="s">
        <v>369</v>
      </c>
      <c r="BA99" s="254" t="s">
        <v>369</v>
      </c>
      <c r="BB99" s="252" t="s">
        <v>191</v>
      </c>
      <c r="BC99" s="253" t="s">
        <v>369</v>
      </c>
      <c r="BD99" s="254"/>
      <c r="JS99" s="5"/>
    </row>
    <row r="100" spans="1:279" s="1" customFormat="1" ht="96">
      <c r="A100" s="1077"/>
      <c r="B100" s="1084"/>
      <c r="C100" s="130" t="s">
        <v>39</v>
      </c>
      <c r="D100" s="189" t="s">
        <v>177</v>
      </c>
      <c r="E100" s="248" t="s">
        <v>279</v>
      </c>
      <c r="F100" s="249"/>
      <c r="G100" s="251" t="s">
        <v>177</v>
      </c>
      <c r="H100" s="145"/>
      <c r="I100" s="248" t="s">
        <v>279</v>
      </c>
      <c r="J100" s="249"/>
      <c r="K100" s="248" t="s">
        <v>279</v>
      </c>
      <c r="L100" s="249"/>
      <c r="M100" s="248" t="s">
        <v>279</v>
      </c>
      <c r="N100" s="249"/>
      <c r="O100" s="248" t="s">
        <v>279</v>
      </c>
      <c r="P100" s="249"/>
      <c r="Q100" s="253" t="s">
        <v>957</v>
      </c>
      <c r="R100" s="249"/>
      <c r="S100" s="253" t="s">
        <v>943</v>
      </c>
      <c r="T100" s="113" t="s">
        <v>863</v>
      </c>
      <c r="U100" s="113" t="s">
        <v>863</v>
      </c>
      <c r="V100" s="248" t="s">
        <v>959</v>
      </c>
      <c r="W100" s="98" t="s">
        <v>959</v>
      </c>
      <c r="X100" s="143" t="s">
        <v>178</v>
      </c>
      <c r="Y100" s="248" t="s">
        <v>863</v>
      </c>
      <c r="Z100" s="249" t="s">
        <v>959</v>
      </c>
      <c r="AA100" s="253" t="s">
        <v>943</v>
      </c>
      <c r="AB100" s="254" t="s">
        <v>957</v>
      </c>
      <c r="AC100" s="253" t="s">
        <v>943</v>
      </c>
      <c r="AD100" s="254" t="s">
        <v>943</v>
      </c>
      <c r="AE100" s="253" t="s">
        <v>371</v>
      </c>
      <c r="AF100" s="254" t="s">
        <v>178</v>
      </c>
      <c r="AG100" s="253" t="s">
        <v>441</v>
      </c>
      <c r="AH100" s="254" t="s">
        <v>178</v>
      </c>
      <c r="AI100" s="253" t="s">
        <v>488</v>
      </c>
      <c r="AJ100" s="254" t="s">
        <v>178</v>
      </c>
      <c r="AK100" s="253" t="s">
        <v>178</v>
      </c>
      <c r="AL100" s="254" t="s">
        <v>178</v>
      </c>
      <c r="AM100" s="253" t="s">
        <v>178</v>
      </c>
      <c r="AN100" s="254" t="s">
        <v>178</v>
      </c>
      <c r="AO100" s="143" t="s">
        <v>178</v>
      </c>
      <c r="AP100" s="253" t="s">
        <v>178</v>
      </c>
      <c r="AQ100" s="254" t="s">
        <v>178</v>
      </c>
      <c r="AR100" s="248" t="s">
        <v>279</v>
      </c>
      <c r="AS100" s="7"/>
      <c r="AT100" s="249"/>
      <c r="AU100" s="675" t="s">
        <v>279</v>
      </c>
      <c r="AV100" s="249"/>
      <c r="AW100" s="143" t="s">
        <v>178</v>
      </c>
      <c r="AX100" s="253" t="s">
        <v>943</v>
      </c>
      <c r="AY100" s="254" t="s">
        <v>943</v>
      </c>
      <c r="AZ100" s="253" t="s">
        <v>178</v>
      </c>
      <c r="BA100" s="254" t="s">
        <v>178</v>
      </c>
      <c r="BB100" s="252" t="s">
        <v>1020</v>
      </c>
      <c r="BC100" s="253" t="s">
        <v>178</v>
      </c>
      <c r="BD100" s="254" t="s">
        <v>178</v>
      </c>
      <c r="JS100" s="5"/>
    </row>
    <row r="101" spans="1:279" s="1" customFormat="1" ht="95.25" customHeight="1">
      <c r="A101" s="1077"/>
      <c r="B101" s="1084"/>
      <c r="C101" s="130" t="s">
        <v>221</v>
      </c>
      <c r="D101" s="189" t="s">
        <v>277</v>
      </c>
      <c r="E101" s="245" t="s">
        <v>277</v>
      </c>
      <c r="F101" s="250"/>
      <c r="G101" s="251" t="s">
        <v>277</v>
      </c>
      <c r="H101" s="143" t="s">
        <v>277</v>
      </c>
      <c r="I101" s="253" t="s">
        <v>277</v>
      </c>
      <c r="J101" s="254"/>
      <c r="K101" s="253" t="s">
        <v>277</v>
      </c>
      <c r="L101" s="254"/>
      <c r="M101" s="253" t="s">
        <v>277</v>
      </c>
      <c r="N101" s="254"/>
      <c r="O101" s="253" t="s">
        <v>277</v>
      </c>
      <c r="P101" s="254"/>
      <c r="Q101" s="253" t="s">
        <v>277</v>
      </c>
      <c r="R101" s="254"/>
      <c r="S101" s="253" t="s">
        <v>943</v>
      </c>
      <c r="T101" s="113" t="s">
        <v>958</v>
      </c>
      <c r="U101" s="113" t="s">
        <v>958</v>
      </c>
      <c r="V101" s="253" t="s">
        <v>964</v>
      </c>
      <c r="W101" s="113" t="s">
        <v>964</v>
      </c>
      <c r="X101" s="143" t="s">
        <v>178</v>
      </c>
      <c r="Y101" s="253" t="s">
        <v>964</v>
      </c>
      <c r="Z101" s="254" t="s">
        <v>964</v>
      </c>
      <c r="AA101" s="253" t="s">
        <v>943</v>
      </c>
      <c r="AB101" s="254" t="s">
        <v>958</v>
      </c>
      <c r="AC101" s="253" t="s">
        <v>943</v>
      </c>
      <c r="AD101" s="254" t="s">
        <v>943</v>
      </c>
      <c r="AE101" s="253" t="s">
        <v>178</v>
      </c>
      <c r="AF101" s="254" t="s">
        <v>178</v>
      </c>
      <c r="AG101" s="253" t="s">
        <v>178</v>
      </c>
      <c r="AH101" s="254" t="s">
        <v>178</v>
      </c>
      <c r="AI101" s="253" t="s">
        <v>178</v>
      </c>
      <c r="AJ101" s="254" t="s">
        <v>178</v>
      </c>
      <c r="AK101" s="253" t="s">
        <v>178</v>
      </c>
      <c r="AL101" s="254" t="s">
        <v>178</v>
      </c>
      <c r="AM101" s="253" t="s">
        <v>178</v>
      </c>
      <c r="AN101" s="254" t="s">
        <v>178</v>
      </c>
      <c r="AO101" s="143" t="s">
        <v>178</v>
      </c>
      <c r="AP101" s="253" t="s">
        <v>178</v>
      </c>
      <c r="AQ101" s="254" t="s">
        <v>178</v>
      </c>
      <c r="AR101" s="253" t="s">
        <v>277</v>
      </c>
      <c r="AS101" s="117"/>
      <c r="AT101" s="254"/>
      <c r="AU101" s="253" t="s">
        <v>277</v>
      </c>
      <c r="AV101" s="254"/>
      <c r="AW101" s="143" t="s">
        <v>178</v>
      </c>
      <c r="AX101" s="253" t="s">
        <v>863</v>
      </c>
      <c r="AY101" s="254" t="s">
        <v>863</v>
      </c>
      <c r="AZ101" s="253" t="s">
        <v>178</v>
      </c>
      <c r="BA101" s="254" t="s">
        <v>178</v>
      </c>
      <c r="BB101" s="252" t="s">
        <v>958</v>
      </c>
      <c r="BC101" s="253" t="s">
        <v>178</v>
      </c>
      <c r="BD101" s="254" t="s">
        <v>178</v>
      </c>
      <c r="JS101" s="5"/>
    </row>
    <row r="102" spans="1:279" s="1" customFormat="1" ht="90" customHeight="1">
      <c r="A102" s="1077"/>
      <c r="B102" s="1084"/>
      <c r="C102" s="130" t="s">
        <v>222</v>
      </c>
      <c r="D102" s="189" t="s">
        <v>178</v>
      </c>
      <c r="E102" s="245" t="s">
        <v>278</v>
      </c>
      <c r="F102" s="250"/>
      <c r="G102" s="251" t="s">
        <v>178</v>
      </c>
      <c r="H102" s="143" t="s">
        <v>277</v>
      </c>
      <c r="I102" s="253" t="s">
        <v>178</v>
      </c>
      <c r="J102" s="254"/>
      <c r="K102" s="253" t="s">
        <v>178</v>
      </c>
      <c r="L102" s="254"/>
      <c r="M102" s="253" t="s">
        <v>178</v>
      </c>
      <c r="N102" s="254"/>
      <c r="O102" s="253" t="s">
        <v>178</v>
      </c>
      <c r="P102" s="254"/>
      <c r="Q102" s="253" t="s">
        <v>567</v>
      </c>
      <c r="R102" s="254"/>
      <c r="S102" s="253" t="s">
        <v>943</v>
      </c>
      <c r="T102" s="113" t="s">
        <v>959</v>
      </c>
      <c r="U102" s="113" t="s">
        <v>959</v>
      </c>
      <c r="V102" s="253" t="s">
        <v>959</v>
      </c>
      <c r="W102" s="113" t="s">
        <v>959</v>
      </c>
      <c r="X102" s="143" t="s">
        <v>178</v>
      </c>
      <c r="Y102" s="253" t="s">
        <v>959</v>
      </c>
      <c r="Z102" s="254" t="s">
        <v>959</v>
      </c>
      <c r="AA102" s="253" t="s">
        <v>943</v>
      </c>
      <c r="AB102" s="254" t="s">
        <v>959</v>
      </c>
      <c r="AC102" s="253" t="s">
        <v>943</v>
      </c>
      <c r="AD102" s="254" t="s">
        <v>943</v>
      </c>
      <c r="AE102" s="253" t="s">
        <v>178</v>
      </c>
      <c r="AF102" s="254" t="s">
        <v>178</v>
      </c>
      <c r="AG102" s="253" t="s">
        <v>178</v>
      </c>
      <c r="AH102" s="254" t="s">
        <v>178</v>
      </c>
      <c r="AI102" s="253" t="s">
        <v>178</v>
      </c>
      <c r="AJ102" s="254" t="s">
        <v>178</v>
      </c>
      <c r="AK102" s="253" t="s">
        <v>178</v>
      </c>
      <c r="AL102" s="254" t="s">
        <v>178</v>
      </c>
      <c r="AM102" s="253" t="s">
        <v>178</v>
      </c>
      <c r="AN102" s="254" t="s">
        <v>178</v>
      </c>
      <c r="AO102" s="143" t="s">
        <v>178</v>
      </c>
      <c r="AP102" s="253" t="s">
        <v>178</v>
      </c>
      <c r="AQ102" s="254" t="s">
        <v>178</v>
      </c>
      <c r="AR102" s="253" t="s">
        <v>178</v>
      </c>
      <c r="AS102" s="117"/>
      <c r="AT102" s="254"/>
      <c r="AU102" s="253" t="s">
        <v>178</v>
      </c>
      <c r="AV102" s="254"/>
      <c r="AW102" s="143" t="s">
        <v>178</v>
      </c>
      <c r="AX102" s="253" t="s">
        <v>943</v>
      </c>
      <c r="AY102" s="254" t="s">
        <v>943</v>
      </c>
      <c r="AZ102" s="253" t="s">
        <v>178</v>
      </c>
      <c r="BA102" s="254" t="s">
        <v>178</v>
      </c>
      <c r="BB102" s="252" t="s">
        <v>1020</v>
      </c>
      <c r="BC102" s="253" t="s">
        <v>178</v>
      </c>
      <c r="BD102" s="254" t="s">
        <v>178</v>
      </c>
      <c r="JS102" s="5"/>
    </row>
    <row r="103" spans="1:279" s="1" customFormat="1" ht="123.75" customHeight="1">
      <c r="A103" s="1077"/>
      <c r="B103" s="1084"/>
      <c r="C103" s="130" t="s">
        <v>223</v>
      </c>
      <c r="D103" s="189" t="s">
        <v>178</v>
      </c>
      <c r="E103" s="245" t="s">
        <v>178</v>
      </c>
      <c r="F103" s="250"/>
      <c r="G103" s="251" t="s">
        <v>178</v>
      </c>
      <c r="H103" s="143" t="s">
        <v>178</v>
      </c>
      <c r="I103" s="253" t="s">
        <v>178</v>
      </c>
      <c r="J103" s="254"/>
      <c r="K103" s="253" t="s">
        <v>178</v>
      </c>
      <c r="L103" s="254"/>
      <c r="M103" s="253" t="s">
        <v>178</v>
      </c>
      <c r="N103" s="254"/>
      <c r="O103" s="253" t="s">
        <v>178</v>
      </c>
      <c r="P103" s="254"/>
      <c r="Q103" s="253" t="s">
        <v>178</v>
      </c>
      <c r="R103" s="254"/>
      <c r="S103" s="253" t="s">
        <v>78</v>
      </c>
      <c r="T103" s="113" t="s">
        <v>863</v>
      </c>
      <c r="U103" s="113" t="s">
        <v>78</v>
      </c>
      <c r="V103" s="253" t="s">
        <v>178</v>
      </c>
      <c r="W103" s="113" t="s">
        <v>1020</v>
      </c>
      <c r="X103" s="143" t="s">
        <v>178</v>
      </c>
      <c r="Y103" s="253" t="s">
        <v>178</v>
      </c>
      <c r="Z103" s="254" t="s">
        <v>1020</v>
      </c>
      <c r="AA103" s="253" t="s">
        <v>943</v>
      </c>
      <c r="AB103" s="254" t="s">
        <v>959</v>
      </c>
      <c r="AC103" s="253" t="s">
        <v>943</v>
      </c>
      <c r="AD103" s="254" t="s">
        <v>943</v>
      </c>
      <c r="AE103" s="253" t="s">
        <v>178</v>
      </c>
      <c r="AF103" s="254" t="s">
        <v>370</v>
      </c>
      <c r="AG103" s="253" t="s">
        <v>178</v>
      </c>
      <c r="AH103" s="254" t="s">
        <v>178</v>
      </c>
      <c r="AI103" s="253" t="s">
        <v>178</v>
      </c>
      <c r="AJ103" s="254" t="s">
        <v>178</v>
      </c>
      <c r="AK103" s="253" t="s">
        <v>178</v>
      </c>
      <c r="AL103" s="254" t="s">
        <v>178</v>
      </c>
      <c r="AM103" s="253" t="s">
        <v>585</v>
      </c>
      <c r="AN103" s="254" t="s">
        <v>583</v>
      </c>
      <c r="AO103" s="143" t="s">
        <v>178</v>
      </c>
      <c r="AP103" s="253" t="s">
        <v>178</v>
      </c>
      <c r="AQ103" s="254" t="s">
        <v>178</v>
      </c>
      <c r="AR103" s="253" t="s">
        <v>178</v>
      </c>
      <c r="AS103" s="117"/>
      <c r="AT103" s="254"/>
      <c r="AU103" s="253" t="s">
        <v>178</v>
      </c>
      <c r="AV103" s="254"/>
      <c r="AW103" s="143" t="s">
        <v>178</v>
      </c>
      <c r="AX103" s="253" t="s">
        <v>863</v>
      </c>
      <c r="AY103" s="254" t="s">
        <v>863</v>
      </c>
      <c r="AZ103" s="253" t="s">
        <v>178</v>
      </c>
      <c r="BA103" s="254" t="s">
        <v>178</v>
      </c>
      <c r="BB103" s="252" t="s">
        <v>1020</v>
      </c>
      <c r="BC103" s="253" t="s">
        <v>178</v>
      </c>
      <c r="BD103" s="254" t="s">
        <v>724</v>
      </c>
      <c r="JS103" s="5"/>
    </row>
    <row r="104" spans="1:279" s="1" customFormat="1" ht="23.25" customHeight="1">
      <c r="A104" s="1077"/>
      <c r="B104" s="1084"/>
      <c r="C104" s="130" t="s">
        <v>0</v>
      </c>
      <c r="D104" s="189" t="s">
        <v>77</v>
      </c>
      <c r="E104" s="998" t="s">
        <v>280</v>
      </c>
      <c r="F104" s="1000"/>
      <c r="G104" s="251" t="s">
        <v>77</v>
      </c>
      <c r="H104" s="143"/>
      <c r="I104" s="998" t="s">
        <v>1487</v>
      </c>
      <c r="J104" s="1000"/>
      <c r="K104" s="998" t="s">
        <v>1487</v>
      </c>
      <c r="L104" s="1000"/>
      <c r="M104" s="998" t="s">
        <v>1487</v>
      </c>
      <c r="N104" s="1000"/>
      <c r="O104" s="998" t="s">
        <v>1487</v>
      </c>
      <c r="P104" s="1000"/>
      <c r="Q104" s="998" t="s">
        <v>1306</v>
      </c>
      <c r="R104" s="1000"/>
      <c r="S104" s="998" t="s">
        <v>78</v>
      </c>
      <c r="T104" s="999"/>
      <c r="U104" s="974"/>
      <c r="V104" s="998" t="s">
        <v>1191</v>
      </c>
      <c r="W104" s="999"/>
      <c r="X104" s="143" t="s">
        <v>77</v>
      </c>
      <c r="Y104" s="998" t="s">
        <v>1191</v>
      </c>
      <c r="Z104" s="1000"/>
      <c r="AA104" s="998" t="s">
        <v>943</v>
      </c>
      <c r="AB104" s="1000"/>
      <c r="AC104" s="948" t="s">
        <v>1343</v>
      </c>
      <c r="AD104" s="968"/>
      <c r="AE104" s="998" t="s">
        <v>77</v>
      </c>
      <c r="AF104" s="1000"/>
      <c r="AG104" s="998" t="s">
        <v>77</v>
      </c>
      <c r="AH104" s="1000"/>
      <c r="AI104" s="998" t="s">
        <v>77</v>
      </c>
      <c r="AJ104" s="1000"/>
      <c r="AK104" s="998" t="s">
        <v>77</v>
      </c>
      <c r="AL104" s="1000"/>
      <c r="AM104" s="998" t="s">
        <v>77</v>
      </c>
      <c r="AN104" s="1000"/>
      <c r="AO104" s="143" t="s">
        <v>77</v>
      </c>
      <c r="AP104" s="998" t="s">
        <v>77</v>
      </c>
      <c r="AQ104" s="1000"/>
      <c r="AR104" s="998" t="s">
        <v>1598</v>
      </c>
      <c r="AS104" s="999"/>
      <c r="AT104" s="1000"/>
      <c r="AU104" s="998" t="s">
        <v>1487</v>
      </c>
      <c r="AV104" s="1000"/>
      <c r="AW104" s="143" t="s">
        <v>77</v>
      </c>
      <c r="AX104" s="948" t="s">
        <v>863</v>
      </c>
      <c r="AY104" s="968"/>
      <c r="AZ104" s="998" t="s">
        <v>77</v>
      </c>
      <c r="BA104" s="1000"/>
      <c r="BB104" s="252" t="s">
        <v>863</v>
      </c>
      <c r="BC104" s="998" t="s">
        <v>77</v>
      </c>
      <c r="BD104" s="1000"/>
      <c r="JS104" s="5"/>
    </row>
    <row r="105" spans="1:279" s="1" customFormat="1" ht="15" customHeight="1">
      <c r="A105" s="1077" t="s">
        <v>71</v>
      </c>
      <c r="B105" s="1084" t="s">
        <v>83</v>
      </c>
      <c r="C105" s="130" t="s">
        <v>78</v>
      </c>
      <c r="D105" s="189" t="s">
        <v>175</v>
      </c>
      <c r="E105" s="966" t="s">
        <v>78</v>
      </c>
      <c r="F105" s="967"/>
      <c r="G105" s="251" t="s">
        <v>175</v>
      </c>
      <c r="H105" s="143" t="s">
        <v>78</v>
      </c>
      <c r="I105" s="966" t="s">
        <v>78</v>
      </c>
      <c r="J105" s="967"/>
      <c r="K105" s="966" t="s">
        <v>78</v>
      </c>
      <c r="L105" s="967"/>
      <c r="M105" s="966" t="s">
        <v>78</v>
      </c>
      <c r="N105" s="967"/>
      <c r="O105" s="966" t="s">
        <v>78</v>
      </c>
      <c r="P105" s="967"/>
      <c r="Q105" s="998" t="s">
        <v>78</v>
      </c>
      <c r="R105" s="1000"/>
      <c r="S105" s="998" t="s">
        <v>78</v>
      </c>
      <c r="T105" s="999"/>
      <c r="U105" s="974"/>
      <c r="V105" s="966" t="s">
        <v>78</v>
      </c>
      <c r="W105" s="990"/>
      <c r="X105" s="143" t="s">
        <v>175</v>
      </c>
      <c r="Y105" s="966" t="s">
        <v>78</v>
      </c>
      <c r="Z105" s="967"/>
      <c r="AA105" s="966" t="s">
        <v>943</v>
      </c>
      <c r="AB105" s="967"/>
      <c r="AC105" s="966" t="s">
        <v>1343</v>
      </c>
      <c r="AD105" s="967"/>
      <c r="AE105" s="1123" t="s">
        <v>372</v>
      </c>
      <c r="AF105" s="1124"/>
      <c r="AG105" s="966" t="s">
        <v>175</v>
      </c>
      <c r="AH105" s="967"/>
      <c r="AI105" s="966" t="s">
        <v>175</v>
      </c>
      <c r="AJ105" s="967"/>
      <c r="AK105" s="966" t="s">
        <v>175</v>
      </c>
      <c r="AL105" s="967"/>
      <c r="AM105" s="966" t="s">
        <v>175</v>
      </c>
      <c r="AN105" s="967"/>
      <c r="AO105" s="143" t="s">
        <v>175</v>
      </c>
      <c r="AP105" s="966" t="s">
        <v>175</v>
      </c>
      <c r="AQ105" s="967"/>
      <c r="AR105" s="998" t="s">
        <v>78</v>
      </c>
      <c r="AS105" s="999"/>
      <c r="AT105" s="1000"/>
      <c r="AU105" s="966" t="s">
        <v>78</v>
      </c>
      <c r="AV105" s="967"/>
      <c r="AW105" s="143" t="s">
        <v>78</v>
      </c>
      <c r="AX105" s="966" t="s">
        <v>863</v>
      </c>
      <c r="AY105" s="967"/>
      <c r="AZ105" s="966" t="s">
        <v>175</v>
      </c>
      <c r="BA105" s="967"/>
      <c r="BB105" s="252" t="s">
        <v>863</v>
      </c>
      <c r="BC105" s="966" t="s">
        <v>175</v>
      </c>
      <c r="BD105" s="967"/>
      <c r="JS105" s="5"/>
    </row>
    <row r="106" spans="1:279" s="1" customFormat="1" ht="15" customHeight="1">
      <c r="A106" s="1077"/>
      <c r="B106" s="1084"/>
      <c r="C106" s="130" t="s">
        <v>213</v>
      </c>
      <c r="D106" s="189" t="s">
        <v>838</v>
      </c>
      <c r="E106" s="966" t="s">
        <v>262</v>
      </c>
      <c r="F106" s="967"/>
      <c r="G106" s="251" t="s">
        <v>839</v>
      </c>
      <c r="H106" s="143" t="s">
        <v>262</v>
      </c>
      <c r="I106" s="966" t="s">
        <v>262</v>
      </c>
      <c r="J106" s="967"/>
      <c r="K106" s="966" t="s">
        <v>262</v>
      </c>
      <c r="L106" s="967"/>
      <c r="M106" s="966" t="s">
        <v>262</v>
      </c>
      <c r="N106" s="967"/>
      <c r="O106" s="966" t="s">
        <v>262</v>
      </c>
      <c r="P106" s="967"/>
      <c r="Q106" s="998" t="s">
        <v>262</v>
      </c>
      <c r="R106" s="1000"/>
      <c r="S106" s="998" t="s">
        <v>1333</v>
      </c>
      <c r="T106" s="999"/>
      <c r="U106" s="974"/>
      <c r="V106" s="966" t="s">
        <v>262</v>
      </c>
      <c r="W106" s="990"/>
      <c r="X106" s="143" t="s">
        <v>756</v>
      </c>
      <c r="Y106" s="966" t="s">
        <v>1257</v>
      </c>
      <c r="Z106" s="967"/>
      <c r="AA106" s="966" t="s">
        <v>943</v>
      </c>
      <c r="AB106" s="967"/>
      <c r="AC106" s="966" t="s">
        <v>1059</v>
      </c>
      <c r="AD106" s="967"/>
      <c r="AE106" s="1123" t="s">
        <v>372</v>
      </c>
      <c r="AF106" s="1124"/>
      <c r="AG106" s="966" t="s">
        <v>421</v>
      </c>
      <c r="AH106" s="967"/>
      <c r="AI106" s="966" t="s">
        <v>461</v>
      </c>
      <c r="AJ106" s="967"/>
      <c r="AK106" s="966" t="s">
        <v>506</v>
      </c>
      <c r="AL106" s="967"/>
      <c r="AM106" s="966" t="s">
        <v>551</v>
      </c>
      <c r="AN106" s="967"/>
      <c r="AO106" s="143" t="s">
        <v>756</v>
      </c>
      <c r="AP106" s="966" t="s">
        <v>607</v>
      </c>
      <c r="AQ106" s="967"/>
      <c r="AR106" s="998" t="s">
        <v>262</v>
      </c>
      <c r="AS106" s="999"/>
      <c r="AT106" s="1000"/>
      <c r="AU106" s="966" t="s">
        <v>262</v>
      </c>
      <c r="AV106" s="967"/>
      <c r="AW106" s="143" t="s">
        <v>206</v>
      </c>
      <c r="AX106" s="966" t="s">
        <v>1116</v>
      </c>
      <c r="AY106" s="967"/>
      <c r="AZ106" s="966" t="s">
        <v>670</v>
      </c>
      <c r="BA106" s="967"/>
      <c r="BB106" s="252" t="s">
        <v>1009</v>
      </c>
      <c r="BC106" s="966" t="s">
        <v>725</v>
      </c>
      <c r="BD106" s="967"/>
      <c r="JS106" s="5"/>
    </row>
    <row r="107" spans="1:279" s="1" customFormat="1">
      <c r="A107" s="1077"/>
      <c r="B107" s="1084"/>
      <c r="C107" s="130" t="s">
        <v>0</v>
      </c>
      <c r="D107" s="189" t="s">
        <v>77</v>
      </c>
      <c r="E107" s="966" t="s">
        <v>77</v>
      </c>
      <c r="F107" s="967"/>
      <c r="G107" s="251" t="s">
        <v>77</v>
      </c>
      <c r="H107" s="143" t="s">
        <v>394</v>
      </c>
      <c r="I107" s="966" t="s">
        <v>77</v>
      </c>
      <c r="J107" s="967"/>
      <c r="K107" s="966" t="s">
        <v>77</v>
      </c>
      <c r="L107" s="967"/>
      <c r="M107" s="966" t="s">
        <v>77</v>
      </c>
      <c r="N107" s="967"/>
      <c r="O107" s="966" t="s">
        <v>77</v>
      </c>
      <c r="P107" s="967"/>
      <c r="Q107" s="998" t="s">
        <v>77</v>
      </c>
      <c r="R107" s="1000"/>
      <c r="S107" s="998" t="s">
        <v>77</v>
      </c>
      <c r="T107" s="999"/>
      <c r="U107" s="974"/>
      <c r="V107" s="966" t="s">
        <v>77</v>
      </c>
      <c r="W107" s="990"/>
      <c r="X107" s="143" t="s">
        <v>77</v>
      </c>
      <c r="Y107" s="966" t="s">
        <v>77</v>
      </c>
      <c r="Z107" s="967"/>
      <c r="AA107" s="964" t="s">
        <v>943</v>
      </c>
      <c r="AB107" s="969"/>
      <c r="AC107" s="964" t="s">
        <v>77</v>
      </c>
      <c r="AD107" s="969"/>
      <c r="AE107" s="1123" t="s">
        <v>360</v>
      </c>
      <c r="AF107" s="1124"/>
      <c r="AG107" s="966" t="s">
        <v>77</v>
      </c>
      <c r="AH107" s="967"/>
      <c r="AI107" s="966" t="s">
        <v>77</v>
      </c>
      <c r="AJ107" s="967"/>
      <c r="AK107" s="966" t="s">
        <v>77</v>
      </c>
      <c r="AL107" s="967"/>
      <c r="AM107" s="966" t="s">
        <v>77</v>
      </c>
      <c r="AN107" s="967"/>
      <c r="AO107" s="143" t="s">
        <v>77</v>
      </c>
      <c r="AP107" s="966" t="s">
        <v>77</v>
      </c>
      <c r="AQ107" s="967"/>
      <c r="AR107" s="998" t="s">
        <v>77</v>
      </c>
      <c r="AS107" s="999"/>
      <c r="AT107" s="1000"/>
      <c r="AU107" s="966" t="s">
        <v>77</v>
      </c>
      <c r="AV107" s="967"/>
      <c r="AW107" s="143" t="s">
        <v>77</v>
      </c>
      <c r="AX107" s="964" t="s">
        <v>77</v>
      </c>
      <c r="AY107" s="969"/>
      <c r="AZ107" s="966" t="s">
        <v>77</v>
      </c>
      <c r="BA107" s="967"/>
      <c r="BB107" s="252" t="s">
        <v>77</v>
      </c>
      <c r="BC107" s="966" t="s">
        <v>77</v>
      </c>
      <c r="BD107" s="967"/>
      <c r="JS107" s="5"/>
    </row>
    <row r="108" spans="1:279" s="1" customFormat="1">
      <c r="A108" s="1077" t="s">
        <v>72</v>
      </c>
      <c r="B108" s="1084" t="s">
        <v>40</v>
      </c>
      <c r="C108" s="130" t="s">
        <v>33</v>
      </c>
      <c r="D108" s="189" t="s">
        <v>175</v>
      </c>
      <c r="E108" s="245" t="s">
        <v>175</v>
      </c>
      <c r="F108" s="255" t="s">
        <v>175</v>
      </c>
      <c r="G108" s="251" t="s">
        <v>175</v>
      </c>
      <c r="H108" s="154" t="s">
        <v>175</v>
      </c>
      <c r="I108" s="253" t="s">
        <v>175</v>
      </c>
      <c r="J108" s="279" t="s">
        <v>175</v>
      </c>
      <c r="K108" s="253" t="s">
        <v>177</v>
      </c>
      <c r="L108" s="279" t="s">
        <v>177</v>
      </c>
      <c r="M108" s="253" t="s">
        <v>177</v>
      </c>
      <c r="N108" s="279" t="s">
        <v>177</v>
      </c>
      <c r="O108" s="253" t="s">
        <v>177</v>
      </c>
      <c r="P108" s="279" t="s">
        <v>177</v>
      </c>
      <c r="Q108" s="253" t="s">
        <v>175</v>
      </c>
      <c r="R108" s="279" t="s">
        <v>175</v>
      </c>
      <c r="S108" s="253" t="s">
        <v>175</v>
      </c>
      <c r="T108" s="122" t="s">
        <v>175</v>
      </c>
      <c r="U108" s="109" t="s">
        <v>175</v>
      </c>
      <c r="V108" s="253" t="s">
        <v>175</v>
      </c>
      <c r="W108" s="109" t="s">
        <v>175</v>
      </c>
      <c r="X108" s="143" t="s">
        <v>175</v>
      </c>
      <c r="Y108" s="253" t="s">
        <v>175</v>
      </c>
      <c r="Z108" s="279" t="s">
        <v>175</v>
      </c>
      <c r="AA108" s="253" t="s">
        <v>175</v>
      </c>
      <c r="AB108" s="279" t="s">
        <v>175</v>
      </c>
      <c r="AC108" s="253" t="s">
        <v>175</v>
      </c>
      <c r="AD108" s="279" t="s">
        <v>175</v>
      </c>
      <c r="AE108" s="253" t="s">
        <v>175</v>
      </c>
      <c r="AF108" s="279" t="s">
        <v>175</v>
      </c>
      <c r="AG108" s="253" t="s">
        <v>175</v>
      </c>
      <c r="AH108" s="279" t="s">
        <v>175</v>
      </c>
      <c r="AI108" s="253" t="s">
        <v>175</v>
      </c>
      <c r="AJ108" s="279" t="s">
        <v>175</v>
      </c>
      <c r="AK108" s="253" t="s">
        <v>177</v>
      </c>
      <c r="AL108" s="279" t="s">
        <v>175</v>
      </c>
      <c r="AM108" s="253" t="s">
        <v>175</v>
      </c>
      <c r="AN108" s="279" t="s">
        <v>175</v>
      </c>
      <c r="AO108" s="143" t="s">
        <v>175</v>
      </c>
      <c r="AP108" s="253" t="s">
        <v>175</v>
      </c>
      <c r="AQ108" s="279" t="s">
        <v>175</v>
      </c>
      <c r="AR108" s="253" t="s">
        <v>177</v>
      </c>
      <c r="AS108" s="122" t="s">
        <v>177</v>
      </c>
      <c r="AT108" s="279" t="s">
        <v>177</v>
      </c>
      <c r="AU108" s="253" t="s">
        <v>177</v>
      </c>
      <c r="AV108" s="279" t="s">
        <v>177</v>
      </c>
      <c r="AW108" s="143" t="s">
        <v>175</v>
      </c>
      <c r="AX108" s="253" t="s">
        <v>175</v>
      </c>
      <c r="AY108" s="279" t="s">
        <v>175</v>
      </c>
      <c r="AZ108" s="253" t="s">
        <v>177</v>
      </c>
      <c r="BA108" s="279" t="s">
        <v>175</v>
      </c>
      <c r="BB108" s="252" t="s">
        <v>175</v>
      </c>
      <c r="BC108" s="253" t="s">
        <v>175</v>
      </c>
      <c r="BD108" s="279" t="s">
        <v>175</v>
      </c>
      <c r="JS108" s="5"/>
    </row>
    <row r="109" spans="1:279" s="1" customFormat="1" ht="59.25" customHeight="1">
      <c r="A109" s="1077"/>
      <c r="B109" s="1084"/>
      <c r="C109" s="130" t="s">
        <v>167</v>
      </c>
      <c r="D109" s="189" t="s">
        <v>175</v>
      </c>
      <c r="E109" s="245" t="s">
        <v>175</v>
      </c>
      <c r="F109" s="255" t="s">
        <v>175</v>
      </c>
      <c r="G109" s="251" t="s">
        <v>175</v>
      </c>
      <c r="H109" s="154" t="s">
        <v>175</v>
      </c>
      <c r="I109" s="253" t="s">
        <v>175</v>
      </c>
      <c r="J109" s="279" t="s">
        <v>175</v>
      </c>
      <c r="K109" s="253"/>
      <c r="L109" s="279"/>
      <c r="M109" s="253"/>
      <c r="N109" s="279"/>
      <c r="O109" s="253"/>
      <c r="P109" s="279"/>
      <c r="Q109" s="253" t="s">
        <v>175</v>
      </c>
      <c r="R109" s="279" t="s">
        <v>175</v>
      </c>
      <c r="S109" s="253" t="s">
        <v>175</v>
      </c>
      <c r="T109" s="121" t="s">
        <v>175</v>
      </c>
      <c r="U109" s="118" t="s">
        <v>175</v>
      </c>
      <c r="V109" s="253" t="s">
        <v>175</v>
      </c>
      <c r="W109" s="109" t="s">
        <v>175</v>
      </c>
      <c r="X109" s="143" t="s">
        <v>175</v>
      </c>
      <c r="Y109" s="253" t="s">
        <v>175</v>
      </c>
      <c r="Z109" s="279" t="s">
        <v>175</v>
      </c>
      <c r="AA109" s="253" t="s">
        <v>175</v>
      </c>
      <c r="AB109" s="277" t="s">
        <v>175</v>
      </c>
      <c r="AC109" s="253" t="s">
        <v>175</v>
      </c>
      <c r="AD109" s="279" t="s">
        <v>175</v>
      </c>
      <c r="AE109" s="253" t="s">
        <v>175</v>
      </c>
      <c r="AF109" s="277" t="s">
        <v>175</v>
      </c>
      <c r="AG109" s="253" t="s">
        <v>175</v>
      </c>
      <c r="AH109" s="277" t="s">
        <v>175</v>
      </c>
      <c r="AI109" s="253" t="s">
        <v>175</v>
      </c>
      <c r="AJ109" s="277" t="s">
        <v>175</v>
      </c>
      <c r="AK109" s="253" t="s">
        <v>177</v>
      </c>
      <c r="AL109" s="277" t="s">
        <v>175</v>
      </c>
      <c r="AM109" s="253" t="s">
        <v>175</v>
      </c>
      <c r="AN109" s="277" t="s">
        <v>175</v>
      </c>
      <c r="AO109" s="143" t="s">
        <v>175</v>
      </c>
      <c r="AP109" s="253" t="s">
        <v>175</v>
      </c>
      <c r="AQ109" s="277" t="s">
        <v>175</v>
      </c>
      <c r="AR109" s="253"/>
      <c r="AS109" s="122"/>
      <c r="AT109" s="279"/>
      <c r="AU109" s="253"/>
      <c r="AV109" s="279"/>
      <c r="AW109" s="143" t="s">
        <v>175</v>
      </c>
      <c r="AX109" s="253" t="s">
        <v>175</v>
      </c>
      <c r="AY109" s="279" t="s">
        <v>175</v>
      </c>
      <c r="AZ109" s="253" t="s">
        <v>175</v>
      </c>
      <c r="BA109" s="277" t="s">
        <v>175</v>
      </c>
      <c r="BB109" s="252" t="s">
        <v>175</v>
      </c>
      <c r="BC109" s="253" t="s">
        <v>175</v>
      </c>
      <c r="BD109" s="277" t="s">
        <v>175</v>
      </c>
      <c r="JS109" s="5"/>
    </row>
    <row r="110" spans="1:279" s="1" customFormat="1" ht="36">
      <c r="A110" s="1077"/>
      <c r="B110" s="1084"/>
      <c r="C110" s="130" t="s">
        <v>224</v>
      </c>
      <c r="D110" s="205">
        <v>44869</v>
      </c>
      <c r="E110" s="256"/>
      <c r="F110" s="257"/>
      <c r="G110" s="205">
        <v>44861</v>
      </c>
      <c r="H110" s="155">
        <v>44869</v>
      </c>
      <c r="I110" s="256">
        <v>44869</v>
      </c>
      <c r="J110" s="257">
        <v>44869</v>
      </c>
      <c r="K110" s="256"/>
      <c r="L110" s="257"/>
      <c r="M110" s="256"/>
      <c r="N110" s="257"/>
      <c r="O110" s="256"/>
      <c r="P110" s="257"/>
      <c r="Q110" s="256">
        <v>44869</v>
      </c>
      <c r="R110" s="257">
        <v>44869</v>
      </c>
      <c r="S110" s="256">
        <v>44839</v>
      </c>
      <c r="T110" s="29">
        <v>44839</v>
      </c>
      <c r="U110" s="74">
        <v>44841</v>
      </c>
      <c r="V110" s="256">
        <v>44839</v>
      </c>
      <c r="W110" s="433">
        <v>44858</v>
      </c>
      <c r="X110" s="444" t="s">
        <v>775</v>
      </c>
      <c r="Y110" s="256">
        <v>44869</v>
      </c>
      <c r="Z110" s="409">
        <v>44865</v>
      </c>
      <c r="AA110" s="256">
        <v>44868</v>
      </c>
      <c r="AB110" s="257">
        <v>44839</v>
      </c>
      <c r="AC110" s="256">
        <v>44869</v>
      </c>
      <c r="AD110" s="257">
        <v>44869</v>
      </c>
      <c r="AE110" s="477">
        <v>44853</v>
      </c>
      <c r="AF110" s="409">
        <v>44861</v>
      </c>
      <c r="AG110" s="477" t="s">
        <v>442</v>
      </c>
      <c r="AH110" s="409" t="s">
        <v>442</v>
      </c>
      <c r="AI110" s="490" t="s">
        <v>489</v>
      </c>
      <c r="AJ110" s="493" t="s">
        <v>491</v>
      </c>
      <c r="AK110" s="491" t="s">
        <v>1645</v>
      </c>
      <c r="AL110" s="493" t="s">
        <v>533</v>
      </c>
      <c r="AM110" s="491" t="s">
        <v>590</v>
      </c>
      <c r="AN110" s="492" t="s">
        <v>588</v>
      </c>
      <c r="AO110" s="444" t="s">
        <v>917</v>
      </c>
      <c r="AP110" s="491" t="s">
        <v>633</v>
      </c>
      <c r="AQ110" s="493" t="s">
        <v>634</v>
      </c>
      <c r="AR110" s="256"/>
      <c r="AS110" s="29"/>
      <c r="AT110" s="257"/>
      <c r="AU110" s="256"/>
      <c r="AV110" s="257"/>
      <c r="AW110" s="155">
        <v>44858</v>
      </c>
      <c r="AX110" s="256">
        <v>44868</v>
      </c>
      <c r="AY110" s="257">
        <v>44867</v>
      </c>
      <c r="AZ110" s="491" t="s">
        <v>679</v>
      </c>
      <c r="BA110" s="493" t="s">
        <v>681</v>
      </c>
      <c r="BB110" s="558">
        <v>44868</v>
      </c>
      <c r="BC110" s="491" t="s">
        <v>727</v>
      </c>
      <c r="BD110" s="493" t="s">
        <v>729</v>
      </c>
      <c r="JS110" s="5"/>
    </row>
    <row r="111" spans="1:279" s="1" customFormat="1" ht="60.75">
      <c r="A111" s="1077"/>
      <c r="B111" s="1084"/>
      <c r="C111" s="130" t="s">
        <v>117</v>
      </c>
      <c r="D111" s="189" t="s">
        <v>838</v>
      </c>
      <c r="E111" s="245"/>
      <c r="F111" s="255"/>
      <c r="G111" s="251" t="s">
        <v>862</v>
      </c>
      <c r="H111" s="154" t="s">
        <v>192</v>
      </c>
      <c r="I111" s="253" t="s">
        <v>192</v>
      </c>
      <c r="J111" s="254" t="s">
        <v>192</v>
      </c>
      <c r="K111" s="253"/>
      <c r="L111" s="254"/>
      <c r="M111" s="253"/>
      <c r="N111" s="254"/>
      <c r="O111" s="253"/>
      <c r="P111" s="254"/>
      <c r="Q111" s="253" t="s">
        <v>1295</v>
      </c>
      <c r="R111" s="279" t="s">
        <v>1296</v>
      </c>
      <c r="S111" s="253" t="s">
        <v>1353</v>
      </c>
      <c r="T111" s="54" t="s">
        <v>1354</v>
      </c>
      <c r="U111" s="77" t="s">
        <v>1355</v>
      </c>
      <c r="V111" s="253" t="s">
        <v>1192</v>
      </c>
      <c r="W111" s="118" t="s">
        <v>1193</v>
      </c>
      <c r="X111" s="444" t="s">
        <v>774</v>
      </c>
      <c r="Y111" s="253" t="s">
        <v>1241</v>
      </c>
      <c r="Z111" s="277" t="s">
        <v>1258</v>
      </c>
      <c r="AA111" s="253" t="s">
        <v>931</v>
      </c>
      <c r="AB111" s="358" t="s">
        <v>960</v>
      </c>
      <c r="AC111" s="253" t="s">
        <v>1059</v>
      </c>
      <c r="AD111" s="358" t="s">
        <v>1060</v>
      </c>
      <c r="AE111" s="253" t="s">
        <v>373</v>
      </c>
      <c r="AF111" s="254" t="s">
        <v>373</v>
      </c>
      <c r="AG111" s="253" t="s">
        <v>403</v>
      </c>
      <c r="AH111" s="358" t="s">
        <v>402</v>
      </c>
      <c r="AI111" s="253" t="s">
        <v>461</v>
      </c>
      <c r="AJ111" s="254" t="s">
        <v>490</v>
      </c>
      <c r="AK111" s="253" t="s">
        <v>1644</v>
      </c>
      <c r="AL111" s="358" t="s">
        <v>532</v>
      </c>
      <c r="AM111" s="253" t="s">
        <v>589</v>
      </c>
      <c r="AN111" s="358" t="s">
        <v>586</v>
      </c>
      <c r="AO111" s="444" t="s">
        <v>916</v>
      </c>
      <c r="AP111" s="253" t="s">
        <v>632</v>
      </c>
      <c r="AQ111" s="358" t="s">
        <v>635</v>
      </c>
      <c r="AR111" s="253"/>
      <c r="AS111" s="117"/>
      <c r="AT111" s="254"/>
      <c r="AU111" s="253"/>
      <c r="AV111" s="254"/>
      <c r="AW111" s="143" t="s">
        <v>807</v>
      </c>
      <c r="AX111" s="253" t="s">
        <v>1059</v>
      </c>
      <c r="AY111" s="358" t="s">
        <v>1136</v>
      </c>
      <c r="AZ111" s="253" t="s">
        <v>678</v>
      </c>
      <c r="BA111" s="358" t="s">
        <v>680</v>
      </c>
      <c r="BB111" s="252" t="s">
        <v>1029</v>
      </c>
      <c r="BC111" s="491" t="s">
        <v>726</v>
      </c>
      <c r="BD111" s="358" t="s">
        <v>728</v>
      </c>
      <c r="JS111" s="5"/>
    </row>
    <row r="112" spans="1:279" s="1" customFormat="1" ht="24">
      <c r="A112" s="1077"/>
      <c r="B112" s="1084"/>
      <c r="C112" s="130" t="s">
        <v>168</v>
      </c>
      <c r="D112" s="191" t="s">
        <v>178</v>
      </c>
      <c r="E112" s="248"/>
      <c r="F112" s="246"/>
      <c r="G112" s="191" t="s">
        <v>178</v>
      </c>
      <c r="H112" s="333" t="s">
        <v>175</v>
      </c>
      <c r="I112" s="248" t="s">
        <v>175</v>
      </c>
      <c r="J112" s="246" t="s">
        <v>175</v>
      </c>
      <c r="K112" s="248" t="s">
        <v>175</v>
      </c>
      <c r="L112" s="246" t="s">
        <v>175</v>
      </c>
      <c r="M112" s="248" t="s">
        <v>175</v>
      </c>
      <c r="N112" s="246" t="s">
        <v>175</v>
      </c>
      <c r="O112" s="248" t="s">
        <v>175</v>
      </c>
      <c r="P112" s="246" t="s">
        <v>175</v>
      </c>
      <c r="Q112" s="248" t="s">
        <v>935</v>
      </c>
      <c r="R112" s="246" t="s">
        <v>935</v>
      </c>
      <c r="S112" s="253" t="s">
        <v>935</v>
      </c>
      <c r="T112" s="121" t="s">
        <v>935</v>
      </c>
      <c r="U112" s="118" t="s">
        <v>935</v>
      </c>
      <c r="V112" s="253" t="s">
        <v>959</v>
      </c>
      <c r="W112" s="118" t="s">
        <v>959</v>
      </c>
      <c r="X112" s="143" t="s">
        <v>178</v>
      </c>
      <c r="Y112" s="253" t="s">
        <v>959</v>
      </c>
      <c r="Z112" s="277" t="s">
        <v>959</v>
      </c>
      <c r="AA112" s="253" t="s">
        <v>935</v>
      </c>
      <c r="AB112" s="277" t="s">
        <v>935</v>
      </c>
      <c r="AC112" s="253" t="s">
        <v>935</v>
      </c>
      <c r="AD112" s="277" t="s">
        <v>935</v>
      </c>
      <c r="AE112" s="253" t="s">
        <v>178</v>
      </c>
      <c r="AF112" s="254" t="s">
        <v>178</v>
      </c>
      <c r="AG112" s="253" t="s">
        <v>178</v>
      </c>
      <c r="AH112" s="254" t="s">
        <v>178</v>
      </c>
      <c r="AI112" s="253" t="s">
        <v>178</v>
      </c>
      <c r="AJ112" s="254" t="s">
        <v>178</v>
      </c>
      <c r="AK112" s="253" t="s">
        <v>178</v>
      </c>
      <c r="AL112" s="254" t="s">
        <v>178</v>
      </c>
      <c r="AM112" s="253" t="s">
        <v>178</v>
      </c>
      <c r="AN112" s="254" t="s">
        <v>178</v>
      </c>
      <c r="AO112" s="143" t="s">
        <v>178</v>
      </c>
      <c r="AP112" s="253" t="s">
        <v>178</v>
      </c>
      <c r="AQ112" s="254" t="s">
        <v>178</v>
      </c>
      <c r="AR112" s="248" t="s">
        <v>175</v>
      </c>
      <c r="AS112" s="34" t="s">
        <v>175</v>
      </c>
      <c r="AT112" s="246"/>
      <c r="AU112" s="248" t="s">
        <v>175</v>
      </c>
      <c r="AV112" s="246" t="s">
        <v>175</v>
      </c>
      <c r="AW112" s="145" t="s">
        <v>175</v>
      </c>
      <c r="AX112" s="253" t="s">
        <v>1137</v>
      </c>
      <c r="AY112" s="277" t="s">
        <v>935</v>
      </c>
      <c r="AZ112" s="253" t="s">
        <v>178</v>
      </c>
      <c r="BA112" s="254" t="s">
        <v>178</v>
      </c>
      <c r="BB112" s="252" t="s">
        <v>935</v>
      </c>
      <c r="BC112" s="253" t="s">
        <v>178</v>
      </c>
      <c r="BD112" s="254" t="s">
        <v>178</v>
      </c>
      <c r="JS112" s="5"/>
    </row>
    <row r="113" spans="1:279" s="1" customFormat="1" ht="24">
      <c r="A113" s="1077"/>
      <c r="B113" s="1084"/>
      <c r="C113" s="130" t="s">
        <v>169</v>
      </c>
      <c r="D113" s="191" t="s">
        <v>175</v>
      </c>
      <c r="E113" s="248"/>
      <c r="F113" s="246"/>
      <c r="G113" s="191" t="s">
        <v>175</v>
      </c>
      <c r="H113" s="333" t="s">
        <v>1416</v>
      </c>
      <c r="I113" s="248" t="s">
        <v>1488</v>
      </c>
      <c r="J113" s="246" t="s">
        <v>1416</v>
      </c>
      <c r="K113" s="353" t="s">
        <v>1416</v>
      </c>
      <c r="L113" s="246" t="s">
        <v>1416</v>
      </c>
      <c r="M113" s="353" t="s">
        <v>1416</v>
      </c>
      <c r="N113" s="246" t="s">
        <v>1468</v>
      </c>
      <c r="O113" s="353" t="s">
        <v>1416</v>
      </c>
      <c r="P113" s="246" t="s">
        <v>1416</v>
      </c>
      <c r="Q113" s="248"/>
      <c r="R113" s="246"/>
      <c r="S113" s="253" t="s">
        <v>1356</v>
      </c>
      <c r="T113" s="117" t="s">
        <v>1356</v>
      </c>
      <c r="U113" s="113" t="s">
        <v>1357</v>
      </c>
      <c r="V113" s="253" t="s">
        <v>1194</v>
      </c>
      <c r="W113" s="113" t="s">
        <v>1195</v>
      </c>
      <c r="X113" s="143" t="s">
        <v>178</v>
      </c>
      <c r="Y113" s="253" t="s">
        <v>397</v>
      </c>
      <c r="Z113" s="254" t="s">
        <v>1259</v>
      </c>
      <c r="AA113" s="253" t="s">
        <v>397</v>
      </c>
      <c r="AB113" s="277" t="s">
        <v>961</v>
      </c>
      <c r="AC113" s="253" t="s">
        <v>397</v>
      </c>
      <c r="AD113" s="277" t="s">
        <v>397</v>
      </c>
      <c r="AE113" s="253" t="s">
        <v>178</v>
      </c>
      <c r="AF113" s="254" t="s">
        <v>178</v>
      </c>
      <c r="AG113" s="253" t="s">
        <v>178</v>
      </c>
      <c r="AH113" s="254" t="s">
        <v>178</v>
      </c>
      <c r="AI113" s="253" t="s">
        <v>178</v>
      </c>
      <c r="AJ113" s="254" t="s">
        <v>178</v>
      </c>
      <c r="AK113" s="253" t="s">
        <v>178</v>
      </c>
      <c r="AL113" s="254" t="s">
        <v>178</v>
      </c>
      <c r="AM113" s="253" t="s">
        <v>178</v>
      </c>
      <c r="AN113" s="254" t="s">
        <v>178</v>
      </c>
      <c r="AO113" s="143" t="s">
        <v>178</v>
      </c>
      <c r="AP113" s="253" t="s">
        <v>178</v>
      </c>
      <c r="AQ113" s="254" t="s">
        <v>178</v>
      </c>
      <c r="AR113" s="353" t="s">
        <v>1599</v>
      </c>
      <c r="AS113" s="34" t="s">
        <v>1416</v>
      </c>
      <c r="AT113" s="246" t="s">
        <v>1600</v>
      </c>
      <c r="AU113" s="353" t="s">
        <v>1416</v>
      </c>
      <c r="AV113" s="246" t="s">
        <v>1601</v>
      </c>
      <c r="AW113" s="145" t="s">
        <v>808</v>
      </c>
      <c r="AX113" s="253" t="s">
        <v>1138</v>
      </c>
      <c r="AY113" s="277" t="s">
        <v>1136</v>
      </c>
      <c r="AZ113" s="253" t="s">
        <v>178</v>
      </c>
      <c r="BA113" s="254" t="s">
        <v>178</v>
      </c>
      <c r="BB113" s="252" t="s">
        <v>1030</v>
      </c>
      <c r="BC113" s="253" t="s">
        <v>178</v>
      </c>
      <c r="BD113" s="254" t="s">
        <v>178</v>
      </c>
      <c r="JS113" s="5"/>
    </row>
    <row r="114" spans="1:279" s="1" customFormat="1">
      <c r="A114" s="1077"/>
      <c r="B114" s="1084"/>
      <c r="C114" s="130" t="s">
        <v>0</v>
      </c>
      <c r="D114" s="189" t="s">
        <v>77</v>
      </c>
      <c r="E114" s="998"/>
      <c r="F114" s="1000"/>
      <c r="G114" s="251" t="s">
        <v>77</v>
      </c>
      <c r="H114" s="143"/>
      <c r="I114" s="998" t="s">
        <v>77</v>
      </c>
      <c r="J114" s="1000"/>
      <c r="K114" s="998" t="s">
        <v>77</v>
      </c>
      <c r="L114" s="1000"/>
      <c r="M114" s="998" t="s">
        <v>77</v>
      </c>
      <c r="N114" s="1000"/>
      <c r="O114" s="998" t="s">
        <v>77</v>
      </c>
      <c r="P114" s="1000"/>
      <c r="Q114" s="998" t="s">
        <v>77</v>
      </c>
      <c r="R114" s="1000"/>
      <c r="S114" s="966" t="s">
        <v>77</v>
      </c>
      <c r="T114" s="1014"/>
      <c r="U114" s="1015"/>
      <c r="V114" s="998" t="s">
        <v>1082</v>
      </c>
      <c r="W114" s="999"/>
      <c r="X114" s="445" t="s">
        <v>77</v>
      </c>
      <c r="Y114" s="998" t="s">
        <v>1082</v>
      </c>
      <c r="Z114" s="1000"/>
      <c r="AA114" s="998" t="s">
        <v>77</v>
      </c>
      <c r="AB114" s="1000"/>
      <c r="AC114" s="998" t="s">
        <v>77</v>
      </c>
      <c r="AD114" s="1000"/>
      <c r="AE114" s="393" t="s">
        <v>77</v>
      </c>
      <c r="AF114" s="358" t="s">
        <v>77</v>
      </c>
      <c r="AG114" s="393" t="s">
        <v>77</v>
      </c>
      <c r="AH114" s="358" t="s">
        <v>77</v>
      </c>
      <c r="AI114" s="393" t="s">
        <v>77</v>
      </c>
      <c r="AJ114" s="358" t="s">
        <v>77</v>
      </c>
      <c r="AK114" s="393" t="s">
        <v>77</v>
      </c>
      <c r="AL114" s="358" t="s">
        <v>77</v>
      </c>
      <c r="AM114" s="393" t="s">
        <v>77</v>
      </c>
      <c r="AN114" s="358" t="s">
        <v>77</v>
      </c>
      <c r="AO114" s="445" t="s">
        <v>77</v>
      </c>
      <c r="AP114" s="393" t="s">
        <v>77</v>
      </c>
      <c r="AQ114" s="358" t="s">
        <v>77</v>
      </c>
      <c r="AR114" s="998" t="s">
        <v>77</v>
      </c>
      <c r="AS114" s="999"/>
      <c r="AT114" s="1000"/>
      <c r="AU114" s="998" t="s">
        <v>77</v>
      </c>
      <c r="AV114" s="1000"/>
      <c r="AW114" s="143" t="s">
        <v>77</v>
      </c>
      <c r="AX114" s="998" t="s">
        <v>77</v>
      </c>
      <c r="AY114" s="1000"/>
      <c r="AZ114" s="393" t="s">
        <v>77</v>
      </c>
      <c r="BA114" s="358" t="s">
        <v>77</v>
      </c>
      <c r="BB114" s="252" t="s">
        <v>77</v>
      </c>
      <c r="BC114" s="393" t="s">
        <v>77</v>
      </c>
      <c r="BD114" s="358" t="s">
        <v>77</v>
      </c>
      <c r="JS114" s="5"/>
    </row>
    <row r="115" spans="1:279" s="1" customFormat="1">
      <c r="A115" s="1077" t="s">
        <v>73</v>
      </c>
      <c r="B115" s="1084" t="s">
        <v>101</v>
      </c>
      <c r="C115" s="130" t="s">
        <v>33</v>
      </c>
      <c r="D115" s="189" t="s">
        <v>863</v>
      </c>
      <c r="E115" s="245" t="s">
        <v>78</v>
      </c>
      <c r="F115" s="258" t="s">
        <v>78</v>
      </c>
      <c r="G115" s="251" t="s">
        <v>863</v>
      </c>
      <c r="H115" s="144" t="s">
        <v>78</v>
      </c>
      <c r="I115" s="253" t="s">
        <v>78</v>
      </c>
      <c r="J115" s="277" t="s">
        <v>78</v>
      </c>
      <c r="K115" s="253"/>
      <c r="L115" s="277" t="s">
        <v>78</v>
      </c>
      <c r="M115" s="253"/>
      <c r="N115" s="277" t="s">
        <v>78</v>
      </c>
      <c r="O115" s="276" t="s">
        <v>78</v>
      </c>
      <c r="P115" s="277"/>
      <c r="Q115" s="253" t="s">
        <v>78</v>
      </c>
      <c r="R115" s="277" t="s">
        <v>78</v>
      </c>
      <c r="S115" s="253" t="s">
        <v>78</v>
      </c>
      <c r="T115" s="121" t="s">
        <v>78</v>
      </c>
      <c r="U115" s="118" t="s">
        <v>78</v>
      </c>
      <c r="V115" s="253" t="s">
        <v>78</v>
      </c>
      <c r="W115" s="118" t="s">
        <v>78</v>
      </c>
      <c r="X115" s="143" t="s">
        <v>78</v>
      </c>
      <c r="Y115" s="253" t="s">
        <v>78</v>
      </c>
      <c r="Z115" s="277" t="s">
        <v>78</v>
      </c>
      <c r="AA115" s="253" t="s">
        <v>78</v>
      </c>
      <c r="AB115" s="277" t="s">
        <v>78</v>
      </c>
      <c r="AC115" s="253" t="s">
        <v>78</v>
      </c>
      <c r="AD115" s="277" t="s">
        <v>78</v>
      </c>
      <c r="AE115" s="253" t="s">
        <v>78</v>
      </c>
      <c r="AF115" s="277" t="s">
        <v>78</v>
      </c>
      <c r="AG115" s="253" t="s">
        <v>78</v>
      </c>
      <c r="AH115" s="277" t="s">
        <v>78</v>
      </c>
      <c r="AI115" s="253" t="s">
        <v>78</v>
      </c>
      <c r="AJ115" s="277" t="s">
        <v>346</v>
      </c>
      <c r="AK115" s="253" t="s">
        <v>78</v>
      </c>
      <c r="AL115" s="277" t="s">
        <v>78</v>
      </c>
      <c r="AM115" s="253" t="s">
        <v>78</v>
      </c>
      <c r="AN115" s="277" t="s">
        <v>78</v>
      </c>
      <c r="AO115" s="143" t="s">
        <v>78</v>
      </c>
      <c r="AP115" s="253" t="s">
        <v>78</v>
      </c>
      <c r="AQ115" s="277" t="s">
        <v>78</v>
      </c>
      <c r="AR115" s="276" t="s">
        <v>78</v>
      </c>
      <c r="AS115" s="121"/>
      <c r="AT115" s="277"/>
      <c r="AU115" s="276" t="s">
        <v>78</v>
      </c>
      <c r="AV115" s="277" t="s">
        <v>78</v>
      </c>
      <c r="AW115" s="143" t="s">
        <v>78</v>
      </c>
      <c r="AX115" s="253" t="s">
        <v>78</v>
      </c>
      <c r="AY115" s="277" t="s">
        <v>78</v>
      </c>
      <c r="AZ115" s="253" t="s">
        <v>78</v>
      </c>
      <c r="BA115" s="277" t="s">
        <v>78</v>
      </c>
      <c r="BB115" s="252" t="s">
        <v>863</v>
      </c>
      <c r="BC115" s="253" t="s">
        <v>78</v>
      </c>
      <c r="BD115" s="979" t="s">
        <v>178</v>
      </c>
      <c r="JS115" s="5"/>
    </row>
    <row r="116" spans="1:279" s="1" customFormat="1">
      <c r="A116" s="1077"/>
      <c r="B116" s="1084"/>
      <c r="C116" s="130" t="s">
        <v>68</v>
      </c>
      <c r="D116" s="189">
        <v>30</v>
      </c>
      <c r="E116" s="245">
        <v>40</v>
      </c>
      <c r="F116" s="259">
        <v>22</v>
      </c>
      <c r="G116" s="251">
        <v>40</v>
      </c>
      <c r="H116" s="335">
        <v>30</v>
      </c>
      <c r="I116" s="253">
        <v>24</v>
      </c>
      <c r="J116" s="259">
        <v>16</v>
      </c>
      <c r="K116" s="253"/>
      <c r="L116" s="259">
        <v>30</v>
      </c>
      <c r="M116" s="253"/>
      <c r="N116" s="259">
        <v>30</v>
      </c>
      <c r="O116" s="356">
        <v>30</v>
      </c>
      <c r="P116" s="259"/>
      <c r="Q116" s="253">
        <v>58</v>
      </c>
      <c r="R116" s="279">
        <v>33</v>
      </c>
      <c r="S116" s="253">
        <v>16</v>
      </c>
      <c r="T116" s="122">
        <v>30</v>
      </c>
      <c r="U116" s="109">
        <v>52</v>
      </c>
      <c r="V116" s="253">
        <v>15</v>
      </c>
      <c r="W116" s="71">
        <v>24</v>
      </c>
      <c r="X116" s="143">
        <v>30</v>
      </c>
      <c r="Y116" s="253">
        <v>17</v>
      </c>
      <c r="Z116" s="259">
        <v>21</v>
      </c>
      <c r="AA116" s="253">
        <v>33</v>
      </c>
      <c r="AB116" s="279">
        <v>31</v>
      </c>
      <c r="AC116" s="253">
        <v>59</v>
      </c>
      <c r="AD116" s="279">
        <v>6</v>
      </c>
      <c r="AE116" s="253">
        <v>16</v>
      </c>
      <c r="AF116" s="277">
        <v>20</v>
      </c>
      <c r="AG116" s="253">
        <v>15</v>
      </c>
      <c r="AH116" s="277">
        <v>15</v>
      </c>
      <c r="AI116" s="253">
        <v>30</v>
      </c>
      <c r="AJ116" s="277" t="s">
        <v>346</v>
      </c>
      <c r="AK116" s="253">
        <v>30</v>
      </c>
      <c r="AL116" s="277">
        <v>18</v>
      </c>
      <c r="AM116" s="253">
        <v>30</v>
      </c>
      <c r="AN116" s="277">
        <v>30</v>
      </c>
      <c r="AO116" s="143">
        <v>30</v>
      </c>
      <c r="AP116" s="253">
        <v>30</v>
      </c>
      <c r="AQ116" s="277">
        <v>30</v>
      </c>
      <c r="AR116" s="356">
        <v>30</v>
      </c>
      <c r="AS116" s="41"/>
      <c r="AT116" s="259"/>
      <c r="AU116" s="356">
        <v>25</v>
      </c>
      <c r="AV116" s="259">
        <v>5</v>
      </c>
      <c r="AW116" s="143">
        <v>50</v>
      </c>
      <c r="AX116" s="253">
        <v>496</v>
      </c>
      <c r="AY116" s="279">
        <v>40</v>
      </c>
      <c r="AZ116" s="253">
        <v>15</v>
      </c>
      <c r="BA116" s="277">
        <v>15</v>
      </c>
      <c r="BB116" s="252">
        <v>30</v>
      </c>
      <c r="BC116" s="253">
        <v>30</v>
      </c>
      <c r="BD116" s="980"/>
      <c r="JS116" s="5"/>
    </row>
    <row r="117" spans="1:279" s="1" customFormat="1">
      <c r="A117" s="1077"/>
      <c r="B117" s="1084"/>
      <c r="C117" s="130" t="s">
        <v>41</v>
      </c>
      <c r="D117" s="189" t="s">
        <v>175</v>
      </c>
      <c r="E117" s="245" t="s">
        <v>175</v>
      </c>
      <c r="F117" s="255" t="s">
        <v>175</v>
      </c>
      <c r="G117" s="251" t="s">
        <v>175</v>
      </c>
      <c r="H117" s="154" t="s">
        <v>175</v>
      </c>
      <c r="I117" s="253" t="s">
        <v>175</v>
      </c>
      <c r="J117" s="279" t="s">
        <v>175</v>
      </c>
      <c r="K117" s="253"/>
      <c r="L117" s="279" t="s">
        <v>175</v>
      </c>
      <c r="M117" s="253"/>
      <c r="N117" s="279" t="s">
        <v>175</v>
      </c>
      <c r="O117" s="278" t="s">
        <v>175</v>
      </c>
      <c r="P117" s="279"/>
      <c r="Q117" s="253" t="s">
        <v>175</v>
      </c>
      <c r="R117" s="279" t="s">
        <v>175</v>
      </c>
      <c r="S117" s="253" t="s">
        <v>175</v>
      </c>
      <c r="T117" s="122" t="s">
        <v>175</v>
      </c>
      <c r="U117" s="109" t="s">
        <v>175</v>
      </c>
      <c r="V117" s="253" t="s">
        <v>175</v>
      </c>
      <c r="W117" s="109" t="s">
        <v>175</v>
      </c>
      <c r="X117" s="143" t="s">
        <v>175</v>
      </c>
      <c r="Y117" s="253" t="s">
        <v>175</v>
      </c>
      <c r="Z117" s="279" t="s">
        <v>175</v>
      </c>
      <c r="AA117" s="253" t="s">
        <v>175</v>
      </c>
      <c r="AB117" s="279" t="s">
        <v>175</v>
      </c>
      <c r="AC117" s="253" t="s">
        <v>175</v>
      </c>
      <c r="AD117" s="279" t="s">
        <v>175</v>
      </c>
      <c r="AE117" s="253" t="s">
        <v>175</v>
      </c>
      <c r="AF117" s="279" t="s">
        <v>175</v>
      </c>
      <c r="AG117" s="253" t="s">
        <v>175</v>
      </c>
      <c r="AH117" s="279" t="s">
        <v>175</v>
      </c>
      <c r="AI117" s="253" t="s">
        <v>175</v>
      </c>
      <c r="AJ117" s="277" t="s">
        <v>346</v>
      </c>
      <c r="AK117" s="253" t="s">
        <v>175</v>
      </c>
      <c r="AL117" s="277" t="s">
        <v>175</v>
      </c>
      <c r="AM117" s="253" t="s">
        <v>175</v>
      </c>
      <c r="AN117" s="277" t="s">
        <v>175</v>
      </c>
      <c r="AO117" s="143" t="s">
        <v>175</v>
      </c>
      <c r="AP117" s="253" t="s">
        <v>175</v>
      </c>
      <c r="AQ117" s="277" t="s">
        <v>175</v>
      </c>
      <c r="AR117" s="278" t="s">
        <v>175</v>
      </c>
      <c r="AS117" s="122"/>
      <c r="AT117" s="279"/>
      <c r="AU117" s="278" t="s">
        <v>175</v>
      </c>
      <c r="AV117" s="279" t="s">
        <v>175</v>
      </c>
      <c r="AW117" s="143" t="s">
        <v>175</v>
      </c>
      <c r="AX117" s="253" t="s">
        <v>175</v>
      </c>
      <c r="AY117" s="279" t="s">
        <v>175</v>
      </c>
      <c r="AZ117" s="253" t="s">
        <v>177</v>
      </c>
      <c r="BA117" s="277" t="s">
        <v>175</v>
      </c>
      <c r="BB117" s="252" t="s">
        <v>175</v>
      </c>
      <c r="BC117" s="253" t="s">
        <v>175</v>
      </c>
      <c r="BD117" s="980"/>
      <c r="JS117" s="5"/>
    </row>
    <row r="118" spans="1:279" s="1" customFormat="1" ht="84">
      <c r="A118" s="1077"/>
      <c r="B118" s="1084"/>
      <c r="C118" s="130" t="s">
        <v>39</v>
      </c>
      <c r="D118" s="189" t="s">
        <v>78</v>
      </c>
      <c r="E118" s="245" t="s">
        <v>281</v>
      </c>
      <c r="F118" s="250" t="s">
        <v>281</v>
      </c>
      <c r="G118" s="251" t="s">
        <v>177</v>
      </c>
      <c r="H118" s="143" t="s">
        <v>1417</v>
      </c>
      <c r="I118" s="253" t="s">
        <v>281</v>
      </c>
      <c r="J118" s="254" t="s">
        <v>281</v>
      </c>
      <c r="K118" s="253"/>
      <c r="L118" s="254" t="s">
        <v>178</v>
      </c>
      <c r="M118" s="253"/>
      <c r="N118" s="254" t="s">
        <v>178</v>
      </c>
      <c r="O118" s="253" t="s">
        <v>178</v>
      </c>
      <c r="P118" s="254"/>
      <c r="Q118" s="253" t="s">
        <v>281</v>
      </c>
      <c r="R118" s="254" t="s">
        <v>281</v>
      </c>
      <c r="S118" s="253" t="s">
        <v>78</v>
      </c>
      <c r="T118" s="117" t="s">
        <v>863</v>
      </c>
      <c r="U118" s="113" t="s">
        <v>943</v>
      </c>
      <c r="V118" s="253" t="s">
        <v>78</v>
      </c>
      <c r="W118" s="113" t="s">
        <v>1196</v>
      </c>
      <c r="X118" s="145" t="s">
        <v>1643</v>
      </c>
      <c r="Y118" s="253" t="s">
        <v>78</v>
      </c>
      <c r="Z118" s="254" t="s">
        <v>78</v>
      </c>
      <c r="AA118" s="253" t="s">
        <v>943</v>
      </c>
      <c r="AB118" s="254" t="s">
        <v>943</v>
      </c>
      <c r="AC118" s="253" t="s">
        <v>863</v>
      </c>
      <c r="AD118" s="254" t="s">
        <v>863</v>
      </c>
      <c r="AE118" s="253" t="s">
        <v>281</v>
      </c>
      <c r="AF118" s="254" t="s">
        <v>281</v>
      </c>
      <c r="AG118" s="253" t="s">
        <v>443</v>
      </c>
      <c r="AH118" s="254" t="s">
        <v>443</v>
      </c>
      <c r="AI118" s="253" t="s">
        <v>346</v>
      </c>
      <c r="AJ118" s="277" t="s">
        <v>346</v>
      </c>
      <c r="AK118" s="253" t="s">
        <v>346</v>
      </c>
      <c r="AL118" s="277" t="s">
        <v>346</v>
      </c>
      <c r="AM118" s="253" t="s">
        <v>346</v>
      </c>
      <c r="AN118" s="277" t="s">
        <v>346</v>
      </c>
      <c r="AO118" s="143" t="s">
        <v>175</v>
      </c>
      <c r="AP118" s="253" t="s">
        <v>346</v>
      </c>
      <c r="AQ118" s="277" t="s">
        <v>346</v>
      </c>
      <c r="AR118" s="253" t="s">
        <v>178</v>
      </c>
      <c r="AS118" s="117"/>
      <c r="AT118" s="254"/>
      <c r="AU118" s="253" t="s">
        <v>178</v>
      </c>
      <c r="AV118" s="254" t="s">
        <v>178</v>
      </c>
      <c r="AW118" s="143" t="s">
        <v>178</v>
      </c>
      <c r="AX118" s="253" t="s">
        <v>863</v>
      </c>
      <c r="AY118" s="254" t="s">
        <v>863</v>
      </c>
      <c r="AZ118" s="253" t="s">
        <v>281</v>
      </c>
      <c r="BA118" s="277" t="s">
        <v>346</v>
      </c>
      <c r="BB118" s="252" t="s">
        <v>1647</v>
      </c>
      <c r="BC118" s="253" t="s">
        <v>730</v>
      </c>
      <c r="BD118" s="981"/>
      <c r="JS118" s="5"/>
    </row>
    <row r="119" spans="1:279" s="1" customFormat="1" ht="15" customHeight="1">
      <c r="A119" s="1077"/>
      <c r="B119" s="1084"/>
      <c r="C119" s="130" t="s">
        <v>34</v>
      </c>
      <c r="D119" s="189" t="s">
        <v>77</v>
      </c>
      <c r="E119" s="998" t="s">
        <v>282</v>
      </c>
      <c r="F119" s="1000"/>
      <c r="G119" s="251" t="s">
        <v>77</v>
      </c>
      <c r="H119" s="143"/>
      <c r="I119" s="998" t="s">
        <v>282</v>
      </c>
      <c r="J119" s="1000"/>
      <c r="K119" s="998" t="s">
        <v>1489</v>
      </c>
      <c r="L119" s="1000"/>
      <c r="M119" s="998" t="s">
        <v>1489</v>
      </c>
      <c r="N119" s="1000"/>
      <c r="O119" s="998" t="s">
        <v>1489</v>
      </c>
      <c r="P119" s="1000"/>
      <c r="Q119" s="998" t="s">
        <v>962</v>
      </c>
      <c r="R119" s="1000"/>
      <c r="S119" s="998" t="s">
        <v>962</v>
      </c>
      <c r="T119" s="999"/>
      <c r="U119" s="974"/>
      <c r="V119" s="998" t="s">
        <v>1197</v>
      </c>
      <c r="W119" s="999"/>
      <c r="X119" s="143" t="s">
        <v>77</v>
      </c>
      <c r="Y119" s="998" t="s">
        <v>1197</v>
      </c>
      <c r="Z119" s="1000"/>
      <c r="AA119" s="998" t="s">
        <v>962</v>
      </c>
      <c r="AB119" s="1000"/>
      <c r="AC119" s="998" t="s">
        <v>1082</v>
      </c>
      <c r="AD119" s="1000"/>
      <c r="AE119" s="998" t="s">
        <v>77</v>
      </c>
      <c r="AF119" s="1000"/>
      <c r="AG119" s="998" t="s">
        <v>77</v>
      </c>
      <c r="AH119" s="1000"/>
      <c r="AI119" s="998" t="s">
        <v>77</v>
      </c>
      <c r="AJ119" s="1000"/>
      <c r="AK119" s="998" t="s">
        <v>77</v>
      </c>
      <c r="AL119" s="1000"/>
      <c r="AM119" s="998" t="s">
        <v>77</v>
      </c>
      <c r="AN119" s="1000"/>
      <c r="AO119" s="143" t="s">
        <v>77</v>
      </c>
      <c r="AP119" s="998" t="s">
        <v>77</v>
      </c>
      <c r="AQ119" s="1000"/>
      <c r="AR119" s="998" t="s">
        <v>1489</v>
      </c>
      <c r="AS119" s="999"/>
      <c r="AT119" s="1000"/>
      <c r="AU119" s="998" t="s">
        <v>1489</v>
      </c>
      <c r="AV119" s="1000"/>
      <c r="AW119" s="143" t="s">
        <v>809</v>
      </c>
      <c r="AX119" s="998" t="s">
        <v>1082</v>
      </c>
      <c r="AY119" s="1000"/>
      <c r="AZ119" s="998" t="s">
        <v>77</v>
      </c>
      <c r="BA119" s="1000"/>
      <c r="BB119" s="252" t="s">
        <v>1031</v>
      </c>
      <c r="BC119" s="998" t="s">
        <v>77</v>
      </c>
      <c r="BD119" s="1000"/>
      <c r="JS119" s="5"/>
    </row>
    <row r="120" spans="1:279" s="1" customFormat="1">
      <c r="A120" s="1077" t="s">
        <v>74</v>
      </c>
      <c r="B120" s="1084" t="s">
        <v>170</v>
      </c>
      <c r="C120" s="130" t="s">
        <v>33</v>
      </c>
      <c r="D120" s="189" t="s">
        <v>175</v>
      </c>
      <c r="E120" s="245" t="s">
        <v>175</v>
      </c>
      <c r="F120" s="255" t="s">
        <v>175</v>
      </c>
      <c r="G120" s="251" t="s">
        <v>175</v>
      </c>
      <c r="H120" s="154" t="s">
        <v>175</v>
      </c>
      <c r="I120" s="253" t="s">
        <v>175</v>
      </c>
      <c r="J120" s="279" t="s">
        <v>175</v>
      </c>
      <c r="K120" s="253" t="s">
        <v>175</v>
      </c>
      <c r="L120" s="279" t="s">
        <v>175</v>
      </c>
      <c r="M120" s="253" t="s">
        <v>175</v>
      </c>
      <c r="N120" s="279" t="s">
        <v>175</v>
      </c>
      <c r="O120" s="253" t="s">
        <v>175</v>
      </c>
      <c r="P120" s="279" t="s">
        <v>175</v>
      </c>
      <c r="Q120" s="253" t="s">
        <v>175</v>
      </c>
      <c r="R120" s="279" t="s">
        <v>175</v>
      </c>
      <c r="S120" s="253" t="s">
        <v>175</v>
      </c>
      <c r="T120" s="109" t="s">
        <v>175</v>
      </c>
      <c r="U120" s="109" t="s">
        <v>175</v>
      </c>
      <c r="V120" s="253" t="s">
        <v>175</v>
      </c>
      <c r="W120" s="109" t="s">
        <v>175</v>
      </c>
      <c r="X120" s="143" t="s">
        <v>175</v>
      </c>
      <c r="Y120" s="253" t="s">
        <v>175</v>
      </c>
      <c r="Z120" s="279" t="s">
        <v>175</v>
      </c>
      <c r="AA120" s="253" t="s">
        <v>175</v>
      </c>
      <c r="AB120" s="279" t="s">
        <v>175</v>
      </c>
      <c r="AC120" s="253" t="s">
        <v>175</v>
      </c>
      <c r="AD120" s="279" t="s">
        <v>175</v>
      </c>
      <c r="AE120" s="253" t="s">
        <v>175</v>
      </c>
      <c r="AF120" s="279" t="s">
        <v>175</v>
      </c>
      <c r="AG120" s="253" t="s">
        <v>175</v>
      </c>
      <c r="AH120" s="279" t="s">
        <v>175</v>
      </c>
      <c r="AI120" s="253" t="s">
        <v>175</v>
      </c>
      <c r="AJ120" s="279" t="s">
        <v>175</v>
      </c>
      <c r="AK120" s="253" t="s">
        <v>175</v>
      </c>
      <c r="AL120" s="279" t="s">
        <v>175</v>
      </c>
      <c r="AM120" s="253" t="s">
        <v>175</v>
      </c>
      <c r="AN120" s="279" t="s">
        <v>175</v>
      </c>
      <c r="AO120" s="143" t="s">
        <v>175</v>
      </c>
      <c r="AP120" s="253" t="s">
        <v>175</v>
      </c>
      <c r="AQ120" s="279" t="s">
        <v>175</v>
      </c>
      <c r="AR120" s="253" t="s">
        <v>175</v>
      </c>
      <c r="AS120" s="122" t="s">
        <v>175</v>
      </c>
      <c r="AT120" s="279" t="s">
        <v>175</v>
      </c>
      <c r="AU120" s="253" t="s">
        <v>175</v>
      </c>
      <c r="AV120" s="279" t="s">
        <v>175</v>
      </c>
      <c r="AW120" s="143" t="s">
        <v>175</v>
      </c>
      <c r="AX120" s="253" t="s">
        <v>175</v>
      </c>
      <c r="AY120" s="279" t="s">
        <v>175</v>
      </c>
      <c r="AZ120" s="253" t="s">
        <v>175</v>
      </c>
      <c r="BA120" s="279" t="s">
        <v>175</v>
      </c>
      <c r="BB120" s="252" t="s">
        <v>177</v>
      </c>
      <c r="BC120" s="253" t="s">
        <v>175</v>
      </c>
      <c r="BD120" s="279" t="s">
        <v>175</v>
      </c>
      <c r="JS120" s="5"/>
    </row>
    <row r="121" spans="1:279" s="1" customFormat="1" ht="24">
      <c r="A121" s="1077"/>
      <c r="B121" s="1084"/>
      <c r="C121" s="130" t="s">
        <v>42</v>
      </c>
      <c r="D121" s="189" t="s">
        <v>864</v>
      </c>
      <c r="E121" s="245" t="s">
        <v>283</v>
      </c>
      <c r="F121" s="250" t="s">
        <v>283</v>
      </c>
      <c r="G121" s="251" t="s">
        <v>864</v>
      </c>
      <c r="H121" s="143" t="s">
        <v>283</v>
      </c>
      <c r="I121" s="253" t="s">
        <v>283</v>
      </c>
      <c r="J121" s="254" t="s">
        <v>283</v>
      </c>
      <c r="K121" s="253" t="s">
        <v>283</v>
      </c>
      <c r="L121" s="254" t="s">
        <v>283</v>
      </c>
      <c r="M121" s="253" t="s">
        <v>283</v>
      </c>
      <c r="N121" s="254" t="s">
        <v>283</v>
      </c>
      <c r="O121" s="253" t="s">
        <v>283</v>
      </c>
      <c r="P121" s="254" t="s">
        <v>283</v>
      </c>
      <c r="Q121" s="253" t="s">
        <v>283</v>
      </c>
      <c r="R121" s="254" t="s">
        <v>283</v>
      </c>
      <c r="S121" s="253" t="s">
        <v>283</v>
      </c>
      <c r="T121" s="113" t="s">
        <v>283</v>
      </c>
      <c r="U121" s="113" t="s">
        <v>283</v>
      </c>
      <c r="V121" s="253" t="s">
        <v>1198</v>
      </c>
      <c r="W121" s="113" t="s">
        <v>283</v>
      </c>
      <c r="X121" s="143" t="s">
        <v>374</v>
      </c>
      <c r="Y121" s="253" t="s">
        <v>1198</v>
      </c>
      <c r="Z121" s="254" t="s">
        <v>283</v>
      </c>
      <c r="AA121" s="253" t="s">
        <v>283</v>
      </c>
      <c r="AB121" s="254" t="s">
        <v>283</v>
      </c>
      <c r="AC121" s="253" t="s">
        <v>283</v>
      </c>
      <c r="AD121" s="254" t="s">
        <v>283</v>
      </c>
      <c r="AE121" s="253" t="s">
        <v>374</v>
      </c>
      <c r="AF121" s="254" t="s">
        <v>374</v>
      </c>
      <c r="AG121" s="253" t="s">
        <v>374</v>
      </c>
      <c r="AH121" s="254" t="s">
        <v>374</v>
      </c>
      <c r="AI121" s="253" t="s">
        <v>374</v>
      </c>
      <c r="AJ121" s="254" t="s">
        <v>374</v>
      </c>
      <c r="AK121" s="253" t="s">
        <v>374</v>
      </c>
      <c r="AL121" s="254" t="s">
        <v>374</v>
      </c>
      <c r="AM121" s="253" t="s">
        <v>374</v>
      </c>
      <c r="AN121" s="254" t="s">
        <v>374</v>
      </c>
      <c r="AO121" s="143" t="s">
        <v>374</v>
      </c>
      <c r="AP121" s="253" t="s">
        <v>374</v>
      </c>
      <c r="AQ121" s="254" t="s">
        <v>374</v>
      </c>
      <c r="AR121" s="253" t="s">
        <v>283</v>
      </c>
      <c r="AS121" s="117" t="s">
        <v>283</v>
      </c>
      <c r="AT121" s="687" t="s">
        <v>283</v>
      </c>
      <c r="AU121" s="253" t="s">
        <v>283</v>
      </c>
      <c r="AV121" s="254" t="s">
        <v>283</v>
      </c>
      <c r="AW121" s="143" t="s">
        <v>810</v>
      </c>
      <c r="AX121" s="253" t="s">
        <v>283</v>
      </c>
      <c r="AY121" s="254" t="s">
        <v>283</v>
      </c>
      <c r="AZ121" s="253" t="s">
        <v>374</v>
      </c>
      <c r="BA121" s="254" t="s">
        <v>374</v>
      </c>
      <c r="BB121" s="663" t="s">
        <v>374</v>
      </c>
      <c r="BC121" s="253" t="s">
        <v>374</v>
      </c>
      <c r="BD121" s="254" t="s">
        <v>374</v>
      </c>
      <c r="JS121" s="5"/>
    </row>
    <row r="122" spans="1:279" s="1" customFormat="1">
      <c r="A122" s="1077"/>
      <c r="B122" s="1084"/>
      <c r="C122" s="130" t="s">
        <v>70</v>
      </c>
      <c r="D122" s="205">
        <v>44797</v>
      </c>
      <c r="E122" s="256">
        <v>44838</v>
      </c>
      <c r="F122" s="257">
        <v>44813</v>
      </c>
      <c r="G122" s="205">
        <v>44845</v>
      </c>
      <c r="H122" s="155">
        <v>44845</v>
      </c>
      <c r="I122" s="256">
        <v>44838</v>
      </c>
      <c r="J122" s="257">
        <v>44827</v>
      </c>
      <c r="K122" s="256">
        <v>44797</v>
      </c>
      <c r="L122" s="257">
        <v>44791</v>
      </c>
      <c r="M122" s="256">
        <v>44846</v>
      </c>
      <c r="N122" s="257">
        <v>44796</v>
      </c>
      <c r="O122" s="256">
        <v>44846</v>
      </c>
      <c r="P122" s="257">
        <v>44837</v>
      </c>
      <c r="Q122" s="256">
        <v>44854</v>
      </c>
      <c r="R122" s="257">
        <v>44861</v>
      </c>
      <c r="S122" s="256">
        <v>44817</v>
      </c>
      <c r="T122" s="74">
        <v>44820</v>
      </c>
      <c r="U122" s="74">
        <v>44861</v>
      </c>
      <c r="V122" s="256">
        <v>44866</v>
      </c>
      <c r="W122" s="74">
        <v>44854</v>
      </c>
      <c r="X122" s="152">
        <v>44777</v>
      </c>
      <c r="Y122" s="256">
        <v>44789</v>
      </c>
      <c r="Z122" s="257">
        <v>44833</v>
      </c>
      <c r="AA122" s="256">
        <v>44831</v>
      </c>
      <c r="AB122" s="257">
        <v>44838</v>
      </c>
      <c r="AC122" s="256">
        <v>44832</v>
      </c>
      <c r="AD122" s="257">
        <v>44837</v>
      </c>
      <c r="AE122" s="256">
        <v>44799</v>
      </c>
      <c r="AF122" s="257">
        <v>44827</v>
      </c>
      <c r="AG122" s="256">
        <v>44837</v>
      </c>
      <c r="AH122" s="257">
        <v>44838</v>
      </c>
      <c r="AI122" s="366">
        <v>44797</v>
      </c>
      <c r="AJ122" s="367">
        <v>44865</v>
      </c>
      <c r="AK122" s="366">
        <v>44805</v>
      </c>
      <c r="AL122" s="367">
        <v>44795</v>
      </c>
      <c r="AM122" s="366">
        <v>44865</v>
      </c>
      <c r="AN122" s="367">
        <v>44817</v>
      </c>
      <c r="AO122" s="152">
        <v>44803</v>
      </c>
      <c r="AP122" s="366">
        <v>44838</v>
      </c>
      <c r="AQ122" s="367">
        <v>44774</v>
      </c>
      <c r="AR122" s="256">
        <v>44837</v>
      </c>
      <c r="AS122" s="29">
        <v>44818</v>
      </c>
      <c r="AT122" s="627">
        <v>44797</v>
      </c>
      <c r="AU122" s="256">
        <v>44742</v>
      </c>
      <c r="AV122" s="257">
        <v>44837</v>
      </c>
      <c r="AW122" s="155">
        <v>44754</v>
      </c>
      <c r="AX122" s="256">
        <v>44837</v>
      </c>
      <c r="AY122" s="257">
        <v>44846</v>
      </c>
      <c r="AZ122" s="366">
        <v>44778</v>
      </c>
      <c r="BA122" s="367">
        <v>44817</v>
      </c>
      <c r="BB122" s="558">
        <v>44820</v>
      </c>
      <c r="BC122" s="366">
        <v>44830</v>
      </c>
      <c r="BD122" s="367">
        <v>44861</v>
      </c>
      <c r="JS122" s="5"/>
    </row>
    <row r="123" spans="1:279" s="1" customFormat="1">
      <c r="A123" s="1077"/>
      <c r="B123" s="1084"/>
      <c r="C123" s="130" t="s">
        <v>0</v>
      </c>
      <c r="D123" s="189" t="s">
        <v>77</v>
      </c>
      <c r="E123" s="68" t="s">
        <v>77</v>
      </c>
      <c r="F123" s="255" t="s">
        <v>77</v>
      </c>
      <c r="G123" s="251" t="s">
        <v>77</v>
      </c>
      <c r="H123" s="154" t="s">
        <v>394</v>
      </c>
      <c r="I123" s="126" t="s">
        <v>77</v>
      </c>
      <c r="J123" s="279" t="s">
        <v>77</v>
      </c>
      <c r="K123" s="126" t="s">
        <v>77</v>
      </c>
      <c r="L123" s="279" t="s">
        <v>77</v>
      </c>
      <c r="M123" s="126" t="s">
        <v>77</v>
      </c>
      <c r="N123" s="279" t="s">
        <v>77</v>
      </c>
      <c r="O123" s="126" t="s">
        <v>77</v>
      </c>
      <c r="P123" s="279" t="s">
        <v>77</v>
      </c>
      <c r="Q123" s="126" t="s">
        <v>77</v>
      </c>
      <c r="R123" s="279" t="s">
        <v>77</v>
      </c>
      <c r="S123" s="126" t="s">
        <v>77</v>
      </c>
      <c r="T123" s="109" t="s">
        <v>77</v>
      </c>
      <c r="U123" s="109" t="s">
        <v>77</v>
      </c>
      <c r="V123" s="126" t="s">
        <v>77</v>
      </c>
      <c r="W123" s="109" t="s">
        <v>77</v>
      </c>
      <c r="X123" s="143" t="s">
        <v>77</v>
      </c>
      <c r="Y123" s="126" t="s">
        <v>77</v>
      </c>
      <c r="Z123" s="279" t="s">
        <v>77</v>
      </c>
      <c r="AA123" s="126" t="s">
        <v>77</v>
      </c>
      <c r="AB123" s="279" t="s">
        <v>77</v>
      </c>
      <c r="AC123" s="126" t="s">
        <v>77</v>
      </c>
      <c r="AD123" s="279" t="s">
        <v>77</v>
      </c>
      <c r="AE123" s="253" t="s">
        <v>77</v>
      </c>
      <c r="AF123" s="279" t="s">
        <v>77</v>
      </c>
      <c r="AG123" s="253" t="s">
        <v>77</v>
      </c>
      <c r="AH123" s="279" t="s">
        <v>77</v>
      </c>
      <c r="AI123" s="253" t="s">
        <v>77</v>
      </c>
      <c r="AJ123" s="279" t="s">
        <v>77</v>
      </c>
      <c r="AK123" s="253" t="s">
        <v>77</v>
      </c>
      <c r="AL123" s="279" t="s">
        <v>77</v>
      </c>
      <c r="AM123" s="253" t="s">
        <v>77</v>
      </c>
      <c r="AN123" s="279" t="s">
        <v>77</v>
      </c>
      <c r="AO123" s="143" t="s">
        <v>77</v>
      </c>
      <c r="AP123" s="253" t="s">
        <v>77</v>
      </c>
      <c r="AQ123" s="279" t="s">
        <v>77</v>
      </c>
      <c r="AR123" s="126" t="s">
        <v>77</v>
      </c>
      <c r="AS123" s="122" t="s">
        <v>77</v>
      </c>
      <c r="AT123" s="690" t="s">
        <v>77</v>
      </c>
      <c r="AU123" s="126" t="s">
        <v>77</v>
      </c>
      <c r="AV123" s="279" t="s">
        <v>77</v>
      </c>
      <c r="AW123" s="143" t="s">
        <v>77</v>
      </c>
      <c r="AX123" s="126" t="s">
        <v>77</v>
      </c>
      <c r="AY123" s="279" t="s">
        <v>77</v>
      </c>
      <c r="AZ123" s="253" t="s">
        <v>77</v>
      </c>
      <c r="BA123" s="279" t="s">
        <v>77</v>
      </c>
      <c r="BB123" s="252" t="s">
        <v>77</v>
      </c>
      <c r="BC123" s="253" t="s">
        <v>77</v>
      </c>
      <c r="BD123" s="279" t="s">
        <v>77</v>
      </c>
      <c r="JS123" s="5"/>
    </row>
    <row r="124" spans="1:279" s="1" customFormat="1">
      <c r="A124" s="1077" t="s">
        <v>75</v>
      </c>
      <c r="B124" s="1084" t="s">
        <v>225</v>
      </c>
      <c r="C124" s="130" t="s">
        <v>33</v>
      </c>
      <c r="D124" s="189" t="s">
        <v>175</v>
      </c>
      <c r="E124" s="245" t="s">
        <v>175</v>
      </c>
      <c r="F124" s="255" t="s">
        <v>175</v>
      </c>
      <c r="G124" s="251" t="s">
        <v>175</v>
      </c>
      <c r="H124" s="154" t="s">
        <v>175</v>
      </c>
      <c r="I124" s="253" t="s">
        <v>175</v>
      </c>
      <c r="J124" s="279" t="s">
        <v>175</v>
      </c>
      <c r="K124" s="253" t="s">
        <v>175</v>
      </c>
      <c r="L124" s="279" t="s">
        <v>175</v>
      </c>
      <c r="M124" s="253" t="s">
        <v>175</v>
      </c>
      <c r="N124" s="279" t="s">
        <v>175</v>
      </c>
      <c r="O124" s="253" t="s">
        <v>175</v>
      </c>
      <c r="P124" s="279" t="s">
        <v>175</v>
      </c>
      <c r="Q124" s="253" t="s">
        <v>175</v>
      </c>
      <c r="R124" s="279" t="s">
        <v>175</v>
      </c>
      <c r="S124" s="253" t="s">
        <v>175</v>
      </c>
      <c r="T124" s="109" t="s">
        <v>175</v>
      </c>
      <c r="U124" s="109" t="s">
        <v>175</v>
      </c>
      <c r="V124" s="253" t="s">
        <v>175</v>
      </c>
      <c r="W124" s="109" t="s">
        <v>175</v>
      </c>
      <c r="X124" s="143" t="s">
        <v>175</v>
      </c>
      <c r="Y124" s="253" t="s">
        <v>175</v>
      </c>
      <c r="Z124" s="279" t="s">
        <v>175</v>
      </c>
      <c r="AA124" s="253" t="s">
        <v>175</v>
      </c>
      <c r="AB124" s="279" t="s">
        <v>175</v>
      </c>
      <c r="AC124" s="253" t="s">
        <v>175</v>
      </c>
      <c r="AD124" s="279" t="s">
        <v>175</v>
      </c>
      <c r="AE124" s="253" t="s">
        <v>175</v>
      </c>
      <c r="AF124" s="279" t="s">
        <v>175</v>
      </c>
      <c r="AG124" s="253" t="s">
        <v>175</v>
      </c>
      <c r="AH124" s="279" t="s">
        <v>175</v>
      </c>
      <c r="AI124" s="253" t="s">
        <v>175</v>
      </c>
      <c r="AJ124" s="279" t="s">
        <v>175</v>
      </c>
      <c r="AK124" s="253" t="s">
        <v>175</v>
      </c>
      <c r="AL124" s="279" t="s">
        <v>175</v>
      </c>
      <c r="AM124" s="253" t="s">
        <v>175</v>
      </c>
      <c r="AN124" s="279" t="s">
        <v>175</v>
      </c>
      <c r="AO124" s="143" t="s">
        <v>175</v>
      </c>
      <c r="AP124" s="253" t="s">
        <v>175</v>
      </c>
      <c r="AQ124" s="279" t="s">
        <v>175</v>
      </c>
      <c r="AR124" s="253" t="s">
        <v>175</v>
      </c>
      <c r="AS124" s="122" t="s">
        <v>175</v>
      </c>
      <c r="AT124" s="688" t="s">
        <v>175</v>
      </c>
      <c r="AU124" s="253" t="s">
        <v>175</v>
      </c>
      <c r="AV124" s="279" t="s">
        <v>175</v>
      </c>
      <c r="AW124" s="143" t="s">
        <v>175</v>
      </c>
      <c r="AX124" s="253" t="s">
        <v>175</v>
      </c>
      <c r="AY124" s="279" t="s">
        <v>175</v>
      </c>
      <c r="AZ124" s="253" t="s">
        <v>175</v>
      </c>
      <c r="BA124" s="279" t="s">
        <v>175</v>
      </c>
      <c r="BB124" s="252" t="s">
        <v>175</v>
      </c>
      <c r="BC124" s="253" t="s">
        <v>175</v>
      </c>
      <c r="BD124" s="279" t="s">
        <v>175</v>
      </c>
      <c r="JS124" s="5"/>
    </row>
    <row r="125" spans="1:279" s="1" customFormat="1" ht="24.75">
      <c r="A125" s="1077"/>
      <c r="B125" s="1084"/>
      <c r="C125" s="130" t="s">
        <v>171</v>
      </c>
      <c r="D125" s="665" t="s">
        <v>284</v>
      </c>
      <c r="E125" s="245" t="s">
        <v>284</v>
      </c>
      <c r="F125" s="255" t="s">
        <v>284</v>
      </c>
      <c r="G125" s="251" t="s">
        <v>175</v>
      </c>
      <c r="H125" s="154" t="s">
        <v>284</v>
      </c>
      <c r="I125" s="253" t="s">
        <v>284</v>
      </c>
      <c r="J125" s="279" t="s">
        <v>284</v>
      </c>
      <c r="K125" s="253" t="s">
        <v>284</v>
      </c>
      <c r="L125" s="279" t="s">
        <v>284</v>
      </c>
      <c r="M125" s="253" t="s">
        <v>284</v>
      </c>
      <c r="N125" s="279" t="s">
        <v>284</v>
      </c>
      <c r="O125" s="253" t="s">
        <v>284</v>
      </c>
      <c r="P125" s="279" t="s">
        <v>284</v>
      </c>
      <c r="Q125" s="253" t="s">
        <v>284</v>
      </c>
      <c r="R125" s="279" t="s">
        <v>284</v>
      </c>
      <c r="S125" s="253" t="s">
        <v>284</v>
      </c>
      <c r="T125" s="109" t="s">
        <v>284</v>
      </c>
      <c r="U125" s="109" t="s">
        <v>284</v>
      </c>
      <c r="V125" s="253" t="s">
        <v>284</v>
      </c>
      <c r="W125" s="109" t="s">
        <v>284</v>
      </c>
      <c r="X125" s="143" t="s">
        <v>375</v>
      </c>
      <c r="Y125" s="253" t="s">
        <v>284</v>
      </c>
      <c r="Z125" s="279" t="s">
        <v>284</v>
      </c>
      <c r="AA125" s="253" t="s">
        <v>284</v>
      </c>
      <c r="AB125" s="279" t="s">
        <v>284</v>
      </c>
      <c r="AC125" s="253" t="s">
        <v>284</v>
      </c>
      <c r="AD125" s="279" t="s">
        <v>284</v>
      </c>
      <c r="AE125" s="253" t="s">
        <v>375</v>
      </c>
      <c r="AF125" s="358" t="s">
        <v>375</v>
      </c>
      <c r="AG125" s="253" t="s">
        <v>375</v>
      </c>
      <c r="AH125" s="254" t="s">
        <v>375</v>
      </c>
      <c r="AI125" s="253" t="s">
        <v>375</v>
      </c>
      <c r="AJ125" s="254" t="s">
        <v>375</v>
      </c>
      <c r="AK125" s="253" t="s">
        <v>375</v>
      </c>
      <c r="AL125" s="254" t="s">
        <v>375</v>
      </c>
      <c r="AM125" s="253" t="s">
        <v>375</v>
      </c>
      <c r="AN125" s="254" t="s">
        <v>375</v>
      </c>
      <c r="AO125" s="143" t="s">
        <v>375</v>
      </c>
      <c r="AP125" s="253" t="s">
        <v>375</v>
      </c>
      <c r="AQ125" s="254" t="s">
        <v>375</v>
      </c>
      <c r="AR125" s="253" t="s">
        <v>284</v>
      </c>
      <c r="AS125" s="122" t="s">
        <v>284</v>
      </c>
      <c r="AT125" s="45" t="s">
        <v>284</v>
      </c>
      <c r="AU125" s="253" t="s">
        <v>284</v>
      </c>
      <c r="AV125" s="279" t="s">
        <v>284</v>
      </c>
      <c r="AW125" s="143" t="s">
        <v>811</v>
      </c>
      <c r="AX125" s="253" t="s">
        <v>284</v>
      </c>
      <c r="AY125" s="279" t="s">
        <v>284</v>
      </c>
      <c r="AZ125" s="253" t="s">
        <v>375</v>
      </c>
      <c r="BA125" s="254" t="s">
        <v>375</v>
      </c>
      <c r="BB125" s="663" t="s">
        <v>375</v>
      </c>
      <c r="BC125" s="253" t="s">
        <v>375</v>
      </c>
      <c r="BD125" s="254" t="s">
        <v>375</v>
      </c>
      <c r="JS125" s="5"/>
    </row>
    <row r="126" spans="1:279" s="1" customFormat="1">
      <c r="A126" s="1077"/>
      <c r="B126" s="1084"/>
      <c r="C126" s="130" t="s">
        <v>59</v>
      </c>
      <c r="D126" s="205">
        <v>44866</v>
      </c>
      <c r="E126" s="256">
        <v>44842</v>
      </c>
      <c r="F126" s="257">
        <v>44866</v>
      </c>
      <c r="G126" s="205">
        <v>44858</v>
      </c>
      <c r="H126" s="155">
        <v>44840</v>
      </c>
      <c r="I126" s="256">
        <v>44840</v>
      </c>
      <c r="J126" s="257">
        <v>44861</v>
      </c>
      <c r="K126" s="256">
        <v>44866</v>
      </c>
      <c r="L126" s="257">
        <v>44825</v>
      </c>
      <c r="M126" s="256">
        <v>44866</v>
      </c>
      <c r="N126" s="257">
        <v>44825</v>
      </c>
      <c r="O126" s="256">
        <v>44861</v>
      </c>
      <c r="P126" s="257">
        <v>44817</v>
      </c>
      <c r="Q126" s="256">
        <v>44854</v>
      </c>
      <c r="R126" s="257">
        <v>44861</v>
      </c>
      <c r="S126" s="256">
        <v>44819</v>
      </c>
      <c r="T126" s="74">
        <v>44844</v>
      </c>
      <c r="U126" s="74">
        <v>44854</v>
      </c>
      <c r="V126" s="256">
        <v>44866</v>
      </c>
      <c r="W126" s="74">
        <v>44854</v>
      </c>
      <c r="X126" s="152">
        <v>44818</v>
      </c>
      <c r="Y126" s="256" t="s">
        <v>1260</v>
      </c>
      <c r="Z126" s="257">
        <v>44855</v>
      </c>
      <c r="AA126" s="256">
        <v>44859</v>
      </c>
      <c r="AB126" s="257">
        <v>44832</v>
      </c>
      <c r="AC126" s="256">
        <v>44834</v>
      </c>
      <c r="AD126" s="257">
        <v>44834</v>
      </c>
      <c r="AE126" s="256">
        <v>44860</v>
      </c>
      <c r="AF126" s="257">
        <v>44861</v>
      </c>
      <c r="AG126" s="256">
        <v>44858</v>
      </c>
      <c r="AH126" s="257">
        <v>44858</v>
      </c>
      <c r="AI126" s="366">
        <v>44866</v>
      </c>
      <c r="AJ126" s="367">
        <v>44861</v>
      </c>
      <c r="AK126" s="366">
        <v>44845</v>
      </c>
      <c r="AL126" s="367">
        <v>44841</v>
      </c>
      <c r="AM126" s="366">
        <v>44859</v>
      </c>
      <c r="AN126" s="367">
        <v>44826</v>
      </c>
      <c r="AO126" s="152">
        <v>44845</v>
      </c>
      <c r="AP126" s="366">
        <v>44841</v>
      </c>
      <c r="AQ126" s="367">
        <v>44845</v>
      </c>
      <c r="AR126" s="256">
        <v>44866</v>
      </c>
      <c r="AS126" s="29">
        <v>44830</v>
      </c>
      <c r="AT126" s="627">
        <f>+AT122</f>
        <v>44797</v>
      </c>
      <c r="AU126" s="256">
        <v>44861</v>
      </c>
      <c r="AV126" s="257">
        <v>44855</v>
      </c>
      <c r="AW126" s="155">
        <v>44841</v>
      </c>
      <c r="AX126" s="256">
        <v>44838</v>
      </c>
      <c r="AY126" s="257">
        <v>44846</v>
      </c>
      <c r="AZ126" s="366">
        <v>44858</v>
      </c>
      <c r="BA126" s="367">
        <v>44845</v>
      </c>
      <c r="BB126" s="558">
        <v>44859</v>
      </c>
      <c r="BC126" s="366">
        <v>44859</v>
      </c>
      <c r="BD126" s="367">
        <v>44845</v>
      </c>
      <c r="JS126" s="5"/>
    </row>
    <row r="127" spans="1:279" s="1" customFormat="1">
      <c r="A127" s="1121"/>
      <c r="B127" s="1122"/>
      <c r="C127" s="130" t="s">
        <v>0</v>
      </c>
      <c r="D127" s="213" t="s">
        <v>872</v>
      </c>
      <c r="E127" s="245" t="s">
        <v>77</v>
      </c>
      <c r="F127" s="260" t="s">
        <v>77</v>
      </c>
      <c r="G127" s="251" t="s">
        <v>77</v>
      </c>
      <c r="H127" s="336" t="s">
        <v>77</v>
      </c>
      <c r="I127" s="253" t="s">
        <v>77</v>
      </c>
      <c r="J127" s="260" t="s">
        <v>77</v>
      </c>
      <c r="K127" s="253" t="s">
        <v>77</v>
      </c>
      <c r="L127" s="260" t="s">
        <v>77</v>
      </c>
      <c r="M127" s="253" t="s">
        <v>77</v>
      </c>
      <c r="N127" s="260" t="s">
        <v>77</v>
      </c>
      <c r="O127" s="253" t="s">
        <v>77</v>
      </c>
      <c r="P127" s="260" t="s">
        <v>77</v>
      </c>
      <c r="Q127" s="253" t="s">
        <v>77</v>
      </c>
      <c r="R127" s="260" t="s">
        <v>77</v>
      </c>
      <c r="S127" s="253" t="s">
        <v>77</v>
      </c>
      <c r="T127" s="75" t="s">
        <v>77</v>
      </c>
      <c r="U127" s="75" t="s">
        <v>77</v>
      </c>
      <c r="V127" s="253" t="s">
        <v>77</v>
      </c>
      <c r="W127" s="75" t="s">
        <v>77</v>
      </c>
      <c r="X127" s="142" t="s">
        <v>77</v>
      </c>
      <c r="Y127" s="126" t="s">
        <v>77</v>
      </c>
      <c r="Z127" s="260" t="s">
        <v>77</v>
      </c>
      <c r="AA127" s="253" t="s">
        <v>77</v>
      </c>
      <c r="AB127" s="260" t="s">
        <v>77</v>
      </c>
      <c r="AC127" s="126" t="s">
        <v>77</v>
      </c>
      <c r="AD127" s="260" t="s">
        <v>77</v>
      </c>
      <c r="AE127" s="253" t="s">
        <v>77</v>
      </c>
      <c r="AF127" s="260" t="s">
        <v>77</v>
      </c>
      <c r="AG127" s="253" t="s">
        <v>77</v>
      </c>
      <c r="AH127" s="260" t="s">
        <v>77</v>
      </c>
      <c r="AI127" s="126" t="s">
        <v>77</v>
      </c>
      <c r="AJ127" s="260" t="s">
        <v>77</v>
      </c>
      <c r="AK127" s="126" t="s">
        <v>77</v>
      </c>
      <c r="AL127" s="260" t="s">
        <v>77</v>
      </c>
      <c r="AM127" s="126" t="s">
        <v>77</v>
      </c>
      <c r="AN127" s="260" t="s">
        <v>77</v>
      </c>
      <c r="AO127" s="142" t="s">
        <v>77</v>
      </c>
      <c r="AP127" s="126" t="s">
        <v>77</v>
      </c>
      <c r="AQ127" s="260" t="s">
        <v>77</v>
      </c>
      <c r="AR127" s="253" t="s">
        <v>77</v>
      </c>
      <c r="AS127" s="44" t="s">
        <v>77</v>
      </c>
      <c r="AT127" s="688" t="s">
        <v>77</v>
      </c>
      <c r="AU127" s="253" t="s">
        <v>77</v>
      </c>
      <c r="AV127" s="260" t="s">
        <v>77</v>
      </c>
      <c r="AW127" s="143" t="s">
        <v>77</v>
      </c>
      <c r="AX127" s="253" t="s">
        <v>77</v>
      </c>
      <c r="AY127" s="260" t="s">
        <v>77</v>
      </c>
      <c r="AZ127" s="126" t="s">
        <v>77</v>
      </c>
      <c r="BA127" s="260" t="s">
        <v>77</v>
      </c>
      <c r="BB127" s="319" t="s">
        <v>77</v>
      </c>
      <c r="BC127" s="126" t="s">
        <v>77</v>
      </c>
      <c r="BD127" s="260" t="s">
        <v>77</v>
      </c>
      <c r="JS127" s="5"/>
    </row>
    <row r="128" spans="1:279" s="1" customFormat="1" ht="23.25">
      <c r="A128" s="1077" t="s">
        <v>96</v>
      </c>
      <c r="B128" s="1084" t="s">
        <v>80</v>
      </c>
      <c r="C128" s="132" t="s">
        <v>79</v>
      </c>
      <c r="D128" s="206"/>
      <c r="E128" s="261"/>
      <c r="F128" s="244"/>
      <c r="G128" s="206"/>
      <c r="H128" s="330"/>
      <c r="I128" s="261"/>
      <c r="J128" s="244"/>
      <c r="K128" s="261"/>
      <c r="L128" s="244"/>
      <c r="M128" s="261"/>
      <c r="N128" s="244"/>
      <c r="O128" s="261"/>
      <c r="P128" s="244"/>
      <c r="Q128" s="261"/>
      <c r="R128" s="244"/>
      <c r="S128" s="261"/>
      <c r="T128" s="72"/>
      <c r="U128" s="93"/>
      <c r="V128" s="261"/>
      <c r="W128" s="72"/>
      <c r="X128" s="156"/>
      <c r="Y128" s="261"/>
      <c r="Z128" s="244"/>
      <c r="AA128" s="261"/>
      <c r="AB128" s="244"/>
      <c r="AC128" s="261"/>
      <c r="AD128" s="244"/>
      <c r="AE128" s="261"/>
      <c r="AF128" s="244"/>
      <c r="AG128" s="261"/>
      <c r="AH128" s="244"/>
      <c r="AI128" s="261"/>
      <c r="AJ128" s="244"/>
      <c r="AK128" s="261"/>
      <c r="AL128" s="244"/>
      <c r="AM128" s="261" t="s">
        <v>591</v>
      </c>
      <c r="AN128" s="244"/>
      <c r="AO128" s="156"/>
      <c r="AP128" s="261"/>
      <c r="AQ128" s="244"/>
      <c r="AR128" s="261"/>
      <c r="AS128" s="32"/>
      <c r="AT128" s="244"/>
      <c r="AU128" s="261"/>
      <c r="AV128" s="244"/>
      <c r="AW128" s="156"/>
      <c r="AX128" s="261"/>
      <c r="AY128" s="244"/>
      <c r="AZ128" s="261"/>
      <c r="BA128" s="244"/>
      <c r="BB128" s="559"/>
      <c r="BC128" s="261"/>
      <c r="BD128" s="244"/>
      <c r="JS128" s="5"/>
    </row>
    <row r="129" spans="1:279" s="1" customFormat="1">
      <c r="A129" s="1077"/>
      <c r="B129" s="1084"/>
      <c r="C129" s="130" t="s">
        <v>6</v>
      </c>
      <c r="D129" s="207" t="s">
        <v>865</v>
      </c>
      <c r="E129" s="262" t="s">
        <v>285</v>
      </c>
      <c r="F129" s="259"/>
      <c r="G129" s="207" t="s">
        <v>866</v>
      </c>
      <c r="H129" s="335" t="s">
        <v>1418</v>
      </c>
      <c r="I129" s="262" t="s">
        <v>1490</v>
      </c>
      <c r="J129" s="259"/>
      <c r="K129" s="262" t="s">
        <v>1491</v>
      </c>
      <c r="L129" s="259"/>
      <c r="M129" s="262" t="s">
        <v>1492</v>
      </c>
      <c r="N129" s="259"/>
      <c r="O129" s="262" t="s">
        <v>1543</v>
      </c>
      <c r="P129" s="259"/>
      <c r="Q129" s="241" t="s">
        <v>1307</v>
      </c>
      <c r="R129" s="259"/>
      <c r="S129" s="262" t="s">
        <v>1358</v>
      </c>
      <c r="T129" s="71"/>
      <c r="U129" s="400"/>
      <c r="V129" s="241" t="s">
        <v>1199</v>
      </c>
      <c r="W129" s="71"/>
      <c r="X129" s="446" t="s">
        <v>776</v>
      </c>
      <c r="Y129" s="241"/>
      <c r="Z129" s="279" t="s">
        <v>1261</v>
      </c>
      <c r="AA129" s="262"/>
      <c r="AB129" s="259" t="s">
        <v>963</v>
      </c>
      <c r="AC129" s="241" t="s">
        <v>1083</v>
      </c>
      <c r="AD129" s="259"/>
      <c r="AE129" s="262" t="s">
        <v>376</v>
      </c>
      <c r="AF129" s="979" t="s">
        <v>178</v>
      </c>
      <c r="AG129" s="262" t="s">
        <v>444</v>
      </c>
      <c r="AH129" s="979" t="s">
        <v>178</v>
      </c>
      <c r="AI129" s="494" t="s">
        <v>492</v>
      </c>
      <c r="AJ129" s="979" t="s">
        <v>178</v>
      </c>
      <c r="AK129" s="494" t="s">
        <v>534</v>
      </c>
      <c r="AL129" s="979" t="s">
        <v>178</v>
      </c>
      <c r="AM129" s="1154" t="s">
        <v>178</v>
      </c>
      <c r="AN129" s="254" t="s">
        <v>591</v>
      </c>
      <c r="AO129" s="446" t="s">
        <v>908</v>
      </c>
      <c r="AP129" s="371" t="s">
        <v>641</v>
      </c>
      <c r="AQ129" s="979" t="s">
        <v>178</v>
      </c>
      <c r="AR129" s="262" t="s">
        <v>1602</v>
      </c>
      <c r="AS129" s="41"/>
      <c r="AT129" s="259"/>
      <c r="AU129" s="262"/>
      <c r="AV129" s="259" t="s">
        <v>1603</v>
      </c>
      <c r="AW129" s="347" t="s">
        <v>812</v>
      </c>
      <c r="AX129" s="241" t="s">
        <v>1139</v>
      </c>
      <c r="AY129" s="259"/>
      <c r="AZ129" s="494" t="s">
        <v>683</v>
      </c>
      <c r="BA129" s="979" t="s">
        <v>178</v>
      </c>
      <c r="BB129" s="560" t="s">
        <v>1033</v>
      </c>
      <c r="BC129" s="1172" t="s">
        <v>178</v>
      </c>
      <c r="BD129" s="498" t="s">
        <v>731</v>
      </c>
      <c r="JS129" s="5"/>
    </row>
    <row r="130" spans="1:279" s="1" customFormat="1">
      <c r="A130" s="1077"/>
      <c r="B130" s="1084"/>
      <c r="C130" s="130" t="s">
        <v>43</v>
      </c>
      <c r="D130" s="189" t="s">
        <v>286</v>
      </c>
      <c r="E130" s="245" t="s">
        <v>286</v>
      </c>
      <c r="F130" s="255"/>
      <c r="G130" s="251" t="s">
        <v>286</v>
      </c>
      <c r="H130" s="154" t="s">
        <v>286</v>
      </c>
      <c r="I130" s="253" t="s">
        <v>286</v>
      </c>
      <c r="J130" s="279"/>
      <c r="K130" s="253" t="s">
        <v>286</v>
      </c>
      <c r="L130" s="279"/>
      <c r="M130" s="253" t="s">
        <v>286</v>
      </c>
      <c r="N130" s="279"/>
      <c r="O130" s="253" t="s">
        <v>286</v>
      </c>
      <c r="P130" s="279"/>
      <c r="Q130" s="253" t="s">
        <v>286</v>
      </c>
      <c r="R130" s="279"/>
      <c r="S130" s="253" t="s">
        <v>964</v>
      </c>
      <c r="T130" s="109"/>
      <c r="U130" s="400"/>
      <c r="V130" s="253" t="s">
        <v>286</v>
      </c>
      <c r="W130" s="109"/>
      <c r="X130" s="143" t="s">
        <v>286</v>
      </c>
      <c r="Y130" s="253"/>
      <c r="Z130" s="279" t="s">
        <v>964</v>
      </c>
      <c r="AA130" s="253"/>
      <c r="AB130" s="279" t="s">
        <v>964</v>
      </c>
      <c r="AC130" s="253" t="s">
        <v>964</v>
      </c>
      <c r="AD130" s="279"/>
      <c r="AE130" s="253" t="s">
        <v>286</v>
      </c>
      <c r="AF130" s="980"/>
      <c r="AG130" s="253" t="s">
        <v>286</v>
      </c>
      <c r="AH130" s="980"/>
      <c r="AI130" s="253" t="s">
        <v>286</v>
      </c>
      <c r="AJ130" s="980"/>
      <c r="AK130" s="253" t="s">
        <v>286</v>
      </c>
      <c r="AL130" s="980"/>
      <c r="AM130" s="1155"/>
      <c r="AN130" s="254" t="s">
        <v>286</v>
      </c>
      <c r="AO130" s="143" t="s">
        <v>286</v>
      </c>
      <c r="AP130" s="253" t="s">
        <v>286</v>
      </c>
      <c r="AQ130" s="980"/>
      <c r="AR130" s="253" t="s">
        <v>286</v>
      </c>
      <c r="AS130" s="122"/>
      <c r="AT130" s="279"/>
      <c r="AU130" s="253"/>
      <c r="AV130" s="279" t="s">
        <v>286</v>
      </c>
      <c r="AW130" s="143" t="s">
        <v>286</v>
      </c>
      <c r="AX130" s="253" t="s">
        <v>964</v>
      </c>
      <c r="AY130" s="279"/>
      <c r="AZ130" s="253" t="s">
        <v>286</v>
      </c>
      <c r="BA130" s="980"/>
      <c r="BB130" s="252" t="s">
        <v>964</v>
      </c>
      <c r="BC130" s="1173"/>
      <c r="BD130" s="254" t="s">
        <v>286</v>
      </c>
      <c r="JS130" s="5"/>
    </row>
    <row r="131" spans="1:279" s="1" customFormat="1">
      <c r="A131" s="1077"/>
      <c r="B131" s="1084"/>
      <c r="C131" s="130" t="s">
        <v>37</v>
      </c>
      <c r="D131" s="199">
        <v>44901</v>
      </c>
      <c r="E131" s="247">
        <v>45098</v>
      </c>
      <c r="F131" s="263"/>
      <c r="G131" s="199">
        <v>45070</v>
      </c>
      <c r="H131" s="337">
        <v>45021</v>
      </c>
      <c r="I131" s="247">
        <v>44772</v>
      </c>
      <c r="J131" s="263"/>
      <c r="K131" s="247">
        <v>45161</v>
      </c>
      <c r="L131" s="263"/>
      <c r="M131" s="247">
        <v>45021</v>
      </c>
      <c r="N131" s="263"/>
      <c r="O131" s="247">
        <v>45121</v>
      </c>
      <c r="P131" s="263"/>
      <c r="Q131" s="247">
        <v>45054</v>
      </c>
      <c r="R131" s="263"/>
      <c r="S131" s="247">
        <v>45070</v>
      </c>
      <c r="T131" s="76"/>
      <c r="U131" s="400"/>
      <c r="V131" s="247">
        <v>45050</v>
      </c>
      <c r="W131" s="76"/>
      <c r="X131" s="149">
        <v>45098</v>
      </c>
      <c r="Y131" s="247"/>
      <c r="Z131" s="263">
        <v>45044</v>
      </c>
      <c r="AA131" s="247"/>
      <c r="AB131" s="263">
        <v>45000</v>
      </c>
      <c r="AC131" s="247">
        <v>44890</v>
      </c>
      <c r="AD131" s="263"/>
      <c r="AE131" s="247">
        <v>45098</v>
      </c>
      <c r="AF131" s="980"/>
      <c r="AG131" s="247">
        <v>45021</v>
      </c>
      <c r="AH131" s="980"/>
      <c r="AI131" s="247">
        <v>45090</v>
      </c>
      <c r="AJ131" s="980"/>
      <c r="AK131" s="247">
        <v>45002</v>
      </c>
      <c r="AL131" s="980"/>
      <c r="AM131" s="1155"/>
      <c r="AN131" s="357">
        <v>45094</v>
      </c>
      <c r="AO131" s="149">
        <v>45129</v>
      </c>
      <c r="AP131" s="247">
        <v>45050</v>
      </c>
      <c r="AQ131" s="980"/>
      <c r="AR131" s="247">
        <v>45098</v>
      </c>
      <c r="AS131" s="43"/>
      <c r="AT131" s="263"/>
      <c r="AU131" s="247"/>
      <c r="AV131" s="263">
        <v>45050</v>
      </c>
      <c r="AW131" s="149">
        <v>45143</v>
      </c>
      <c r="AX131" s="247">
        <v>45054</v>
      </c>
      <c r="AY131" s="263"/>
      <c r="AZ131" s="247">
        <v>45090</v>
      </c>
      <c r="BA131" s="980"/>
      <c r="BB131" s="553">
        <v>45002</v>
      </c>
      <c r="BC131" s="1173"/>
      <c r="BD131" s="357">
        <v>45174</v>
      </c>
      <c r="JS131" s="5"/>
    </row>
    <row r="132" spans="1:279" s="1" customFormat="1">
      <c r="A132" s="1077"/>
      <c r="B132" s="1084"/>
      <c r="C132" s="130" t="s">
        <v>129</v>
      </c>
      <c r="D132" s="188">
        <v>20</v>
      </c>
      <c r="E132" s="68">
        <v>20</v>
      </c>
      <c r="F132" s="255"/>
      <c r="G132" s="188">
        <v>20</v>
      </c>
      <c r="H132" s="154">
        <v>20</v>
      </c>
      <c r="I132" s="126">
        <v>20</v>
      </c>
      <c r="J132" s="279"/>
      <c r="K132" s="126">
        <v>20</v>
      </c>
      <c r="L132" s="279"/>
      <c r="M132" s="126">
        <v>20</v>
      </c>
      <c r="N132" s="279"/>
      <c r="O132" s="126">
        <v>20</v>
      </c>
      <c r="P132" s="279"/>
      <c r="Q132" s="126">
        <v>20</v>
      </c>
      <c r="R132" s="279"/>
      <c r="S132" s="126">
        <v>20</v>
      </c>
      <c r="T132" s="75"/>
      <c r="U132" s="400"/>
      <c r="V132" s="126">
        <v>20</v>
      </c>
      <c r="W132" s="109"/>
      <c r="X132" s="142">
        <v>20</v>
      </c>
      <c r="Y132" s="126"/>
      <c r="Z132" s="260">
        <v>20</v>
      </c>
      <c r="AA132" s="126"/>
      <c r="AB132" s="260">
        <v>20</v>
      </c>
      <c r="AC132" s="126">
        <v>20</v>
      </c>
      <c r="AD132" s="260"/>
      <c r="AE132" s="126">
        <v>20</v>
      </c>
      <c r="AF132" s="980"/>
      <c r="AG132" s="126">
        <v>20</v>
      </c>
      <c r="AH132" s="980"/>
      <c r="AI132" s="126">
        <v>20</v>
      </c>
      <c r="AJ132" s="980"/>
      <c r="AK132" s="126">
        <v>20</v>
      </c>
      <c r="AL132" s="980"/>
      <c r="AM132" s="1155"/>
      <c r="AN132" s="293">
        <v>20</v>
      </c>
      <c r="AO132" s="142">
        <v>20</v>
      </c>
      <c r="AP132" s="126">
        <v>20</v>
      </c>
      <c r="AQ132" s="980"/>
      <c r="AR132" s="126">
        <v>20</v>
      </c>
      <c r="AS132" s="122"/>
      <c r="AT132" s="279"/>
      <c r="AU132" s="126"/>
      <c r="AV132" s="279">
        <v>20</v>
      </c>
      <c r="AW132" s="142">
        <v>20</v>
      </c>
      <c r="AX132" s="126">
        <v>20</v>
      </c>
      <c r="AY132" s="260"/>
      <c r="AZ132" s="126">
        <v>20</v>
      </c>
      <c r="BA132" s="980"/>
      <c r="BB132" s="319">
        <v>20</v>
      </c>
      <c r="BC132" s="1173"/>
      <c r="BD132" s="293">
        <v>20</v>
      </c>
      <c r="JS132" s="5"/>
    </row>
    <row r="133" spans="1:279" s="1" customFormat="1">
      <c r="A133" s="1077"/>
      <c r="B133" s="1084"/>
      <c r="C133" s="130" t="s">
        <v>120</v>
      </c>
      <c r="D133" s="189" t="s">
        <v>867</v>
      </c>
      <c r="E133" s="245" t="s">
        <v>287</v>
      </c>
      <c r="F133" s="255"/>
      <c r="G133" s="251" t="s">
        <v>868</v>
      </c>
      <c r="H133" s="154" t="s">
        <v>867</v>
      </c>
      <c r="I133" s="253" t="s">
        <v>868</v>
      </c>
      <c r="J133" s="279"/>
      <c r="K133" s="253" t="s">
        <v>1493</v>
      </c>
      <c r="L133" s="279"/>
      <c r="M133" s="253" t="s">
        <v>876</v>
      </c>
      <c r="N133" s="279"/>
      <c r="O133" s="253" t="s">
        <v>1544</v>
      </c>
      <c r="P133" s="279"/>
      <c r="Q133" s="253" t="s">
        <v>1308</v>
      </c>
      <c r="R133" s="279"/>
      <c r="S133" s="253" t="s">
        <v>1359</v>
      </c>
      <c r="T133" s="109"/>
      <c r="U133" s="400"/>
      <c r="V133" s="253" t="s">
        <v>1200</v>
      </c>
      <c r="W133" s="109"/>
      <c r="X133" s="143">
        <v>15</v>
      </c>
      <c r="Y133" s="253"/>
      <c r="Z133" s="279" t="s">
        <v>1262</v>
      </c>
      <c r="AA133" s="253"/>
      <c r="AB133" s="279" t="s">
        <v>965</v>
      </c>
      <c r="AC133" s="253" t="s">
        <v>1084</v>
      </c>
      <c r="AD133" s="279"/>
      <c r="AE133" s="253" t="s">
        <v>377</v>
      </c>
      <c r="AF133" s="980"/>
      <c r="AG133" s="253">
        <v>10</v>
      </c>
      <c r="AH133" s="980"/>
      <c r="AI133" s="253">
        <v>10</v>
      </c>
      <c r="AJ133" s="980"/>
      <c r="AK133" s="253">
        <v>9</v>
      </c>
      <c r="AL133" s="980"/>
      <c r="AM133" s="1155"/>
      <c r="AN133" s="254">
        <v>10</v>
      </c>
      <c r="AO133" s="143">
        <v>16</v>
      </c>
      <c r="AP133" s="253">
        <v>9</v>
      </c>
      <c r="AQ133" s="980"/>
      <c r="AR133" s="253" t="s">
        <v>1604</v>
      </c>
      <c r="AS133" s="122"/>
      <c r="AT133" s="279"/>
      <c r="AU133" s="253"/>
      <c r="AV133" s="279" t="s">
        <v>1605</v>
      </c>
      <c r="AW133" s="143" t="s">
        <v>813</v>
      </c>
      <c r="AX133" s="253" t="s">
        <v>1140</v>
      </c>
      <c r="AY133" s="279"/>
      <c r="AZ133" s="253">
        <v>10</v>
      </c>
      <c r="BA133" s="980"/>
      <c r="BB133" s="252" t="s">
        <v>965</v>
      </c>
      <c r="BC133" s="1173"/>
      <c r="BD133" s="254">
        <v>12</v>
      </c>
      <c r="JS133" s="5"/>
    </row>
    <row r="134" spans="1:279" s="1" customFormat="1">
      <c r="A134" s="1077"/>
      <c r="B134" s="1084"/>
      <c r="C134" s="130" t="s">
        <v>44</v>
      </c>
      <c r="D134" s="199">
        <v>43408</v>
      </c>
      <c r="E134" s="247">
        <v>44868</v>
      </c>
      <c r="F134" s="263"/>
      <c r="G134" s="199">
        <v>44869</v>
      </c>
      <c r="H134" s="337">
        <v>44869</v>
      </c>
      <c r="I134" s="247">
        <v>44869</v>
      </c>
      <c r="J134" s="263"/>
      <c r="K134" s="247">
        <v>44869</v>
      </c>
      <c r="L134" s="263"/>
      <c r="M134" s="247">
        <v>44869</v>
      </c>
      <c r="N134" s="263"/>
      <c r="O134" s="247">
        <v>44869</v>
      </c>
      <c r="P134" s="263"/>
      <c r="Q134" s="247">
        <v>44869</v>
      </c>
      <c r="R134" s="263"/>
      <c r="S134" s="247">
        <v>44860</v>
      </c>
      <c r="T134" s="76"/>
      <c r="U134" s="400"/>
      <c r="V134" s="247">
        <v>44867</v>
      </c>
      <c r="W134" s="76"/>
      <c r="X134" s="149">
        <v>44867</v>
      </c>
      <c r="Y134" s="247"/>
      <c r="Z134" s="263">
        <v>44869</v>
      </c>
      <c r="AA134" s="247"/>
      <c r="AB134" s="263">
        <v>44869</v>
      </c>
      <c r="AC134" s="247">
        <v>44868</v>
      </c>
      <c r="AD134" s="263"/>
      <c r="AE134" s="247" t="s">
        <v>378</v>
      </c>
      <c r="AF134" s="980"/>
      <c r="AG134" s="247" t="s">
        <v>445</v>
      </c>
      <c r="AH134" s="980"/>
      <c r="AI134" s="247" t="s">
        <v>355</v>
      </c>
      <c r="AJ134" s="980"/>
      <c r="AK134" s="247" t="s">
        <v>357</v>
      </c>
      <c r="AL134" s="980"/>
      <c r="AM134" s="1155"/>
      <c r="AN134" s="357" t="s">
        <v>573</v>
      </c>
      <c r="AO134" s="149" t="s">
        <v>357</v>
      </c>
      <c r="AP134" s="247" t="s">
        <v>636</v>
      </c>
      <c r="AQ134" s="980"/>
      <c r="AR134" s="247">
        <v>44869</v>
      </c>
      <c r="AS134" s="43"/>
      <c r="AT134" s="263"/>
      <c r="AU134" s="247"/>
      <c r="AV134" s="263">
        <v>44866</v>
      </c>
      <c r="AW134" s="149">
        <v>44869</v>
      </c>
      <c r="AX134" s="247">
        <v>44869</v>
      </c>
      <c r="AY134" s="263"/>
      <c r="AZ134" s="247" t="s">
        <v>684</v>
      </c>
      <c r="BA134" s="980"/>
      <c r="BB134" s="553">
        <v>44869</v>
      </c>
      <c r="BC134" s="1173"/>
      <c r="BD134" s="357" t="s">
        <v>733</v>
      </c>
      <c r="JS134" s="5"/>
    </row>
    <row r="135" spans="1:279" s="1" customFormat="1">
      <c r="A135" s="1077"/>
      <c r="B135" s="1084"/>
      <c r="C135" s="130" t="s">
        <v>85</v>
      </c>
      <c r="D135" s="199" t="s">
        <v>175</v>
      </c>
      <c r="E135" s="247" t="s">
        <v>288</v>
      </c>
      <c r="F135" s="255"/>
      <c r="G135" s="199" t="s">
        <v>175</v>
      </c>
      <c r="H135" s="154" t="s">
        <v>175</v>
      </c>
      <c r="I135" s="247" t="s">
        <v>288</v>
      </c>
      <c r="J135" s="279"/>
      <c r="K135" s="247" t="s">
        <v>288</v>
      </c>
      <c r="L135" s="279"/>
      <c r="M135" s="247" t="s">
        <v>288</v>
      </c>
      <c r="N135" s="279"/>
      <c r="O135" s="247" t="s">
        <v>288</v>
      </c>
      <c r="P135" s="279"/>
      <c r="Q135" s="247" t="s">
        <v>288</v>
      </c>
      <c r="R135" s="279"/>
      <c r="S135" s="247" t="s">
        <v>1360</v>
      </c>
      <c r="T135" s="109"/>
      <c r="U135" s="71"/>
      <c r="V135" s="247" t="s">
        <v>288</v>
      </c>
      <c r="W135" s="109"/>
      <c r="X135" s="149" t="s">
        <v>288</v>
      </c>
      <c r="Y135" s="247"/>
      <c r="Z135" s="279" t="s">
        <v>966</v>
      </c>
      <c r="AA135" s="247"/>
      <c r="AB135" s="279" t="s">
        <v>966</v>
      </c>
      <c r="AC135" s="247" t="s">
        <v>966</v>
      </c>
      <c r="AD135" s="279"/>
      <c r="AE135" s="247" t="s">
        <v>288</v>
      </c>
      <c r="AF135" s="980"/>
      <c r="AG135" s="247" t="s">
        <v>288</v>
      </c>
      <c r="AH135" s="980"/>
      <c r="AI135" s="247" t="s">
        <v>288</v>
      </c>
      <c r="AJ135" s="980"/>
      <c r="AK135" s="247" t="s">
        <v>288</v>
      </c>
      <c r="AL135" s="980"/>
      <c r="AM135" s="1155"/>
      <c r="AN135" s="357" t="s">
        <v>288</v>
      </c>
      <c r="AO135" s="149" t="s">
        <v>288</v>
      </c>
      <c r="AP135" s="247" t="s">
        <v>288</v>
      </c>
      <c r="AQ135" s="980"/>
      <c r="AR135" s="247" t="s">
        <v>175</v>
      </c>
      <c r="AS135" s="122"/>
      <c r="AT135" s="279"/>
      <c r="AU135" s="247"/>
      <c r="AV135" s="279" t="s">
        <v>1606</v>
      </c>
      <c r="AW135" s="149" t="s">
        <v>814</v>
      </c>
      <c r="AX135" s="247" t="s">
        <v>966</v>
      </c>
      <c r="AY135" s="279"/>
      <c r="AZ135" s="247" t="s">
        <v>288</v>
      </c>
      <c r="BA135" s="980"/>
      <c r="BB135" s="553" t="s">
        <v>966</v>
      </c>
      <c r="BC135" s="1173"/>
      <c r="BD135" s="357" t="s">
        <v>288</v>
      </c>
      <c r="JS135" s="5"/>
    </row>
    <row r="136" spans="1:279" s="1" customFormat="1" ht="24">
      <c r="A136" s="1077"/>
      <c r="B136" s="1084"/>
      <c r="C136" s="130" t="s">
        <v>226</v>
      </c>
      <c r="D136" s="189" t="s">
        <v>869</v>
      </c>
      <c r="E136" s="245" t="s">
        <v>289</v>
      </c>
      <c r="F136" s="255"/>
      <c r="G136" s="251" t="s">
        <v>869</v>
      </c>
      <c r="H136" s="154" t="s">
        <v>192</v>
      </c>
      <c r="I136" s="253" t="s">
        <v>1494</v>
      </c>
      <c r="J136" s="279"/>
      <c r="K136" s="253" t="s">
        <v>1494</v>
      </c>
      <c r="L136" s="279"/>
      <c r="M136" s="253" t="s">
        <v>192</v>
      </c>
      <c r="N136" s="279"/>
      <c r="O136" s="253" t="s">
        <v>1545</v>
      </c>
      <c r="P136" s="279"/>
      <c r="Q136" s="253" t="s">
        <v>192</v>
      </c>
      <c r="R136" s="279"/>
      <c r="S136" s="253" t="s">
        <v>1361</v>
      </c>
      <c r="T136" s="109"/>
      <c r="U136" s="400"/>
      <c r="V136" s="253" t="s">
        <v>1169</v>
      </c>
      <c r="W136" s="109"/>
      <c r="X136" s="145" t="s">
        <v>756</v>
      </c>
      <c r="Y136" s="253"/>
      <c r="Z136" s="279" t="s">
        <v>1240</v>
      </c>
      <c r="AA136" s="253"/>
      <c r="AB136" s="279" t="s">
        <v>926</v>
      </c>
      <c r="AC136" s="253" t="s">
        <v>1085</v>
      </c>
      <c r="AD136" s="279"/>
      <c r="AE136" s="253" t="s">
        <v>379</v>
      </c>
      <c r="AF136" s="980"/>
      <c r="AG136" s="253" t="s">
        <v>446</v>
      </c>
      <c r="AH136" s="980"/>
      <c r="AI136" s="253" t="s">
        <v>461</v>
      </c>
      <c r="AJ136" s="980"/>
      <c r="AK136" s="253" t="s">
        <v>509</v>
      </c>
      <c r="AL136" s="980"/>
      <c r="AM136" s="1155"/>
      <c r="AN136" s="254" t="s">
        <v>551</v>
      </c>
      <c r="AO136" s="145" t="s">
        <v>897</v>
      </c>
      <c r="AP136" s="253" t="s">
        <v>608</v>
      </c>
      <c r="AQ136" s="980"/>
      <c r="AR136" s="253" t="s">
        <v>192</v>
      </c>
      <c r="AS136" s="122"/>
      <c r="AT136" s="279"/>
      <c r="AU136" s="253"/>
      <c r="AV136" s="279" t="s">
        <v>1607</v>
      </c>
      <c r="AW136" s="143" t="s">
        <v>789</v>
      </c>
      <c r="AX136" s="253" t="s">
        <v>1141</v>
      </c>
      <c r="AY136" s="279"/>
      <c r="AZ136" s="253" t="s">
        <v>687</v>
      </c>
      <c r="BA136" s="980"/>
      <c r="BB136" s="252" t="s">
        <v>1034</v>
      </c>
      <c r="BC136" s="1173"/>
      <c r="BD136" s="254" t="s">
        <v>732</v>
      </c>
      <c r="JS136" s="5"/>
    </row>
    <row r="137" spans="1:279" s="1" customFormat="1">
      <c r="A137" s="1077"/>
      <c r="B137" s="1084"/>
      <c r="C137" s="130" t="s">
        <v>130</v>
      </c>
      <c r="D137" s="188">
        <v>20</v>
      </c>
      <c r="E137" s="68">
        <v>20</v>
      </c>
      <c r="F137" s="255"/>
      <c r="G137" s="188">
        <v>20</v>
      </c>
      <c r="H137" s="154">
        <v>20</v>
      </c>
      <c r="I137" s="126">
        <v>20</v>
      </c>
      <c r="J137" s="279"/>
      <c r="K137" s="126">
        <v>20</v>
      </c>
      <c r="L137" s="279"/>
      <c r="M137" s="126">
        <v>20</v>
      </c>
      <c r="N137" s="279"/>
      <c r="O137" s="126">
        <v>20</v>
      </c>
      <c r="P137" s="279"/>
      <c r="Q137" s="126">
        <v>20</v>
      </c>
      <c r="R137" s="279"/>
      <c r="S137" s="126">
        <v>20</v>
      </c>
      <c r="T137" s="75"/>
      <c r="U137" s="400"/>
      <c r="V137" s="126">
        <v>20</v>
      </c>
      <c r="W137" s="109"/>
      <c r="X137" s="142">
        <v>20</v>
      </c>
      <c r="Y137" s="126"/>
      <c r="Z137" s="260">
        <v>20</v>
      </c>
      <c r="AA137" s="126"/>
      <c r="AB137" s="260">
        <v>20</v>
      </c>
      <c r="AC137" s="126">
        <v>20</v>
      </c>
      <c r="AD137" s="260"/>
      <c r="AE137" s="126">
        <v>20</v>
      </c>
      <c r="AF137" s="980"/>
      <c r="AG137" s="126">
        <v>20</v>
      </c>
      <c r="AH137" s="980"/>
      <c r="AI137" s="126">
        <v>20</v>
      </c>
      <c r="AJ137" s="980"/>
      <c r="AK137" s="126">
        <v>20</v>
      </c>
      <c r="AL137" s="980"/>
      <c r="AM137" s="1155"/>
      <c r="AN137" s="293">
        <v>20</v>
      </c>
      <c r="AO137" s="142">
        <v>20</v>
      </c>
      <c r="AP137" s="126">
        <v>20</v>
      </c>
      <c r="AQ137" s="980"/>
      <c r="AR137" s="126">
        <v>20</v>
      </c>
      <c r="AS137" s="122"/>
      <c r="AT137" s="279"/>
      <c r="AU137" s="126"/>
      <c r="AV137" s="279">
        <v>20</v>
      </c>
      <c r="AW137" s="142">
        <v>20</v>
      </c>
      <c r="AX137" s="126">
        <v>20</v>
      </c>
      <c r="AY137" s="260"/>
      <c r="AZ137" s="126">
        <v>20</v>
      </c>
      <c r="BA137" s="980"/>
      <c r="BB137" s="319">
        <v>20</v>
      </c>
      <c r="BC137" s="1173"/>
      <c r="BD137" s="293">
        <v>20</v>
      </c>
      <c r="JS137" s="5"/>
    </row>
    <row r="138" spans="1:279" s="1" customFormat="1">
      <c r="A138" s="1077"/>
      <c r="B138" s="1084"/>
      <c r="C138" s="130" t="s">
        <v>46</v>
      </c>
      <c r="D138" s="189" t="s">
        <v>78</v>
      </c>
      <c r="E138" s="245" t="s">
        <v>78</v>
      </c>
      <c r="F138" s="255"/>
      <c r="G138" s="251" t="s">
        <v>78</v>
      </c>
      <c r="H138" s="154" t="s">
        <v>175</v>
      </c>
      <c r="I138" s="253" t="s">
        <v>78</v>
      </c>
      <c r="J138" s="279"/>
      <c r="K138" s="253" t="s">
        <v>78</v>
      </c>
      <c r="L138" s="279"/>
      <c r="M138" s="253" t="s">
        <v>78</v>
      </c>
      <c r="N138" s="279"/>
      <c r="O138" s="253" t="s">
        <v>78</v>
      </c>
      <c r="P138" s="279"/>
      <c r="Q138" s="253" t="s">
        <v>78</v>
      </c>
      <c r="R138" s="279"/>
      <c r="S138" s="253" t="s">
        <v>863</v>
      </c>
      <c r="T138" s="109"/>
      <c r="U138" s="400"/>
      <c r="V138" s="253" t="s">
        <v>78</v>
      </c>
      <c r="W138" s="109"/>
      <c r="X138" s="143" t="s">
        <v>78</v>
      </c>
      <c r="Y138" s="253"/>
      <c r="Z138" s="279" t="s">
        <v>863</v>
      </c>
      <c r="AA138" s="253"/>
      <c r="AB138" s="279" t="s">
        <v>863</v>
      </c>
      <c r="AC138" s="253" t="s">
        <v>78</v>
      </c>
      <c r="AD138" s="279"/>
      <c r="AE138" s="253" t="s">
        <v>78</v>
      </c>
      <c r="AF138" s="980"/>
      <c r="AG138" s="253" t="s">
        <v>78</v>
      </c>
      <c r="AH138" s="980"/>
      <c r="AI138" s="253" t="s">
        <v>78</v>
      </c>
      <c r="AJ138" s="980"/>
      <c r="AK138" s="253" t="s">
        <v>78</v>
      </c>
      <c r="AL138" s="980"/>
      <c r="AM138" s="1155"/>
      <c r="AN138" s="254" t="s">
        <v>78</v>
      </c>
      <c r="AO138" s="143" t="s">
        <v>78</v>
      </c>
      <c r="AP138" s="253" t="s">
        <v>78</v>
      </c>
      <c r="AQ138" s="980"/>
      <c r="AR138" s="253" t="s">
        <v>175</v>
      </c>
      <c r="AS138" s="122"/>
      <c r="AT138" s="279"/>
      <c r="AU138" s="253"/>
      <c r="AV138" s="279" t="s">
        <v>175</v>
      </c>
      <c r="AW138" s="143" t="s">
        <v>78</v>
      </c>
      <c r="AX138" s="253" t="s">
        <v>78</v>
      </c>
      <c r="AY138" s="279"/>
      <c r="AZ138" s="253" t="s">
        <v>78</v>
      </c>
      <c r="BA138" s="980"/>
      <c r="BB138" s="252" t="s">
        <v>863</v>
      </c>
      <c r="BC138" s="1173"/>
      <c r="BD138" s="254" t="s">
        <v>78</v>
      </c>
      <c r="JS138" s="5"/>
    </row>
    <row r="139" spans="1:279" s="1" customFormat="1" ht="24.75">
      <c r="A139" s="1077"/>
      <c r="B139" s="1084"/>
      <c r="C139" s="130" t="s">
        <v>47</v>
      </c>
      <c r="D139" s="189" t="s">
        <v>870</v>
      </c>
      <c r="E139" s="245" t="s">
        <v>290</v>
      </c>
      <c r="F139" s="255"/>
      <c r="G139" s="251" t="s">
        <v>447</v>
      </c>
      <c r="H139" s="154" t="s">
        <v>1419</v>
      </c>
      <c r="I139" s="253" t="s">
        <v>380</v>
      </c>
      <c r="J139" s="279"/>
      <c r="K139" s="253" t="s">
        <v>1495</v>
      </c>
      <c r="L139" s="279"/>
      <c r="M139" s="253" t="s">
        <v>1496</v>
      </c>
      <c r="N139" s="279"/>
      <c r="O139" s="253" t="s">
        <v>291</v>
      </c>
      <c r="P139" s="279"/>
      <c r="Q139" s="253" t="s">
        <v>1309</v>
      </c>
      <c r="R139" s="279"/>
      <c r="S139" s="253" t="s">
        <v>1362</v>
      </c>
      <c r="T139" s="77"/>
      <c r="U139" s="400"/>
      <c r="V139" s="253" t="s">
        <v>1201</v>
      </c>
      <c r="W139" s="109"/>
      <c r="X139" s="143" t="s">
        <v>777</v>
      </c>
      <c r="Y139" s="253"/>
      <c r="Z139" s="279" t="s">
        <v>1263</v>
      </c>
      <c r="AA139" s="253"/>
      <c r="AB139" s="358" t="s">
        <v>967</v>
      </c>
      <c r="AC139" s="253" t="s">
        <v>973</v>
      </c>
      <c r="AD139" s="358"/>
      <c r="AE139" s="253" t="s">
        <v>380</v>
      </c>
      <c r="AF139" s="980"/>
      <c r="AG139" s="253" t="s">
        <v>447</v>
      </c>
      <c r="AH139" s="980"/>
      <c r="AI139" s="253" t="s">
        <v>493</v>
      </c>
      <c r="AJ139" s="980"/>
      <c r="AK139" s="253" t="s">
        <v>380</v>
      </c>
      <c r="AL139" s="980"/>
      <c r="AM139" s="1155"/>
      <c r="AN139" s="254" t="s">
        <v>380</v>
      </c>
      <c r="AO139" s="143" t="s">
        <v>447</v>
      </c>
      <c r="AP139" s="253" t="s">
        <v>637</v>
      </c>
      <c r="AQ139" s="980"/>
      <c r="AR139" s="253" t="s">
        <v>380</v>
      </c>
      <c r="AS139" s="122"/>
      <c r="AT139" s="279"/>
      <c r="AU139" s="253"/>
      <c r="AV139" s="279" t="s">
        <v>1608</v>
      </c>
      <c r="AW139" s="143" t="s">
        <v>815</v>
      </c>
      <c r="AX139" s="253" t="s">
        <v>1142</v>
      </c>
      <c r="AY139" s="358"/>
      <c r="AZ139" s="253" t="s">
        <v>447</v>
      </c>
      <c r="BA139" s="980"/>
      <c r="BB139" s="252" t="s">
        <v>973</v>
      </c>
      <c r="BC139" s="1173"/>
      <c r="BD139" s="254" t="s">
        <v>447</v>
      </c>
      <c r="JS139" s="5"/>
    </row>
    <row r="140" spans="1:279" s="1" customFormat="1">
      <c r="A140" s="1077"/>
      <c r="B140" s="1084"/>
      <c r="C140" s="130" t="s">
        <v>131</v>
      </c>
      <c r="D140" s="188">
        <v>20</v>
      </c>
      <c r="E140" s="68">
        <v>20</v>
      </c>
      <c r="F140" s="255"/>
      <c r="G140" s="188">
        <v>20</v>
      </c>
      <c r="H140" s="154">
        <v>20</v>
      </c>
      <c r="I140" s="126">
        <v>20</v>
      </c>
      <c r="J140" s="279"/>
      <c r="K140" s="126">
        <v>20</v>
      </c>
      <c r="L140" s="279"/>
      <c r="M140" s="126">
        <v>20</v>
      </c>
      <c r="N140" s="279"/>
      <c r="O140" s="126">
        <v>20</v>
      </c>
      <c r="P140" s="279"/>
      <c r="Q140" s="126">
        <v>20</v>
      </c>
      <c r="R140" s="279"/>
      <c r="S140" s="126">
        <v>20</v>
      </c>
      <c r="T140" s="75"/>
      <c r="U140" s="400"/>
      <c r="V140" s="126">
        <v>20</v>
      </c>
      <c r="W140" s="109"/>
      <c r="X140" s="142">
        <v>20</v>
      </c>
      <c r="Y140" s="126"/>
      <c r="Z140" s="260">
        <v>20</v>
      </c>
      <c r="AA140" s="126"/>
      <c r="AB140" s="260">
        <v>20</v>
      </c>
      <c r="AC140" s="126">
        <v>20</v>
      </c>
      <c r="AD140" s="260"/>
      <c r="AE140" s="126">
        <v>20</v>
      </c>
      <c r="AF140" s="980"/>
      <c r="AG140" s="126">
        <v>20</v>
      </c>
      <c r="AH140" s="980"/>
      <c r="AI140" s="126">
        <v>20</v>
      </c>
      <c r="AJ140" s="980"/>
      <c r="AK140" s="126">
        <v>20</v>
      </c>
      <c r="AL140" s="980"/>
      <c r="AM140" s="1155"/>
      <c r="AN140" s="293">
        <v>20</v>
      </c>
      <c r="AO140" s="142">
        <v>20</v>
      </c>
      <c r="AP140" s="126">
        <v>20</v>
      </c>
      <c r="AQ140" s="980"/>
      <c r="AR140" s="126">
        <v>20</v>
      </c>
      <c r="AS140" s="122"/>
      <c r="AT140" s="279"/>
      <c r="AU140" s="126"/>
      <c r="AV140" s="279">
        <v>20</v>
      </c>
      <c r="AW140" s="142">
        <v>20</v>
      </c>
      <c r="AX140" s="126">
        <v>20</v>
      </c>
      <c r="AY140" s="260"/>
      <c r="AZ140" s="126">
        <v>20</v>
      </c>
      <c r="BA140" s="980"/>
      <c r="BB140" s="319">
        <v>20</v>
      </c>
      <c r="BC140" s="1173"/>
      <c r="BD140" s="293">
        <v>20</v>
      </c>
      <c r="JS140" s="5"/>
    </row>
    <row r="141" spans="1:279" s="1" customFormat="1" ht="24">
      <c r="A141" s="1077"/>
      <c r="B141" s="1084"/>
      <c r="C141" s="130" t="s">
        <v>48</v>
      </c>
      <c r="D141" s="189" t="s">
        <v>78</v>
      </c>
      <c r="E141" s="245" t="s">
        <v>78</v>
      </c>
      <c r="F141" s="255"/>
      <c r="G141" s="251" t="s">
        <v>78</v>
      </c>
      <c r="H141" s="154" t="s">
        <v>175</v>
      </c>
      <c r="I141" s="253" t="s">
        <v>78</v>
      </c>
      <c r="J141" s="279"/>
      <c r="K141" s="253" t="s">
        <v>78</v>
      </c>
      <c r="L141" s="279"/>
      <c r="M141" s="253" t="s">
        <v>78</v>
      </c>
      <c r="N141" s="279"/>
      <c r="O141" s="253" t="s">
        <v>78</v>
      </c>
      <c r="P141" s="279"/>
      <c r="Q141" s="253" t="s">
        <v>78</v>
      </c>
      <c r="R141" s="279"/>
      <c r="S141" s="253" t="s">
        <v>863</v>
      </c>
      <c r="T141" s="109"/>
      <c r="U141" s="400"/>
      <c r="V141" s="253" t="s">
        <v>78</v>
      </c>
      <c r="W141" s="109"/>
      <c r="X141" s="143" t="s">
        <v>78</v>
      </c>
      <c r="Y141" s="253"/>
      <c r="Z141" s="279" t="s">
        <v>863</v>
      </c>
      <c r="AA141" s="253"/>
      <c r="AB141" s="279" t="s">
        <v>863</v>
      </c>
      <c r="AC141" s="253" t="s">
        <v>863</v>
      </c>
      <c r="AD141" s="279"/>
      <c r="AE141" s="253" t="s">
        <v>78</v>
      </c>
      <c r="AF141" s="980"/>
      <c r="AG141" s="253" t="s">
        <v>78</v>
      </c>
      <c r="AH141" s="980"/>
      <c r="AI141" s="253" t="s">
        <v>78</v>
      </c>
      <c r="AJ141" s="980"/>
      <c r="AK141" s="253" t="s">
        <v>78</v>
      </c>
      <c r="AL141" s="980"/>
      <c r="AM141" s="1155"/>
      <c r="AN141" s="254" t="s">
        <v>78</v>
      </c>
      <c r="AO141" s="143" t="s">
        <v>78</v>
      </c>
      <c r="AP141" s="253" t="s">
        <v>78</v>
      </c>
      <c r="AQ141" s="980"/>
      <c r="AR141" s="253" t="s">
        <v>175</v>
      </c>
      <c r="AS141" s="122"/>
      <c r="AT141" s="279"/>
      <c r="AU141" s="253"/>
      <c r="AV141" s="279" t="s">
        <v>175</v>
      </c>
      <c r="AW141" s="143" t="s">
        <v>78</v>
      </c>
      <c r="AX141" s="253" t="s">
        <v>863</v>
      </c>
      <c r="AY141" s="279"/>
      <c r="AZ141" s="253" t="s">
        <v>78</v>
      </c>
      <c r="BA141" s="980"/>
      <c r="BB141" s="252" t="s">
        <v>863</v>
      </c>
      <c r="BC141" s="1173"/>
      <c r="BD141" s="254" t="s">
        <v>78</v>
      </c>
      <c r="JS141" s="5"/>
    </row>
    <row r="142" spans="1:279" s="1" customFormat="1" ht="24.75">
      <c r="A142" s="1077"/>
      <c r="B142" s="1084"/>
      <c r="C142" s="130" t="s">
        <v>47</v>
      </c>
      <c r="D142" s="189" t="s">
        <v>870</v>
      </c>
      <c r="E142" s="245" t="s">
        <v>290</v>
      </c>
      <c r="F142" s="255"/>
      <c r="G142" s="251" t="s">
        <v>447</v>
      </c>
      <c r="H142" s="154" t="s">
        <v>1419</v>
      </c>
      <c r="I142" s="253" t="s">
        <v>738</v>
      </c>
      <c r="J142" s="279"/>
      <c r="K142" s="253" t="s">
        <v>1495</v>
      </c>
      <c r="L142" s="279"/>
      <c r="M142" s="253" t="s">
        <v>291</v>
      </c>
      <c r="N142" s="279"/>
      <c r="O142" s="253" t="s">
        <v>291</v>
      </c>
      <c r="P142" s="279"/>
      <c r="Q142" s="253" t="s">
        <v>1309</v>
      </c>
      <c r="R142" s="279"/>
      <c r="S142" s="253" t="s">
        <v>1362</v>
      </c>
      <c r="T142" s="109"/>
      <c r="U142" s="400"/>
      <c r="V142" s="253" t="s">
        <v>1201</v>
      </c>
      <c r="W142" s="109"/>
      <c r="X142" s="143" t="s">
        <v>777</v>
      </c>
      <c r="Y142" s="253"/>
      <c r="Z142" s="358" t="s">
        <v>1264</v>
      </c>
      <c r="AA142" s="253"/>
      <c r="AB142" s="279" t="s">
        <v>968</v>
      </c>
      <c r="AC142" s="253" t="s">
        <v>973</v>
      </c>
      <c r="AD142" s="279"/>
      <c r="AE142" s="253" t="s">
        <v>380</v>
      </c>
      <c r="AF142" s="980"/>
      <c r="AG142" s="253" t="s">
        <v>447</v>
      </c>
      <c r="AH142" s="980"/>
      <c r="AI142" s="253" t="s">
        <v>494</v>
      </c>
      <c r="AJ142" s="980"/>
      <c r="AK142" s="253" t="s">
        <v>380</v>
      </c>
      <c r="AL142" s="980"/>
      <c r="AM142" s="1155"/>
      <c r="AN142" s="254" t="s">
        <v>380</v>
      </c>
      <c r="AO142" s="143" t="s">
        <v>447</v>
      </c>
      <c r="AP142" s="253" t="s">
        <v>638</v>
      </c>
      <c r="AQ142" s="980"/>
      <c r="AR142" s="253" t="s">
        <v>637</v>
      </c>
      <c r="AS142" s="122"/>
      <c r="AT142" s="279"/>
      <c r="AU142" s="253"/>
      <c r="AV142" s="279" t="s">
        <v>1608</v>
      </c>
      <c r="AW142" s="143" t="s">
        <v>815</v>
      </c>
      <c r="AX142" s="253" t="s">
        <v>968</v>
      </c>
      <c r="AY142" s="279"/>
      <c r="AZ142" s="253" t="s">
        <v>447</v>
      </c>
      <c r="BA142" s="980"/>
      <c r="BB142" s="252" t="s">
        <v>973</v>
      </c>
      <c r="BC142" s="1173"/>
      <c r="BD142" s="254" t="s">
        <v>447</v>
      </c>
      <c r="JS142" s="5"/>
    </row>
    <row r="143" spans="1:279" s="1" customFormat="1">
      <c r="A143" s="1077"/>
      <c r="B143" s="1084"/>
      <c r="C143" s="130" t="s">
        <v>132</v>
      </c>
      <c r="D143" s="188">
        <v>20</v>
      </c>
      <c r="E143" s="68">
        <v>20</v>
      </c>
      <c r="F143" s="255"/>
      <c r="G143" s="188">
        <v>20</v>
      </c>
      <c r="H143" s="154">
        <v>20</v>
      </c>
      <c r="I143" s="126">
        <v>20</v>
      </c>
      <c r="J143" s="279"/>
      <c r="K143" s="126">
        <v>20</v>
      </c>
      <c r="L143" s="279"/>
      <c r="M143" s="126">
        <v>20</v>
      </c>
      <c r="N143" s="279"/>
      <c r="O143" s="126">
        <v>20</v>
      </c>
      <c r="P143" s="279"/>
      <c r="Q143" s="126">
        <v>20</v>
      </c>
      <c r="R143" s="279"/>
      <c r="S143" s="126">
        <v>20</v>
      </c>
      <c r="T143" s="75"/>
      <c r="U143" s="400"/>
      <c r="V143" s="126">
        <v>20</v>
      </c>
      <c r="W143" s="109"/>
      <c r="X143" s="142">
        <v>20</v>
      </c>
      <c r="Y143" s="126"/>
      <c r="Z143" s="260">
        <v>20</v>
      </c>
      <c r="AA143" s="126"/>
      <c r="AB143" s="260">
        <v>20</v>
      </c>
      <c r="AC143" s="126">
        <v>20</v>
      </c>
      <c r="AD143" s="260"/>
      <c r="AE143" s="126">
        <v>20</v>
      </c>
      <c r="AF143" s="980"/>
      <c r="AG143" s="126">
        <v>20</v>
      </c>
      <c r="AH143" s="980"/>
      <c r="AI143" s="126">
        <v>20</v>
      </c>
      <c r="AJ143" s="980"/>
      <c r="AK143" s="126">
        <v>20</v>
      </c>
      <c r="AL143" s="980"/>
      <c r="AM143" s="1155"/>
      <c r="AN143" s="293">
        <v>20</v>
      </c>
      <c r="AO143" s="142">
        <v>20</v>
      </c>
      <c r="AP143" s="126">
        <v>20</v>
      </c>
      <c r="AQ143" s="980"/>
      <c r="AR143" s="126">
        <v>20</v>
      </c>
      <c r="AS143" s="122"/>
      <c r="AT143" s="279"/>
      <c r="AU143" s="126"/>
      <c r="AV143" s="279">
        <v>20</v>
      </c>
      <c r="AW143" s="142">
        <v>20</v>
      </c>
      <c r="AX143" s="126">
        <v>20</v>
      </c>
      <c r="AY143" s="260"/>
      <c r="AZ143" s="126">
        <v>20</v>
      </c>
      <c r="BA143" s="980"/>
      <c r="BB143" s="319">
        <v>20</v>
      </c>
      <c r="BC143" s="1173"/>
      <c r="BD143" s="293">
        <v>20</v>
      </c>
      <c r="JS143" s="5"/>
    </row>
    <row r="144" spans="1:279" s="1" customFormat="1" ht="36">
      <c r="A144" s="1077"/>
      <c r="B144" s="1084"/>
      <c r="C144" s="130" t="s">
        <v>233</v>
      </c>
      <c r="D144" s="189" t="s">
        <v>78</v>
      </c>
      <c r="E144" s="245" t="s">
        <v>78</v>
      </c>
      <c r="F144" s="255"/>
      <c r="G144" s="251" t="s">
        <v>78</v>
      </c>
      <c r="H144" s="154" t="s">
        <v>175</v>
      </c>
      <c r="I144" s="253" t="s">
        <v>78</v>
      </c>
      <c r="J144" s="279"/>
      <c r="K144" s="253" t="s">
        <v>78</v>
      </c>
      <c r="L144" s="279"/>
      <c r="M144" s="253" t="s">
        <v>78</v>
      </c>
      <c r="N144" s="279"/>
      <c r="O144" s="253" t="s">
        <v>78</v>
      </c>
      <c r="P144" s="279"/>
      <c r="Q144" s="253" t="s">
        <v>78</v>
      </c>
      <c r="R144" s="279"/>
      <c r="S144" s="253" t="s">
        <v>863</v>
      </c>
      <c r="T144" s="109"/>
      <c r="U144" s="400"/>
      <c r="V144" s="253" t="s">
        <v>78</v>
      </c>
      <c r="W144" s="109"/>
      <c r="X144" s="143" t="s">
        <v>78</v>
      </c>
      <c r="Y144" s="253"/>
      <c r="Z144" s="279" t="s">
        <v>78</v>
      </c>
      <c r="AA144" s="253"/>
      <c r="AB144" s="279" t="s">
        <v>863</v>
      </c>
      <c r="AC144" s="253" t="s">
        <v>863</v>
      </c>
      <c r="AD144" s="279"/>
      <c r="AE144" s="253" t="s">
        <v>78</v>
      </c>
      <c r="AF144" s="980"/>
      <c r="AG144" s="253" t="s">
        <v>78</v>
      </c>
      <c r="AH144" s="980"/>
      <c r="AI144" s="253" t="s">
        <v>78</v>
      </c>
      <c r="AJ144" s="980"/>
      <c r="AK144" s="253" t="s">
        <v>78</v>
      </c>
      <c r="AL144" s="980"/>
      <c r="AM144" s="1155"/>
      <c r="AN144" s="254" t="s">
        <v>78</v>
      </c>
      <c r="AO144" s="143" t="s">
        <v>78</v>
      </c>
      <c r="AP144" s="253" t="s">
        <v>78</v>
      </c>
      <c r="AQ144" s="980"/>
      <c r="AR144" s="253" t="s">
        <v>175</v>
      </c>
      <c r="AS144" s="122"/>
      <c r="AT144" s="279"/>
      <c r="AU144" s="253"/>
      <c r="AV144" s="279" t="s">
        <v>175</v>
      </c>
      <c r="AW144" s="143" t="s">
        <v>78</v>
      </c>
      <c r="AX144" s="253" t="s">
        <v>863</v>
      </c>
      <c r="AY144" s="279"/>
      <c r="AZ144" s="253" t="s">
        <v>78</v>
      </c>
      <c r="BA144" s="980"/>
      <c r="BB144" s="252" t="s">
        <v>863</v>
      </c>
      <c r="BC144" s="1173"/>
      <c r="BD144" s="254" t="s">
        <v>78</v>
      </c>
      <c r="JS144" s="5"/>
    </row>
    <row r="145" spans="1:279" s="1" customFormat="1" ht="36">
      <c r="A145" s="1077"/>
      <c r="B145" s="1084"/>
      <c r="C145" s="130" t="s">
        <v>49</v>
      </c>
      <c r="D145" s="189" t="s">
        <v>871</v>
      </c>
      <c r="E145" s="245" t="s">
        <v>291</v>
      </c>
      <c r="F145" s="255"/>
      <c r="G145" s="251" t="s">
        <v>447</v>
      </c>
      <c r="H145" s="154" t="s">
        <v>1420</v>
      </c>
      <c r="I145" s="253" t="s">
        <v>1497</v>
      </c>
      <c r="J145" s="279"/>
      <c r="K145" s="253" t="s">
        <v>1498</v>
      </c>
      <c r="L145" s="279"/>
      <c r="M145" s="253" t="s">
        <v>1499</v>
      </c>
      <c r="N145" s="279"/>
      <c r="O145" s="253" t="s">
        <v>1546</v>
      </c>
      <c r="P145" s="279"/>
      <c r="Q145" s="253" t="s">
        <v>1310</v>
      </c>
      <c r="R145" s="279"/>
      <c r="S145" s="253" t="s">
        <v>1363</v>
      </c>
      <c r="T145" s="109"/>
      <c r="U145" s="400"/>
      <c r="V145" s="253" t="s">
        <v>1202</v>
      </c>
      <c r="W145" s="109"/>
      <c r="X145" s="143" t="s">
        <v>778</v>
      </c>
      <c r="Y145" s="253"/>
      <c r="Z145" s="279" t="s">
        <v>1265</v>
      </c>
      <c r="AA145" s="253"/>
      <c r="AB145" s="279" t="s">
        <v>969</v>
      </c>
      <c r="AC145" s="253" t="s">
        <v>1086</v>
      </c>
      <c r="AD145" s="279"/>
      <c r="AE145" s="253" t="s">
        <v>381</v>
      </c>
      <c r="AF145" s="980"/>
      <c r="AG145" s="253" t="s">
        <v>448</v>
      </c>
      <c r="AH145" s="980"/>
      <c r="AI145" s="253" t="s">
        <v>448</v>
      </c>
      <c r="AJ145" s="980"/>
      <c r="AK145" s="253" t="s">
        <v>380</v>
      </c>
      <c r="AL145" s="980"/>
      <c r="AM145" s="1155"/>
      <c r="AN145" s="254" t="s">
        <v>380</v>
      </c>
      <c r="AO145" s="143" t="s">
        <v>909</v>
      </c>
      <c r="AP145" s="253" t="s">
        <v>639</v>
      </c>
      <c r="AQ145" s="980"/>
      <c r="AR145" s="253" t="s">
        <v>1609</v>
      </c>
      <c r="AS145" s="122"/>
      <c r="AT145" s="279"/>
      <c r="AU145" s="253"/>
      <c r="AV145" s="279" t="s">
        <v>1610</v>
      </c>
      <c r="AW145" s="143" t="s">
        <v>816</v>
      </c>
      <c r="AX145" s="253" t="s">
        <v>1143</v>
      </c>
      <c r="AY145" s="279"/>
      <c r="AZ145" s="253" t="s">
        <v>685</v>
      </c>
      <c r="BA145" s="980"/>
      <c r="BB145" s="252" t="s">
        <v>1035</v>
      </c>
      <c r="BC145" s="1173"/>
      <c r="BD145" s="254" t="s">
        <v>734</v>
      </c>
      <c r="JS145" s="5"/>
    </row>
    <row r="146" spans="1:279" s="1" customFormat="1">
      <c r="A146" s="1077"/>
      <c r="B146" s="1084"/>
      <c r="C146" s="130" t="s">
        <v>133</v>
      </c>
      <c r="D146" s="188">
        <v>20</v>
      </c>
      <c r="E146" s="68">
        <v>20</v>
      </c>
      <c r="F146" s="255"/>
      <c r="G146" s="188">
        <v>20</v>
      </c>
      <c r="H146" s="154">
        <v>20</v>
      </c>
      <c r="I146" s="126">
        <v>20</v>
      </c>
      <c r="J146" s="279"/>
      <c r="K146" s="126">
        <v>20</v>
      </c>
      <c r="L146" s="279"/>
      <c r="M146" s="126">
        <v>20</v>
      </c>
      <c r="N146" s="279"/>
      <c r="O146" s="126">
        <v>20</v>
      </c>
      <c r="P146" s="279"/>
      <c r="Q146" s="126">
        <v>20</v>
      </c>
      <c r="R146" s="279"/>
      <c r="S146" s="126">
        <v>20</v>
      </c>
      <c r="T146" s="75"/>
      <c r="U146" s="400"/>
      <c r="V146" s="126">
        <v>20</v>
      </c>
      <c r="W146" s="109"/>
      <c r="X146" s="142">
        <v>20</v>
      </c>
      <c r="Y146" s="126"/>
      <c r="Z146" s="260">
        <v>20</v>
      </c>
      <c r="AA146" s="126"/>
      <c r="AB146" s="260">
        <v>20</v>
      </c>
      <c r="AC146" s="126">
        <v>20</v>
      </c>
      <c r="AD146" s="260"/>
      <c r="AE146" s="126">
        <v>20</v>
      </c>
      <c r="AF146" s="980"/>
      <c r="AG146" s="126">
        <v>20</v>
      </c>
      <c r="AH146" s="980"/>
      <c r="AI146" s="126">
        <v>20</v>
      </c>
      <c r="AJ146" s="980"/>
      <c r="AK146" s="126">
        <v>20</v>
      </c>
      <c r="AL146" s="980"/>
      <c r="AM146" s="1155"/>
      <c r="AN146" s="293">
        <v>20</v>
      </c>
      <c r="AO146" s="142">
        <v>20</v>
      </c>
      <c r="AP146" s="126">
        <v>20</v>
      </c>
      <c r="AQ146" s="980"/>
      <c r="AR146" s="126">
        <v>20</v>
      </c>
      <c r="AS146" s="122"/>
      <c r="AT146" s="279"/>
      <c r="AU146" s="126"/>
      <c r="AV146" s="279">
        <v>20</v>
      </c>
      <c r="AW146" s="142">
        <v>20</v>
      </c>
      <c r="AX146" s="126">
        <v>20</v>
      </c>
      <c r="AY146" s="260"/>
      <c r="AZ146" s="126">
        <v>20</v>
      </c>
      <c r="BA146" s="980"/>
      <c r="BB146" s="319">
        <v>20</v>
      </c>
      <c r="BC146" s="1173"/>
      <c r="BD146" s="293">
        <v>20</v>
      </c>
      <c r="JS146" s="5"/>
    </row>
    <row r="147" spans="1:279" s="1" customFormat="1">
      <c r="A147" s="1077"/>
      <c r="B147" s="1084"/>
      <c r="C147" s="130" t="s">
        <v>86</v>
      </c>
      <c r="D147" s="188">
        <v>100</v>
      </c>
      <c r="E147" s="68">
        <v>100</v>
      </c>
      <c r="F147" s="255"/>
      <c r="G147" s="188">
        <v>100</v>
      </c>
      <c r="H147" s="154">
        <v>100</v>
      </c>
      <c r="I147" s="126">
        <v>100</v>
      </c>
      <c r="J147" s="279"/>
      <c r="K147" s="126">
        <v>100</v>
      </c>
      <c r="L147" s="279"/>
      <c r="M147" s="126">
        <v>100</v>
      </c>
      <c r="N147" s="279"/>
      <c r="O147" s="126">
        <v>100</v>
      </c>
      <c r="P147" s="279"/>
      <c r="Q147" s="126">
        <v>100</v>
      </c>
      <c r="R147" s="279"/>
      <c r="S147" s="126">
        <v>100</v>
      </c>
      <c r="T147" s="75"/>
      <c r="U147" s="400"/>
      <c r="V147" s="126">
        <v>100</v>
      </c>
      <c r="W147" s="109"/>
      <c r="X147" s="142">
        <v>100</v>
      </c>
      <c r="Y147" s="126"/>
      <c r="Z147" s="260">
        <v>100</v>
      </c>
      <c r="AA147" s="126"/>
      <c r="AB147" s="260">
        <v>100</v>
      </c>
      <c r="AC147" s="126">
        <v>100</v>
      </c>
      <c r="AD147" s="260"/>
      <c r="AE147" s="126">
        <v>100</v>
      </c>
      <c r="AF147" s="980"/>
      <c r="AG147" s="126">
        <v>100</v>
      </c>
      <c r="AH147" s="980"/>
      <c r="AI147" s="126">
        <v>100</v>
      </c>
      <c r="AJ147" s="980"/>
      <c r="AK147" s="126">
        <v>100</v>
      </c>
      <c r="AL147" s="980"/>
      <c r="AM147" s="1155"/>
      <c r="AN147" s="293">
        <v>100</v>
      </c>
      <c r="AO147" s="142">
        <v>100</v>
      </c>
      <c r="AP147" s="126">
        <v>100</v>
      </c>
      <c r="AQ147" s="980"/>
      <c r="AR147" s="126">
        <v>100</v>
      </c>
      <c r="AS147" s="122"/>
      <c r="AT147" s="279"/>
      <c r="AU147" s="126"/>
      <c r="AV147" s="279">
        <v>100</v>
      </c>
      <c r="AW147" s="142">
        <v>100</v>
      </c>
      <c r="AX147" s="126">
        <v>100</v>
      </c>
      <c r="AY147" s="260"/>
      <c r="AZ147" s="126">
        <v>100</v>
      </c>
      <c r="BA147" s="980"/>
      <c r="BB147" s="319">
        <v>100</v>
      </c>
      <c r="BC147" s="1173"/>
      <c r="BD147" s="293">
        <v>100</v>
      </c>
      <c r="JS147" s="5"/>
    </row>
    <row r="148" spans="1:279" s="1" customFormat="1">
      <c r="A148" s="1077"/>
      <c r="B148" s="1084"/>
      <c r="C148" s="130" t="s">
        <v>0</v>
      </c>
      <c r="D148" s="189" t="s">
        <v>872</v>
      </c>
      <c r="E148" s="245" t="s">
        <v>77</v>
      </c>
      <c r="F148" s="255"/>
      <c r="G148" s="188" t="s">
        <v>394</v>
      </c>
      <c r="H148" s="154" t="s">
        <v>1421</v>
      </c>
      <c r="I148" s="253" t="s">
        <v>77</v>
      </c>
      <c r="J148" s="279"/>
      <c r="K148" s="253" t="s">
        <v>77</v>
      </c>
      <c r="L148" s="279"/>
      <c r="M148" s="253" t="s">
        <v>77</v>
      </c>
      <c r="N148" s="279"/>
      <c r="O148" s="253" t="s">
        <v>77</v>
      </c>
      <c r="P148" s="279"/>
      <c r="Q148" s="253" t="s">
        <v>77</v>
      </c>
      <c r="R148" s="279"/>
      <c r="S148" s="253" t="s">
        <v>77</v>
      </c>
      <c r="T148" s="109"/>
      <c r="U148" s="400"/>
      <c r="V148" s="253" t="s">
        <v>77</v>
      </c>
      <c r="W148" s="109"/>
      <c r="X148" s="143" t="s">
        <v>77</v>
      </c>
      <c r="Y148" s="253"/>
      <c r="Z148" s="279" t="s">
        <v>1082</v>
      </c>
      <c r="AA148" s="253"/>
      <c r="AB148" s="279" t="s">
        <v>77</v>
      </c>
      <c r="AC148" s="253" t="s">
        <v>77</v>
      </c>
      <c r="AD148" s="279"/>
      <c r="AE148" s="253" t="s">
        <v>77</v>
      </c>
      <c r="AF148" s="981"/>
      <c r="AG148" s="253" t="s">
        <v>77</v>
      </c>
      <c r="AH148" s="981"/>
      <c r="AI148" s="253" t="s">
        <v>77</v>
      </c>
      <c r="AJ148" s="981"/>
      <c r="AK148" s="253" t="s">
        <v>77</v>
      </c>
      <c r="AL148" s="981"/>
      <c r="AM148" s="1156"/>
      <c r="AN148" s="254" t="s">
        <v>77</v>
      </c>
      <c r="AO148" s="143" t="s">
        <v>77</v>
      </c>
      <c r="AP148" s="253" t="s">
        <v>77</v>
      </c>
      <c r="AQ148" s="981"/>
      <c r="AR148" s="253" t="s">
        <v>394</v>
      </c>
      <c r="AS148" s="122"/>
      <c r="AT148" s="279"/>
      <c r="AU148" s="253"/>
      <c r="AV148" s="279" t="s">
        <v>394</v>
      </c>
      <c r="AW148" s="143" t="s">
        <v>394</v>
      </c>
      <c r="AX148" s="253" t="s">
        <v>77</v>
      </c>
      <c r="AY148" s="279"/>
      <c r="AZ148" s="253" t="s">
        <v>77</v>
      </c>
      <c r="BA148" s="981"/>
      <c r="BB148" s="252" t="s">
        <v>77</v>
      </c>
      <c r="BC148" s="1174"/>
      <c r="BD148" s="254" t="s">
        <v>77</v>
      </c>
      <c r="JS148" s="5"/>
    </row>
    <row r="149" spans="1:279" s="1" customFormat="1" ht="18">
      <c r="A149" s="1077"/>
      <c r="B149" s="1084"/>
      <c r="C149" s="133" t="s">
        <v>84</v>
      </c>
      <c r="D149" s="206"/>
      <c r="E149" s="261"/>
      <c r="F149" s="244"/>
      <c r="G149" s="206"/>
      <c r="H149" s="330"/>
      <c r="I149" s="261"/>
      <c r="J149" s="244"/>
      <c r="K149" s="261"/>
      <c r="L149" s="244"/>
      <c r="M149" s="261"/>
      <c r="N149" s="244"/>
      <c r="O149" s="261"/>
      <c r="P149" s="244"/>
      <c r="Q149" s="261"/>
      <c r="R149" s="244"/>
      <c r="S149" s="261"/>
      <c r="T149" s="72"/>
      <c r="U149" s="93"/>
      <c r="V149" s="261"/>
      <c r="W149" s="72"/>
      <c r="X149" s="156"/>
      <c r="Y149" s="261"/>
      <c r="Z149" s="244"/>
      <c r="AA149" s="261"/>
      <c r="AB149" s="244"/>
      <c r="AC149" s="261"/>
      <c r="AD149" s="244"/>
      <c r="AE149" s="261"/>
      <c r="AF149" s="244"/>
      <c r="AG149" s="261"/>
      <c r="AH149" s="244"/>
      <c r="AI149" s="261"/>
      <c r="AJ149" s="244"/>
      <c r="AK149" s="261"/>
      <c r="AL149" s="244"/>
      <c r="AM149" s="261"/>
      <c r="AN149" s="244"/>
      <c r="AO149" s="156"/>
      <c r="AP149" s="261"/>
      <c r="AQ149" s="244"/>
      <c r="AR149" s="261"/>
      <c r="AS149" s="32"/>
      <c r="AT149" s="244"/>
      <c r="AU149" s="261"/>
      <c r="AV149" s="244"/>
      <c r="AW149" s="156"/>
      <c r="AX149" s="261"/>
      <c r="AY149" s="244"/>
      <c r="AZ149" s="261"/>
      <c r="BA149" s="244"/>
      <c r="BB149" s="559"/>
      <c r="BC149" s="261"/>
      <c r="BD149" s="244"/>
      <c r="JS149" s="5"/>
    </row>
    <row r="150" spans="1:279" s="1" customFormat="1">
      <c r="A150" s="1077"/>
      <c r="B150" s="1084"/>
      <c r="C150" s="130" t="s">
        <v>6</v>
      </c>
      <c r="D150" s="207" t="s">
        <v>873</v>
      </c>
      <c r="E150" s="264" t="s">
        <v>292</v>
      </c>
      <c r="F150" s="255"/>
      <c r="G150" s="207" t="s">
        <v>874</v>
      </c>
      <c r="H150" s="154" t="s">
        <v>1422</v>
      </c>
      <c r="I150" s="278" t="s">
        <v>1500</v>
      </c>
      <c r="J150" s="279"/>
      <c r="K150" s="278" t="s">
        <v>1501</v>
      </c>
      <c r="L150" s="279"/>
      <c r="M150" s="278" t="s">
        <v>1502</v>
      </c>
      <c r="N150" s="279"/>
      <c r="O150" s="278" t="s">
        <v>1547</v>
      </c>
      <c r="P150" s="279"/>
      <c r="Q150" s="278" t="s">
        <v>1311</v>
      </c>
      <c r="R150" s="279"/>
      <c r="S150" s="278" t="s">
        <v>1364</v>
      </c>
      <c r="T150" s="109"/>
      <c r="U150" s="400"/>
      <c r="V150" s="278" t="s">
        <v>1203</v>
      </c>
      <c r="W150" s="109"/>
      <c r="X150" s="154" t="s">
        <v>779</v>
      </c>
      <c r="Y150" s="278" t="s">
        <v>1203</v>
      </c>
      <c r="Z150" s="279" t="s">
        <v>1266</v>
      </c>
      <c r="AA150" s="278"/>
      <c r="AB150" s="279" t="s">
        <v>970</v>
      </c>
      <c r="AC150" s="278" t="s">
        <v>1087</v>
      </c>
      <c r="AD150" s="279"/>
      <c r="AE150" s="278" t="s">
        <v>382</v>
      </c>
      <c r="AF150" s="979" t="s">
        <v>178</v>
      </c>
      <c r="AG150" s="278" t="s">
        <v>449</v>
      </c>
      <c r="AH150" s="979" t="s">
        <v>178</v>
      </c>
      <c r="AI150" s="278" t="s">
        <v>495</v>
      </c>
      <c r="AJ150" s="979" t="s">
        <v>178</v>
      </c>
      <c r="AK150" s="1068" t="s">
        <v>178</v>
      </c>
      <c r="AL150" s="279" t="s">
        <v>535</v>
      </c>
      <c r="AM150" s="278" t="s">
        <v>592</v>
      </c>
      <c r="AN150" s="979" t="s">
        <v>178</v>
      </c>
      <c r="AO150" s="154" t="s">
        <v>910</v>
      </c>
      <c r="AP150" s="278" t="s">
        <v>640</v>
      </c>
      <c r="AQ150" s="979" t="s">
        <v>178</v>
      </c>
      <c r="AR150" s="278" t="s">
        <v>1611</v>
      </c>
      <c r="AS150" s="122"/>
      <c r="AT150" s="279"/>
      <c r="AU150" s="278"/>
      <c r="AV150" s="279" t="s">
        <v>1612</v>
      </c>
      <c r="AW150" s="157" t="s">
        <v>817</v>
      </c>
      <c r="AX150" s="278" t="s">
        <v>1144</v>
      </c>
      <c r="AY150" s="279"/>
      <c r="AZ150" s="494" t="s">
        <v>686</v>
      </c>
      <c r="BA150" s="979" t="s">
        <v>178</v>
      </c>
      <c r="BB150" s="561" t="s">
        <v>1036</v>
      </c>
      <c r="BC150" s="278" t="s">
        <v>735</v>
      </c>
      <c r="BD150" s="979" t="s">
        <v>178</v>
      </c>
      <c r="JS150" s="5"/>
    </row>
    <row r="151" spans="1:279" s="1" customFormat="1" ht="19.5" customHeight="1">
      <c r="A151" s="1077"/>
      <c r="B151" s="1084"/>
      <c r="C151" s="130" t="s">
        <v>43</v>
      </c>
      <c r="D151" s="189" t="s">
        <v>286</v>
      </c>
      <c r="E151" s="264" t="s">
        <v>286</v>
      </c>
      <c r="F151" s="255"/>
      <c r="G151" s="251" t="s">
        <v>286</v>
      </c>
      <c r="H151" s="154" t="s">
        <v>286</v>
      </c>
      <c r="I151" s="278" t="s">
        <v>1503</v>
      </c>
      <c r="J151" s="279"/>
      <c r="K151" s="278" t="s">
        <v>286</v>
      </c>
      <c r="L151" s="279"/>
      <c r="M151" s="278" t="s">
        <v>286</v>
      </c>
      <c r="N151" s="279"/>
      <c r="O151" s="278" t="s">
        <v>286</v>
      </c>
      <c r="P151" s="279"/>
      <c r="Q151" s="278" t="s">
        <v>286</v>
      </c>
      <c r="R151" s="279"/>
      <c r="S151" s="278" t="s">
        <v>964</v>
      </c>
      <c r="T151" s="109"/>
      <c r="U151" s="400"/>
      <c r="V151" s="278" t="s">
        <v>286</v>
      </c>
      <c r="W151" s="109"/>
      <c r="X151" s="154" t="s">
        <v>286</v>
      </c>
      <c r="Y151" s="278" t="s">
        <v>286</v>
      </c>
      <c r="Z151" s="279" t="s">
        <v>964</v>
      </c>
      <c r="AA151" s="278"/>
      <c r="AB151" s="279" t="s">
        <v>964</v>
      </c>
      <c r="AC151" s="278" t="s">
        <v>964</v>
      </c>
      <c r="AD151" s="279"/>
      <c r="AE151" s="278" t="s">
        <v>286</v>
      </c>
      <c r="AF151" s="980"/>
      <c r="AG151" s="278" t="s">
        <v>286</v>
      </c>
      <c r="AH151" s="980"/>
      <c r="AI151" s="278" t="s">
        <v>286</v>
      </c>
      <c r="AJ151" s="980"/>
      <c r="AK151" s="1069"/>
      <c r="AL151" s="279" t="s">
        <v>286</v>
      </c>
      <c r="AM151" s="278" t="s">
        <v>286</v>
      </c>
      <c r="AN151" s="980"/>
      <c r="AO151" s="154" t="s">
        <v>286</v>
      </c>
      <c r="AP151" s="278" t="s">
        <v>286</v>
      </c>
      <c r="AQ151" s="980"/>
      <c r="AR151" s="278" t="s">
        <v>286</v>
      </c>
      <c r="AS151" s="122"/>
      <c r="AT151" s="279"/>
      <c r="AU151" s="278"/>
      <c r="AV151" s="279" t="s">
        <v>286</v>
      </c>
      <c r="AW151" s="143" t="s">
        <v>286</v>
      </c>
      <c r="AX151" s="278" t="s">
        <v>964</v>
      </c>
      <c r="AY151" s="279"/>
      <c r="AZ151" s="253" t="s">
        <v>286</v>
      </c>
      <c r="BA151" s="980"/>
      <c r="BB151" s="553" t="s">
        <v>964</v>
      </c>
      <c r="BC151" s="278" t="s">
        <v>286</v>
      </c>
      <c r="BD151" s="980"/>
      <c r="JS151" s="5"/>
    </row>
    <row r="152" spans="1:279" s="1" customFormat="1">
      <c r="A152" s="1077"/>
      <c r="B152" s="1084"/>
      <c r="C152" s="130" t="s">
        <v>37</v>
      </c>
      <c r="D152" s="199">
        <v>45029</v>
      </c>
      <c r="E152" s="265">
        <v>45090</v>
      </c>
      <c r="F152" s="263"/>
      <c r="G152" s="199">
        <v>44915</v>
      </c>
      <c r="H152" s="337">
        <v>44890</v>
      </c>
      <c r="I152" s="265">
        <v>44772</v>
      </c>
      <c r="J152" s="263"/>
      <c r="K152" s="265">
        <v>44890</v>
      </c>
      <c r="L152" s="263"/>
      <c r="M152" s="265">
        <v>45070</v>
      </c>
      <c r="N152" s="263"/>
      <c r="O152" s="265">
        <v>45050</v>
      </c>
      <c r="P152" s="263"/>
      <c r="Q152" s="265">
        <v>45050</v>
      </c>
      <c r="R152" s="263"/>
      <c r="S152" s="265">
        <v>44985</v>
      </c>
      <c r="T152" s="76"/>
      <c r="U152" s="400"/>
      <c r="V152" s="265">
        <v>45021</v>
      </c>
      <c r="W152" s="76"/>
      <c r="X152" s="149">
        <v>44877</v>
      </c>
      <c r="Y152" s="265">
        <v>45021</v>
      </c>
      <c r="Z152" s="263">
        <v>44912</v>
      </c>
      <c r="AA152" s="265"/>
      <c r="AB152" s="263">
        <v>45000</v>
      </c>
      <c r="AC152" s="265" t="s">
        <v>1088</v>
      </c>
      <c r="AD152" s="263"/>
      <c r="AE152" s="265">
        <v>45070</v>
      </c>
      <c r="AF152" s="980"/>
      <c r="AG152" s="265">
        <v>45209</v>
      </c>
      <c r="AH152" s="980"/>
      <c r="AI152" s="247">
        <v>45090</v>
      </c>
      <c r="AJ152" s="980"/>
      <c r="AK152" s="1069"/>
      <c r="AL152" s="357">
        <v>45000</v>
      </c>
      <c r="AM152" s="247">
        <v>45050</v>
      </c>
      <c r="AN152" s="980"/>
      <c r="AO152" s="149">
        <v>44887</v>
      </c>
      <c r="AP152" s="247">
        <v>45050</v>
      </c>
      <c r="AQ152" s="980"/>
      <c r="AR152" s="265">
        <v>45090</v>
      </c>
      <c r="AS152" s="43"/>
      <c r="AT152" s="263"/>
      <c r="AU152" s="265"/>
      <c r="AV152" s="263">
        <v>45143</v>
      </c>
      <c r="AW152" s="149">
        <v>45094</v>
      </c>
      <c r="AX152" s="265">
        <v>45231</v>
      </c>
      <c r="AY152" s="263"/>
      <c r="AZ152" s="247">
        <v>45098</v>
      </c>
      <c r="BA152" s="980"/>
      <c r="BB152" s="553">
        <v>45178</v>
      </c>
      <c r="BC152" s="247">
        <v>44901</v>
      </c>
      <c r="BD152" s="980"/>
      <c r="JS152" s="5"/>
    </row>
    <row r="153" spans="1:279" s="1" customFormat="1">
      <c r="A153" s="1077"/>
      <c r="B153" s="1084"/>
      <c r="C153" s="130" t="s">
        <v>129</v>
      </c>
      <c r="D153" s="188">
        <v>20</v>
      </c>
      <c r="E153" s="264">
        <v>20</v>
      </c>
      <c r="F153" s="255"/>
      <c r="G153" s="188">
        <v>20</v>
      </c>
      <c r="H153" s="154">
        <v>20</v>
      </c>
      <c r="I153" s="278">
        <v>0</v>
      </c>
      <c r="J153" s="279"/>
      <c r="K153" s="278">
        <v>20</v>
      </c>
      <c r="L153" s="279"/>
      <c r="M153" s="278">
        <v>20</v>
      </c>
      <c r="N153" s="279"/>
      <c r="O153" s="278">
        <v>20</v>
      </c>
      <c r="P153" s="279"/>
      <c r="Q153" s="278">
        <v>20</v>
      </c>
      <c r="R153" s="279"/>
      <c r="S153" s="392">
        <v>20</v>
      </c>
      <c r="T153" s="75"/>
      <c r="U153" s="400"/>
      <c r="V153" s="392">
        <v>20</v>
      </c>
      <c r="W153" s="109"/>
      <c r="X153" s="336">
        <v>20</v>
      </c>
      <c r="Y153" s="392">
        <v>20</v>
      </c>
      <c r="Z153" s="260">
        <v>20</v>
      </c>
      <c r="AA153" s="278"/>
      <c r="AB153" s="260">
        <v>20</v>
      </c>
      <c r="AC153" s="392">
        <v>20</v>
      </c>
      <c r="AD153" s="279"/>
      <c r="AE153" s="392">
        <v>20</v>
      </c>
      <c r="AF153" s="980"/>
      <c r="AG153" s="392">
        <v>20</v>
      </c>
      <c r="AH153" s="980"/>
      <c r="AI153" s="392">
        <v>20</v>
      </c>
      <c r="AJ153" s="980"/>
      <c r="AK153" s="1069"/>
      <c r="AL153" s="260">
        <v>20</v>
      </c>
      <c r="AM153" s="392">
        <v>20</v>
      </c>
      <c r="AN153" s="980"/>
      <c r="AO153" s="336">
        <v>20</v>
      </c>
      <c r="AP153" s="392">
        <v>20</v>
      </c>
      <c r="AQ153" s="980"/>
      <c r="AR153" s="278">
        <v>20</v>
      </c>
      <c r="AS153" s="122"/>
      <c r="AT153" s="279"/>
      <c r="AU153" s="278"/>
      <c r="AV153" s="279">
        <v>20</v>
      </c>
      <c r="AW153" s="142">
        <v>20</v>
      </c>
      <c r="AX153" s="392">
        <v>20</v>
      </c>
      <c r="AY153" s="279"/>
      <c r="AZ153" s="126">
        <v>20</v>
      </c>
      <c r="BA153" s="980"/>
      <c r="BB153" s="319">
        <v>20</v>
      </c>
      <c r="BC153" s="392">
        <v>20</v>
      </c>
      <c r="BD153" s="980"/>
      <c r="JS153" s="5"/>
    </row>
    <row r="154" spans="1:279" s="1" customFormat="1">
      <c r="A154" s="1077"/>
      <c r="B154" s="1084"/>
      <c r="C154" s="130" t="s">
        <v>120</v>
      </c>
      <c r="D154" s="189" t="s">
        <v>875</v>
      </c>
      <c r="E154" s="264">
        <v>10</v>
      </c>
      <c r="F154" s="255"/>
      <c r="G154" s="251" t="s">
        <v>876</v>
      </c>
      <c r="H154" s="154" t="s">
        <v>813</v>
      </c>
      <c r="I154" s="278" t="s">
        <v>1504</v>
      </c>
      <c r="J154" s="279"/>
      <c r="K154" s="278" t="s">
        <v>1505</v>
      </c>
      <c r="L154" s="279"/>
      <c r="M154" s="278" t="s">
        <v>813</v>
      </c>
      <c r="N154" s="279"/>
      <c r="O154" s="278" t="s">
        <v>868</v>
      </c>
      <c r="P154" s="279"/>
      <c r="Q154" s="278">
        <v>10</v>
      </c>
      <c r="R154" s="279"/>
      <c r="S154" s="278" t="s">
        <v>1365</v>
      </c>
      <c r="T154" s="109"/>
      <c r="U154" s="400"/>
      <c r="V154" s="278">
        <v>17</v>
      </c>
      <c r="W154" s="109"/>
      <c r="X154" s="154">
        <v>16</v>
      </c>
      <c r="Y154" s="278">
        <v>17</v>
      </c>
      <c r="Z154" s="279">
        <v>16</v>
      </c>
      <c r="AA154" s="278"/>
      <c r="AB154" s="279" t="s">
        <v>971</v>
      </c>
      <c r="AC154" s="278" t="s">
        <v>1037</v>
      </c>
      <c r="AD154" s="279"/>
      <c r="AE154" s="278">
        <v>10</v>
      </c>
      <c r="AF154" s="980"/>
      <c r="AG154" s="278">
        <v>12</v>
      </c>
      <c r="AH154" s="980"/>
      <c r="AI154" s="278">
        <v>16</v>
      </c>
      <c r="AJ154" s="980"/>
      <c r="AK154" s="1069"/>
      <c r="AL154" s="279">
        <v>12</v>
      </c>
      <c r="AM154" s="278">
        <v>14</v>
      </c>
      <c r="AN154" s="980"/>
      <c r="AO154" s="154">
        <v>18</v>
      </c>
      <c r="AP154" s="278">
        <v>26</v>
      </c>
      <c r="AQ154" s="980"/>
      <c r="AR154" s="278" t="s">
        <v>868</v>
      </c>
      <c r="AS154" s="122"/>
      <c r="AT154" s="279"/>
      <c r="AU154" s="278"/>
      <c r="AV154" s="279" t="s">
        <v>1613</v>
      </c>
      <c r="AW154" s="143" t="s">
        <v>813</v>
      </c>
      <c r="AX154" s="278" t="s">
        <v>1145</v>
      </c>
      <c r="AY154" s="279"/>
      <c r="AZ154" s="253">
        <v>9</v>
      </c>
      <c r="BA154" s="980"/>
      <c r="BB154" s="252" t="s">
        <v>1037</v>
      </c>
      <c r="BC154" s="278">
        <v>10</v>
      </c>
      <c r="BD154" s="980"/>
      <c r="JS154" s="5"/>
    </row>
    <row r="155" spans="1:279" s="1" customFormat="1">
      <c r="A155" s="1077"/>
      <c r="B155" s="1084"/>
      <c r="C155" s="130" t="s">
        <v>44</v>
      </c>
      <c r="D155" s="199">
        <v>44869</v>
      </c>
      <c r="E155" s="265">
        <v>44868</v>
      </c>
      <c r="F155" s="263"/>
      <c r="G155" s="199">
        <v>44869</v>
      </c>
      <c r="H155" s="337">
        <v>44869</v>
      </c>
      <c r="I155" s="265">
        <v>44868</v>
      </c>
      <c r="J155" s="263"/>
      <c r="K155" s="265">
        <v>44869</v>
      </c>
      <c r="L155" s="263"/>
      <c r="M155" s="265">
        <v>44869</v>
      </c>
      <c r="N155" s="263"/>
      <c r="O155" s="265">
        <v>44869</v>
      </c>
      <c r="P155" s="263"/>
      <c r="Q155" s="265">
        <v>44869</v>
      </c>
      <c r="R155" s="263"/>
      <c r="S155" s="265">
        <v>44891</v>
      </c>
      <c r="T155" s="76"/>
      <c r="U155" s="400"/>
      <c r="V155" s="265">
        <v>44867</v>
      </c>
      <c r="W155" s="76"/>
      <c r="X155" s="149">
        <v>44867</v>
      </c>
      <c r="Y155" s="265">
        <v>44867</v>
      </c>
      <c r="Z155" s="263">
        <v>44869</v>
      </c>
      <c r="AA155" s="265"/>
      <c r="AB155" s="263">
        <v>44869</v>
      </c>
      <c r="AC155" s="265">
        <v>44868</v>
      </c>
      <c r="AD155" s="263"/>
      <c r="AE155" s="265" t="s">
        <v>383</v>
      </c>
      <c r="AF155" s="980"/>
      <c r="AG155" s="265" t="s">
        <v>450</v>
      </c>
      <c r="AH155" s="980"/>
      <c r="AI155" s="247" t="s">
        <v>355</v>
      </c>
      <c r="AJ155" s="980"/>
      <c r="AK155" s="1069"/>
      <c r="AL155" s="357" t="s">
        <v>355</v>
      </c>
      <c r="AM155" s="247" t="s">
        <v>573</v>
      </c>
      <c r="AN155" s="980"/>
      <c r="AO155" s="149">
        <v>44869</v>
      </c>
      <c r="AP155" s="247" t="s">
        <v>573</v>
      </c>
      <c r="AQ155" s="980"/>
      <c r="AR155" s="265">
        <v>44869</v>
      </c>
      <c r="AS155" s="43"/>
      <c r="AT155" s="263"/>
      <c r="AU155" s="265"/>
      <c r="AV155" s="263">
        <v>44866</v>
      </c>
      <c r="AW155" s="149">
        <v>44868</v>
      </c>
      <c r="AX155" s="265">
        <v>44869</v>
      </c>
      <c r="AY155" s="263"/>
      <c r="AZ155" s="265" t="s">
        <v>450</v>
      </c>
      <c r="BA155" s="980"/>
      <c r="BB155" s="553">
        <v>44869</v>
      </c>
      <c r="BC155" s="247" t="s">
        <v>736</v>
      </c>
      <c r="BD155" s="980"/>
      <c r="JS155" s="5"/>
    </row>
    <row r="156" spans="1:279" s="1" customFormat="1">
      <c r="A156" s="1077"/>
      <c r="B156" s="1084"/>
      <c r="C156" s="130" t="s">
        <v>85</v>
      </c>
      <c r="D156" s="208" t="s">
        <v>175</v>
      </c>
      <c r="E156" s="266" t="s">
        <v>175</v>
      </c>
      <c r="F156" s="267"/>
      <c r="G156" s="208" t="s">
        <v>175</v>
      </c>
      <c r="H156" s="338" t="s">
        <v>175</v>
      </c>
      <c r="I156" s="266" t="s">
        <v>177</v>
      </c>
      <c r="J156" s="267"/>
      <c r="K156" s="266" t="s">
        <v>177</v>
      </c>
      <c r="L156" s="267"/>
      <c r="M156" s="266" t="s">
        <v>177</v>
      </c>
      <c r="N156" s="267"/>
      <c r="O156" s="266" t="s">
        <v>175</v>
      </c>
      <c r="P156" s="267"/>
      <c r="Q156" s="374" t="s">
        <v>175</v>
      </c>
      <c r="R156" s="375"/>
      <c r="S156" s="374" t="s">
        <v>1360</v>
      </c>
      <c r="T156" s="78"/>
      <c r="U156" s="400"/>
      <c r="V156" s="374" t="s">
        <v>175</v>
      </c>
      <c r="W156" s="78"/>
      <c r="X156" s="154" t="s">
        <v>175</v>
      </c>
      <c r="Y156" s="374" t="s">
        <v>175</v>
      </c>
      <c r="Z156" s="375" t="s">
        <v>264</v>
      </c>
      <c r="AA156" s="374"/>
      <c r="AB156" s="375" t="s">
        <v>972</v>
      </c>
      <c r="AC156" s="374" t="s">
        <v>966</v>
      </c>
      <c r="AD156" s="375"/>
      <c r="AE156" s="266" t="s">
        <v>175</v>
      </c>
      <c r="AF156" s="980"/>
      <c r="AG156" s="266" t="s">
        <v>175</v>
      </c>
      <c r="AH156" s="980"/>
      <c r="AI156" s="278" t="s">
        <v>175</v>
      </c>
      <c r="AJ156" s="980"/>
      <c r="AK156" s="1069"/>
      <c r="AL156" s="279" t="s">
        <v>175</v>
      </c>
      <c r="AM156" s="278" t="s">
        <v>175</v>
      </c>
      <c r="AN156" s="980"/>
      <c r="AO156" s="154" t="s">
        <v>175</v>
      </c>
      <c r="AP156" s="278" t="s">
        <v>175</v>
      </c>
      <c r="AQ156" s="980"/>
      <c r="AR156" s="266" t="s">
        <v>175</v>
      </c>
      <c r="AS156" s="45"/>
      <c r="AT156" s="267"/>
      <c r="AU156" s="266"/>
      <c r="AV156" s="267" t="s">
        <v>175</v>
      </c>
      <c r="AW156" s="158" t="s">
        <v>814</v>
      </c>
      <c r="AX156" s="374" t="s">
        <v>966</v>
      </c>
      <c r="AY156" s="375"/>
      <c r="AZ156" s="247" t="s">
        <v>288</v>
      </c>
      <c r="BA156" s="980"/>
      <c r="BB156" s="562" t="s">
        <v>966</v>
      </c>
      <c r="BC156" s="278" t="s">
        <v>175</v>
      </c>
      <c r="BD156" s="980"/>
      <c r="JS156" s="5"/>
    </row>
    <row r="157" spans="1:279" s="1" customFormat="1" ht="24.75">
      <c r="A157" s="1077"/>
      <c r="B157" s="1084"/>
      <c r="C157" s="130" t="s">
        <v>226</v>
      </c>
      <c r="D157" s="189" t="s">
        <v>869</v>
      </c>
      <c r="E157" s="264" t="s">
        <v>192</v>
      </c>
      <c r="F157" s="255"/>
      <c r="G157" s="251" t="s">
        <v>869</v>
      </c>
      <c r="H157" s="154" t="s">
        <v>192</v>
      </c>
      <c r="I157" s="253" t="s">
        <v>1494</v>
      </c>
      <c r="J157" s="279"/>
      <c r="K157" s="253" t="s">
        <v>1494</v>
      </c>
      <c r="L157" s="279"/>
      <c r="M157" s="253" t="s">
        <v>1494</v>
      </c>
      <c r="N157" s="279"/>
      <c r="O157" s="253" t="s">
        <v>1545</v>
      </c>
      <c r="P157" s="279"/>
      <c r="Q157" s="278" t="s">
        <v>192</v>
      </c>
      <c r="R157" s="279"/>
      <c r="S157" s="393" t="s">
        <v>1361</v>
      </c>
      <c r="T157" s="109"/>
      <c r="U157" s="400"/>
      <c r="V157" s="278" t="s">
        <v>192</v>
      </c>
      <c r="W157" s="109"/>
      <c r="X157" s="145" t="s">
        <v>756</v>
      </c>
      <c r="Y157" s="278" t="s">
        <v>192</v>
      </c>
      <c r="Z157" s="279" t="s">
        <v>1240</v>
      </c>
      <c r="AA157" s="278"/>
      <c r="AB157" s="279" t="s">
        <v>926</v>
      </c>
      <c r="AC157" s="278" t="s">
        <v>1085</v>
      </c>
      <c r="AD157" s="279"/>
      <c r="AE157" s="276" t="s">
        <v>379</v>
      </c>
      <c r="AF157" s="980"/>
      <c r="AG157" s="393" t="s">
        <v>446</v>
      </c>
      <c r="AH157" s="980"/>
      <c r="AI157" s="253" t="s">
        <v>461</v>
      </c>
      <c r="AJ157" s="980"/>
      <c r="AK157" s="1069"/>
      <c r="AL157" s="254" t="s">
        <v>508</v>
      </c>
      <c r="AM157" s="253" t="s">
        <v>550</v>
      </c>
      <c r="AN157" s="980"/>
      <c r="AO157" s="145" t="s">
        <v>897</v>
      </c>
      <c r="AP157" s="253" t="s">
        <v>608</v>
      </c>
      <c r="AQ157" s="980"/>
      <c r="AR157" s="253" t="s">
        <v>192</v>
      </c>
      <c r="AS157" s="122"/>
      <c r="AT157" s="279"/>
      <c r="AU157" s="253"/>
      <c r="AV157" s="279" t="s">
        <v>1607</v>
      </c>
      <c r="AW157" s="158" t="s">
        <v>789</v>
      </c>
      <c r="AX157" s="278" t="s">
        <v>1141</v>
      </c>
      <c r="AY157" s="279"/>
      <c r="AZ157" s="253" t="s">
        <v>687</v>
      </c>
      <c r="BA157" s="980"/>
      <c r="BB157" s="252" t="s">
        <v>1034</v>
      </c>
      <c r="BC157" s="253" t="s">
        <v>737</v>
      </c>
      <c r="BD157" s="980"/>
      <c r="JS157" s="5"/>
    </row>
    <row r="158" spans="1:279" s="1" customFormat="1">
      <c r="A158" s="1077"/>
      <c r="B158" s="1084"/>
      <c r="C158" s="130" t="s">
        <v>130</v>
      </c>
      <c r="D158" s="209">
        <v>20</v>
      </c>
      <c r="E158" s="268">
        <v>20</v>
      </c>
      <c r="F158" s="269"/>
      <c r="G158" s="209">
        <v>20</v>
      </c>
      <c r="H158" s="159">
        <v>20</v>
      </c>
      <c r="I158" s="268">
        <v>20</v>
      </c>
      <c r="J158" s="269"/>
      <c r="K158" s="268">
        <v>20</v>
      </c>
      <c r="L158" s="269"/>
      <c r="M158" s="268">
        <v>20</v>
      </c>
      <c r="N158" s="269"/>
      <c r="O158" s="268">
        <v>20</v>
      </c>
      <c r="P158" s="269"/>
      <c r="Q158" s="376">
        <v>20</v>
      </c>
      <c r="R158" s="377"/>
      <c r="S158" s="376">
        <v>20</v>
      </c>
      <c r="T158" s="79"/>
      <c r="U158" s="400"/>
      <c r="V158" s="376">
        <v>20</v>
      </c>
      <c r="W158" s="79"/>
      <c r="X158" s="142">
        <v>20</v>
      </c>
      <c r="Y158" s="376">
        <v>20</v>
      </c>
      <c r="Z158" s="377">
        <v>20</v>
      </c>
      <c r="AA158" s="376"/>
      <c r="AB158" s="377">
        <v>20</v>
      </c>
      <c r="AC158" s="376">
        <v>20</v>
      </c>
      <c r="AD158" s="377"/>
      <c r="AE158" s="268">
        <v>20</v>
      </c>
      <c r="AF158" s="980"/>
      <c r="AG158" s="268">
        <v>20</v>
      </c>
      <c r="AH158" s="980"/>
      <c r="AI158" s="126">
        <v>20</v>
      </c>
      <c r="AJ158" s="980"/>
      <c r="AK158" s="1069"/>
      <c r="AL158" s="293">
        <v>20</v>
      </c>
      <c r="AM158" s="126">
        <v>0</v>
      </c>
      <c r="AN158" s="980"/>
      <c r="AO158" s="142">
        <v>20</v>
      </c>
      <c r="AP158" s="126">
        <v>20</v>
      </c>
      <c r="AQ158" s="980"/>
      <c r="AR158" s="268">
        <v>20</v>
      </c>
      <c r="AS158" s="31"/>
      <c r="AT158" s="269"/>
      <c r="AU158" s="268"/>
      <c r="AV158" s="269">
        <v>20</v>
      </c>
      <c r="AW158" s="159">
        <v>20</v>
      </c>
      <c r="AX158" s="376">
        <v>20</v>
      </c>
      <c r="AY158" s="377"/>
      <c r="AZ158" s="126">
        <v>20</v>
      </c>
      <c r="BA158" s="980"/>
      <c r="BB158" s="563">
        <v>20</v>
      </c>
      <c r="BC158" s="126">
        <v>20</v>
      </c>
      <c r="BD158" s="980"/>
      <c r="JS158" s="5"/>
    </row>
    <row r="159" spans="1:279" s="1" customFormat="1">
      <c r="A159" s="1077"/>
      <c r="B159" s="1084"/>
      <c r="C159" s="130" t="s">
        <v>46</v>
      </c>
      <c r="D159" s="189" t="s">
        <v>175</v>
      </c>
      <c r="E159" s="245" t="s">
        <v>175</v>
      </c>
      <c r="F159" s="250"/>
      <c r="G159" s="251" t="s">
        <v>175</v>
      </c>
      <c r="H159" s="143" t="s">
        <v>175</v>
      </c>
      <c r="I159" s="253" t="s">
        <v>175</v>
      </c>
      <c r="J159" s="254"/>
      <c r="K159" s="253" t="s">
        <v>175</v>
      </c>
      <c r="L159" s="254"/>
      <c r="M159" s="253" t="s">
        <v>175</v>
      </c>
      <c r="N159" s="254"/>
      <c r="O159" s="253" t="s">
        <v>175</v>
      </c>
      <c r="P159" s="254"/>
      <c r="Q159" s="253" t="s">
        <v>175</v>
      </c>
      <c r="R159" s="254"/>
      <c r="S159" s="253" t="s">
        <v>264</v>
      </c>
      <c r="T159" s="113"/>
      <c r="U159" s="400"/>
      <c r="V159" s="253" t="s">
        <v>175</v>
      </c>
      <c r="W159" s="113"/>
      <c r="X159" s="143" t="s">
        <v>78</v>
      </c>
      <c r="Y159" s="253"/>
      <c r="Z159" s="254" t="s">
        <v>863</v>
      </c>
      <c r="AA159" s="253"/>
      <c r="AB159" s="254" t="s">
        <v>264</v>
      </c>
      <c r="AC159" s="253" t="s">
        <v>264</v>
      </c>
      <c r="AD159" s="254"/>
      <c r="AE159" s="253" t="s">
        <v>175</v>
      </c>
      <c r="AF159" s="980"/>
      <c r="AG159" s="253" t="s">
        <v>175</v>
      </c>
      <c r="AH159" s="980"/>
      <c r="AI159" s="253" t="s">
        <v>78</v>
      </c>
      <c r="AJ159" s="980"/>
      <c r="AK159" s="1069"/>
      <c r="AL159" s="254" t="s">
        <v>78</v>
      </c>
      <c r="AM159" s="253" t="s">
        <v>78</v>
      </c>
      <c r="AN159" s="980"/>
      <c r="AO159" s="143" t="s">
        <v>78</v>
      </c>
      <c r="AP159" s="253" t="s">
        <v>78</v>
      </c>
      <c r="AQ159" s="980"/>
      <c r="AR159" s="253" t="s">
        <v>175</v>
      </c>
      <c r="AS159" s="117"/>
      <c r="AT159" s="254"/>
      <c r="AU159" s="253"/>
      <c r="AV159" s="254" t="s">
        <v>175</v>
      </c>
      <c r="AW159" s="143" t="s">
        <v>175</v>
      </c>
      <c r="AX159" s="253" t="s">
        <v>264</v>
      </c>
      <c r="AY159" s="254"/>
      <c r="AZ159" s="253" t="s">
        <v>78</v>
      </c>
      <c r="BA159" s="980"/>
      <c r="BB159" s="252" t="s">
        <v>264</v>
      </c>
      <c r="BC159" s="253" t="s">
        <v>78</v>
      </c>
      <c r="BD159" s="980"/>
      <c r="JS159" s="5"/>
    </row>
    <row r="160" spans="1:279" s="1" customFormat="1" ht="24">
      <c r="A160" s="1077"/>
      <c r="B160" s="1084"/>
      <c r="C160" s="130" t="s">
        <v>47</v>
      </c>
      <c r="D160" s="189" t="s">
        <v>870</v>
      </c>
      <c r="E160" s="245" t="s">
        <v>290</v>
      </c>
      <c r="F160" s="250"/>
      <c r="G160" s="251" t="s">
        <v>447</v>
      </c>
      <c r="H160" s="143" t="s">
        <v>1419</v>
      </c>
      <c r="I160" s="253" t="s">
        <v>380</v>
      </c>
      <c r="J160" s="254"/>
      <c r="K160" s="253" t="s">
        <v>1495</v>
      </c>
      <c r="L160" s="254"/>
      <c r="M160" s="253" t="s">
        <v>1506</v>
      </c>
      <c r="N160" s="254"/>
      <c r="O160" s="253" t="s">
        <v>291</v>
      </c>
      <c r="P160" s="254"/>
      <c r="Q160" s="253" t="s">
        <v>1309</v>
      </c>
      <c r="R160" s="254"/>
      <c r="S160" s="253" t="s">
        <v>1366</v>
      </c>
      <c r="T160" s="113"/>
      <c r="U160" s="400"/>
      <c r="V160" s="253" t="s">
        <v>1204</v>
      </c>
      <c r="W160" s="113"/>
      <c r="X160" s="143" t="s">
        <v>777</v>
      </c>
      <c r="Y160" s="253" t="s">
        <v>1204</v>
      </c>
      <c r="Z160" s="254" t="s">
        <v>1264</v>
      </c>
      <c r="AA160" s="253"/>
      <c r="AB160" s="254" t="s">
        <v>967</v>
      </c>
      <c r="AC160" s="253" t="s">
        <v>973</v>
      </c>
      <c r="AD160" s="254"/>
      <c r="AE160" s="253" t="s">
        <v>380</v>
      </c>
      <c r="AF160" s="980"/>
      <c r="AG160" s="253" t="s">
        <v>447</v>
      </c>
      <c r="AH160" s="980"/>
      <c r="AI160" s="253" t="s">
        <v>493</v>
      </c>
      <c r="AJ160" s="980"/>
      <c r="AK160" s="1069"/>
      <c r="AL160" s="254" t="s">
        <v>536</v>
      </c>
      <c r="AM160" s="253" t="s">
        <v>593</v>
      </c>
      <c r="AN160" s="980"/>
      <c r="AO160" s="143" t="s">
        <v>447</v>
      </c>
      <c r="AP160" s="253" t="s">
        <v>637</v>
      </c>
      <c r="AQ160" s="980"/>
      <c r="AR160" s="253" t="s">
        <v>637</v>
      </c>
      <c r="AS160" s="117"/>
      <c r="AT160" s="254"/>
      <c r="AU160" s="253"/>
      <c r="AV160" s="254" t="s">
        <v>1608</v>
      </c>
      <c r="AW160" s="143" t="s">
        <v>593</v>
      </c>
      <c r="AX160" s="253" t="s">
        <v>968</v>
      </c>
      <c r="AY160" s="254"/>
      <c r="AZ160" s="253" t="s">
        <v>688</v>
      </c>
      <c r="BA160" s="980"/>
      <c r="BB160" s="252" t="s">
        <v>973</v>
      </c>
      <c r="BC160" s="253" t="s">
        <v>688</v>
      </c>
      <c r="BD160" s="980"/>
      <c r="JS160" s="5"/>
    </row>
    <row r="161" spans="1:279" s="1" customFormat="1" ht="15.75" thickBot="1">
      <c r="A161" s="1077"/>
      <c r="B161" s="1084"/>
      <c r="C161" s="130" t="s">
        <v>131</v>
      </c>
      <c r="D161" s="210">
        <v>20</v>
      </c>
      <c r="E161" s="264">
        <v>20</v>
      </c>
      <c r="F161" s="255"/>
      <c r="G161" s="188">
        <v>20</v>
      </c>
      <c r="H161" s="154">
        <v>20</v>
      </c>
      <c r="I161" s="278">
        <v>20</v>
      </c>
      <c r="J161" s="279"/>
      <c r="K161" s="278">
        <v>20</v>
      </c>
      <c r="L161" s="279"/>
      <c r="M161" s="278">
        <v>20</v>
      </c>
      <c r="N161" s="279"/>
      <c r="O161" s="278">
        <v>20</v>
      </c>
      <c r="P161" s="279"/>
      <c r="Q161" s="278">
        <v>20</v>
      </c>
      <c r="R161" s="279"/>
      <c r="S161" s="392">
        <v>20</v>
      </c>
      <c r="T161" s="75"/>
      <c r="U161" s="400"/>
      <c r="V161" s="392">
        <v>20</v>
      </c>
      <c r="W161" s="109"/>
      <c r="X161" s="154">
        <v>20</v>
      </c>
      <c r="Y161" s="392">
        <v>20</v>
      </c>
      <c r="Z161" s="260">
        <v>20</v>
      </c>
      <c r="AA161" s="278"/>
      <c r="AB161" s="260">
        <v>20</v>
      </c>
      <c r="AC161" s="392">
        <v>20</v>
      </c>
      <c r="AD161" s="260"/>
      <c r="AE161" s="278">
        <v>20</v>
      </c>
      <c r="AF161" s="980"/>
      <c r="AG161" s="278">
        <v>20</v>
      </c>
      <c r="AH161" s="980"/>
      <c r="AI161" s="278">
        <v>20</v>
      </c>
      <c r="AJ161" s="980"/>
      <c r="AK161" s="1069"/>
      <c r="AL161" s="279">
        <v>20</v>
      </c>
      <c r="AM161" s="278">
        <v>20</v>
      </c>
      <c r="AN161" s="980"/>
      <c r="AO161" s="154">
        <v>20</v>
      </c>
      <c r="AP161" s="278">
        <v>20</v>
      </c>
      <c r="AQ161" s="980"/>
      <c r="AR161" s="278">
        <v>20</v>
      </c>
      <c r="AS161" s="122"/>
      <c r="AT161" s="279"/>
      <c r="AU161" s="278"/>
      <c r="AV161" s="279">
        <v>20</v>
      </c>
      <c r="AW161" s="142">
        <v>20</v>
      </c>
      <c r="AX161" s="392">
        <v>20</v>
      </c>
      <c r="AY161" s="260"/>
      <c r="AZ161" s="126">
        <v>20</v>
      </c>
      <c r="BA161" s="980"/>
      <c r="BB161" s="319">
        <v>20</v>
      </c>
      <c r="BC161" s="278">
        <v>20</v>
      </c>
      <c r="BD161" s="980"/>
      <c r="JS161" s="5"/>
    </row>
    <row r="162" spans="1:279" s="1" customFormat="1" ht="24.75" thickBot="1">
      <c r="A162" s="1077"/>
      <c r="B162" s="1084"/>
      <c r="C162" s="130" t="s">
        <v>48</v>
      </c>
      <c r="D162" s="211" t="s">
        <v>175</v>
      </c>
      <c r="E162" s="264" t="s">
        <v>175</v>
      </c>
      <c r="F162" s="255"/>
      <c r="G162" s="251" t="s">
        <v>175</v>
      </c>
      <c r="H162" s="154" t="s">
        <v>175</v>
      </c>
      <c r="I162" s="278" t="s">
        <v>175</v>
      </c>
      <c r="J162" s="279"/>
      <c r="K162" s="278" t="s">
        <v>175</v>
      </c>
      <c r="L162" s="279"/>
      <c r="M162" s="278" t="s">
        <v>175</v>
      </c>
      <c r="N162" s="279"/>
      <c r="O162" s="278" t="s">
        <v>175</v>
      </c>
      <c r="P162" s="279"/>
      <c r="Q162" s="278" t="s">
        <v>175</v>
      </c>
      <c r="R162" s="279"/>
      <c r="S162" s="278" t="s">
        <v>264</v>
      </c>
      <c r="T162" s="109"/>
      <c r="U162" s="400"/>
      <c r="V162" s="278" t="s">
        <v>175</v>
      </c>
      <c r="W162" s="109"/>
      <c r="X162" s="154" t="s">
        <v>78</v>
      </c>
      <c r="Y162" s="278" t="s">
        <v>175</v>
      </c>
      <c r="Z162" s="279" t="s">
        <v>863</v>
      </c>
      <c r="AA162" s="278"/>
      <c r="AB162" s="279" t="s">
        <v>264</v>
      </c>
      <c r="AC162" s="278" t="s">
        <v>264</v>
      </c>
      <c r="AD162" s="279"/>
      <c r="AE162" s="278" t="s">
        <v>175</v>
      </c>
      <c r="AF162" s="980"/>
      <c r="AG162" s="278" t="s">
        <v>175</v>
      </c>
      <c r="AH162" s="980"/>
      <c r="AI162" s="278" t="s">
        <v>78</v>
      </c>
      <c r="AJ162" s="980"/>
      <c r="AK162" s="1069"/>
      <c r="AL162" s="279" t="s">
        <v>78</v>
      </c>
      <c r="AM162" s="278" t="s">
        <v>78</v>
      </c>
      <c r="AN162" s="980"/>
      <c r="AO162" s="154" t="s">
        <v>78</v>
      </c>
      <c r="AP162" s="278" t="s">
        <v>78</v>
      </c>
      <c r="AQ162" s="980"/>
      <c r="AR162" s="278" t="s">
        <v>175</v>
      </c>
      <c r="AS162" s="122"/>
      <c r="AT162" s="279"/>
      <c r="AU162" s="278"/>
      <c r="AV162" s="279" t="s">
        <v>175</v>
      </c>
      <c r="AW162" s="143" t="s">
        <v>175</v>
      </c>
      <c r="AX162" s="278" t="s">
        <v>264</v>
      </c>
      <c r="AY162" s="279"/>
      <c r="AZ162" s="253" t="s">
        <v>78</v>
      </c>
      <c r="BA162" s="980"/>
      <c r="BB162" s="252" t="s">
        <v>264</v>
      </c>
      <c r="BC162" s="278" t="s">
        <v>78</v>
      </c>
      <c r="BD162" s="980"/>
      <c r="JS162" s="5"/>
    </row>
    <row r="163" spans="1:279" s="1" customFormat="1" ht="24">
      <c r="A163" s="1077"/>
      <c r="B163" s="1084"/>
      <c r="C163" s="130" t="s">
        <v>47</v>
      </c>
      <c r="D163" s="212" t="s">
        <v>877</v>
      </c>
      <c r="E163" s="245" t="s">
        <v>290</v>
      </c>
      <c r="F163" s="250"/>
      <c r="G163" s="251" t="s">
        <v>447</v>
      </c>
      <c r="H163" s="143" t="s">
        <v>1419</v>
      </c>
      <c r="I163" s="253" t="s">
        <v>1495</v>
      </c>
      <c r="J163" s="254"/>
      <c r="K163" s="253" t="s">
        <v>1495</v>
      </c>
      <c r="L163" s="254"/>
      <c r="M163" s="253" t="s">
        <v>291</v>
      </c>
      <c r="N163" s="254"/>
      <c r="O163" s="253" t="s">
        <v>291</v>
      </c>
      <c r="P163" s="254"/>
      <c r="Q163" s="253" t="s">
        <v>1309</v>
      </c>
      <c r="R163" s="254"/>
      <c r="S163" s="253" t="s">
        <v>1366</v>
      </c>
      <c r="T163" s="113"/>
      <c r="U163" s="400"/>
      <c r="V163" s="253" t="s">
        <v>1201</v>
      </c>
      <c r="W163" s="113"/>
      <c r="X163" s="143" t="s">
        <v>777</v>
      </c>
      <c r="Y163" s="253" t="s">
        <v>1201</v>
      </c>
      <c r="Z163" s="254" t="s">
        <v>1264</v>
      </c>
      <c r="AA163" s="253"/>
      <c r="AB163" s="254" t="s">
        <v>973</v>
      </c>
      <c r="AC163" s="253" t="s">
        <v>973</v>
      </c>
      <c r="AD163" s="254"/>
      <c r="AE163" s="253" t="s">
        <v>380</v>
      </c>
      <c r="AF163" s="980"/>
      <c r="AG163" s="253" t="s">
        <v>447</v>
      </c>
      <c r="AH163" s="980"/>
      <c r="AI163" s="253" t="s">
        <v>494</v>
      </c>
      <c r="AJ163" s="980"/>
      <c r="AK163" s="1069"/>
      <c r="AL163" s="254" t="s">
        <v>536</v>
      </c>
      <c r="AM163" s="253" t="s">
        <v>291</v>
      </c>
      <c r="AN163" s="980"/>
      <c r="AO163" s="143" t="s">
        <v>447</v>
      </c>
      <c r="AP163" s="253" t="s">
        <v>638</v>
      </c>
      <c r="AQ163" s="980"/>
      <c r="AR163" s="253" t="s">
        <v>380</v>
      </c>
      <c r="AS163" s="117"/>
      <c r="AT163" s="254"/>
      <c r="AU163" s="253"/>
      <c r="AV163" s="254" t="s">
        <v>1608</v>
      </c>
      <c r="AW163" s="143" t="s">
        <v>818</v>
      </c>
      <c r="AX163" s="253" t="s">
        <v>968</v>
      </c>
      <c r="AY163" s="254"/>
      <c r="AZ163" s="253" t="s">
        <v>447</v>
      </c>
      <c r="BA163" s="980"/>
      <c r="BB163" s="252" t="s">
        <v>973</v>
      </c>
      <c r="BC163" s="253" t="s">
        <v>738</v>
      </c>
      <c r="BD163" s="980"/>
      <c r="JS163" s="5"/>
    </row>
    <row r="164" spans="1:279" s="1" customFormat="1">
      <c r="A164" s="1077"/>
      <c r="B164" s="1084"/>
      <c r="C164" s="130" t="s">
        <v>132</v>
      </c>
      <c r="D164" s="188">
        <v>20</v>
      </c>
      <c r="E164" s="264">
        <v>20</v>
      </c>
      <c r="F164" s="255"/>
      <c r="G164" s="188">
        <v>20</v>
      </c>
      <c r="H164" s="154">
        <v>20</v>
      </c>
      <c r="I164" s="278">
        <v>20</v>
      </c>
      <c r="J164" s="279"/>
      <c r="K164" s="278">
        <v>20</v>
      </c>
      <c r="L164" s="279"/>
      <c r="M164" s="278">
        <v>20</v>
      </c>
      <c r="N164" s="279"/>
      <c r="O164" s="278">
        <v>20</v>
      </c>
      <c r="P164" s="279"/>
      <c r="Q164" s="278">
        <v>20</v>
      </c>
      <c r="R164" s="279"/>
      <c r="S164" s="392">
        <v>20</v>
      </c>
      <c r="T164" s="75"/>
      <c r="U164" s="400"/>
      <c r="V164" s="392">
        <v>20</v>
      </c>
      <c r="W164" s="109"/>
      <c r="X164" s="154">
        <v>20</v>
      </c>
      <c r="Y164" s="392">
        <v>20</v>
      </c>
      <c r="Z164" s="260">
        <v>20</v>
      </c>
      <c r="AA164" s="278"/>
      <c r="AB164" s="260">
        <v>20</v>
      </c>
      <c r="AC164" s="392">
        <v>20</v>
      </c>
      <c r="AD164" s="260"/>
      <c r="AE164" s="278">
        <v>20</v>
      </c>
      <c r="AF164" s="980"/>
      <c r="AG164" s="278">
        <v>20</v>
      </c>
      <c r="AH164" s="980"/>
      <c r="AI164" s="278">
        <v>20</v>
      </c>
      <c r="AJ164" s="980"/>
      <c r="AK164" s="1069"/>
      <c r="AL164" s="279">
        <v>20</v>
      </c>
      <c r="AM164" s="392">
        <v>20</v>
      </c>
      <c r="AN164" s="980"/>
      <c r="AO164" s="154">
        <v>20</v>
      </c>
      <c r="AP164" s="278">
        <v>20</v>
      </c>
      <c r="AQ164" s="980"/>
      <c r="AR164" s="278">
        <v>20</v>
      </c>
      <c r="AS164" s="122"/>
      <c r="AT164" s="279"/>
      <c r="AU164" s="278"/>
      <c r="AV164" s="279">
        <v>20</v>
      </c>
      <c r="AW164" s="142">
        <v>20</v>
      </c>
      <c r="AX164" s="392">
        <v>20</v>
      </c>
      <c r="AY164" s="260"/>
      <c r="AZ164" s="126">
        <v>20</v>
      </c>
      <c r="BA164" s="980"/>
      <c r="BB164" s="319">
        <v>20</v>
      </c>
      <c r="BC164" s="278">
        <v>20</v>
      </c>
      <c r="BD164" s="980"/>
      <c r="JS164" s="5"/>
    </row>
    <row r="165" spans="1:279" s="1" customFormat="1" ht="36">
      <c r="A165" s="1077"/>
      <c r="B165" s="1084"/>
      <c r="C165" s="130" t="s">
        <v>233</v>
      </c>
      <c r="D165" s="189" t="s">
        <v>175</v>
      </c>
      <c r="E165" s="245" t="s">
        <v>175</v>
      </c>
      <c r="F165" s="255"/>
      <c r="G165" s="251" t="s">
        <v>175</v>
      </c>
      <c r="H165" s="154" t="s">
        <v>175</v>
      </c>
      <c r="I165" s="253" t="s">
        <v>175</v>
      </c>
      <c r="J165" s="279"/>
      <c r="K165" s="253" t="s">
        <v>175</v>
      </c>
      <c r="L165" s="279"/>
      <c r="M165" s="253" t="s">
        <v>175</v>
      </c>
      <c r="N165" s="279"/>
      <c r="O165" s="253" t="s">
        <v>175</v>
      </c>
      <c r="P165" s="279"/>
      <c r="Q165" s="253" t="s">
        <v>175</v>
      </c>
      <c r="R165" s="279"/>
      <c r="S165" s="253" t="s">
        <v>264</v>
      </c>
      <c r="T165" s="109"/>
      <c r="U165" s="400"/>
      <c r="V165" s="253" t="s">
        <v>175</v>
      </c>
      <c r="W165" s="109"/>
      <c r="X165" s="143" t="s">
        <v>78</v>
      </c>
      <c r="Y165" s="253" t="s">
        <v>175</v>
      </c>
      <c r="Z165" s="279" t="s">
        <v>863</v>
      </c>
      <c r="AA165" s="253"/>
      <c r="AB165" s="279" t="s">
        <v>264</v>
      </c>
      <c r="AC165" s="253" t="s">
        <v>264</v>
      </c>
      <c r="AD165" s="279"/>
      <c r="AE165" s="253" t="s">
        <v>175</v>
      </c>
      <c r="AF165" s="980"/>
      <c r="AG165" s="253" t="s">
        <v>175</v>
      </c>
      <c r="AH165" s="980"/>
      <c r="AI165" s="253" t="s">
        <v>78</v>
      </c>
      <c r="AJ165" s="980"/>
      <c r="AK165" s="1069"/>
      <c r="AL165" s="254" t="s">
        <v>78</v>
      </c>
      <c r="AM165" s="253" t="s">
        <v>78</v>
      </c>
      <c r="AN165" s="980"/>
      <c r="AO165" s="143" t="s">
        <v>78</v>
      </c>
      <c r="AP165" s="253" t="s">
        <v>78</v>
      </c>
      <c r="AQ165" s="980"/>
      <c r="AR165" s="253" t="s">
        <v>175</v>
      </c>
      <c r="AS165" s="122"/>
      <c r="AT165" s="279"/>
      <c r="AU165" s="253"/>
      <c r="AV165" s="279" t="s">
        <v>175</v>
      </c>
      <c r="AW165" s="143" t="s">
        <v>175</v>
      </c>
      <c r="AX165" s="253" t="s">
        <v>264</v>
      </c>
      <c r="AY165" s="279"/>
      <c r="AZ165" s="253" t="s">
        <v>78</v>
      </c>
      <c r="BA165" s="980"/>
      <c r="BB165" s="252" t="s">
        <v>264</v>
      </c>
      <c r="BC165" s="253" t="s">
        <v>78</v>
      </c>
      <c r="BD165" s="980"/>
      <c r="JS165" s="5"/>
    </row>
    <row r="166" spans="1:279" s="1" customFormat="1" ht="36">
      <c r="A166" s="1077"/>
      <c r="B166" s="1084"/>
      <c r="C166" s="130" t="s">
        <v>49</v>
      </c>
      <c r="D166" s="189" t="s">
        <v>871</v>
      </c>
      <c r="E166" s="245" t="s">
        <v>291</v>
      </c>
      <c r="F166" s="255"/>
      <c r="G166" s="251" t="s">
        <v>447</v>
      </c>
      <c r="H166" s="154" t="s">
        <v>1423</v>
      </c>
      <c r="I166" s="253" t="s">
        <v>1497</v>
      </c>
      <c r="J166" s="279"/>
      <c r="K166" s="253" t="s">
        <v>1498</v>
      </c>
      <c r="L166" s="279"/>
      <c r="M166" s="253" t="s">
        <v>1499</v>
      </c>
      <c r="N166" s="279"/>
      <c r="O166" s="253" t="s">
        <v>1546</v>
      </c>
      <c r="P166" s="279"/>
      <c r="Q166" s="253" t="s">
        <v>1310</v>
      </c>
      <c r="R166" s="279"/>
      <c r="S166" s="253" t="s">
        <v>1363</v>
      </c>
      <c r="T166" s="109"/>
      <c r="U166" s="400"/>
      <c r="V166" s="253" t="s">
        <v>1201</v>
      </c>
      <c r="W166" s="109"/>
      <c r="X166" s="143" t="s">
        <v>778</v>
      </c>
      <c r="Y166" s="253" t="s">
        <v>1201</v>
      </c>
      <c r="Z166" s="279" t="s">
        <v>1265</v>
      </c>
      <c r="AA166" s="253"/>
      <c r="AB166" s="279" t="s">
        <v>969</v>
      </c>
      <c r="AC166" s="253" t="s">
        <v>1086</v>
      </c>
      <c r="AD166" s="279"/>
      <c r="AE166" s="253" t="s">
        <v>384</v>
      </c>
      <c r="AF166" s="980"/>
      <c r="AG166" s="253" t="s">
        <v>448</v>
      </c>
      <c r="AH166" s="980"/>
      <c r="AI166" s="253" t="s">
        <v>448</v>
      </c>
      <c r="AJ166" s="980"/>
      <c r="AK166" s="1069"/>
      <c r="AL166" s="254" t="s">
        <v>537</v>
      </c>
      <c r="AM166" s="253" t="s">
        <v>594</v>
      </c>
      <c r="AN166" s="980"/>
      <c r="AO166" s="143" t="s">
        <v>909</v>
      </c>
      <c r="AP166" s="253" t="s">
        <v>639</v>
      </c>
      <c r="AQ166" s="980"/>
      <c r="AR166" s="253" t="s">
        <v>380</v>
      </c>
      <c r="AS166" s="122"/>
      <c r="AT166" s="279"/>
      <c r="AU166" s="253"/>
      <c r="AV166" s="254" t="s">
        <v>1608</v>
      </c>
      <c r="AW166" s="143" t="s">
        <v>816</v>
      </c>
      <c r="AX166" s="253" t="s">
        <v>1146</v>
      </c>
      <c r="AY166" s="279"/>
      <c r="AZ166" s="253" t="s">
        <v>685</v>
      </c>
      <c r="BA166" s="980"/>
      <c r="BB166" s="252" t="s">
        <v>1035</v>
      </c>
      <c r="BC166" s="253" t="s">
        <v>739</v>
      </c>
      <c r="BD166" s="980"/>
      <c r="JS166" s="5"/>
    </row>
    <row r="167" spans="1:279" s="1" customFormat="1">
      <c r="A167" s="1077"/>
      <c r="B167" s="1084"/>
      <c r="C167" s="130" t="s">
        <v>133</v>
      </c>
      <c r="D167" s="188">
        <v>20</v>
      </c>
      <c r="E167" s="68">
        <v>20</v>
      </c>
      <c r="F167" s="255"/>
      <c r="G167" s="188">
        <v>20</v>
      </c>
      <c r="H167" s="154">
        <v>20</v>
      </c>
      <c r="I167" s="126">
        <v>20</v>
      </c>
      <c r="J167" s="279"/>
      <c r="K167" s="126">
        <v>20</v>
      </c>
      <c r="L167" s="279"/>
      <c r="M167" s="126">
        <v>20</v>
      </c>
      <c r="N167" s="279"/>
      <c r="O167" s="126">
        <v>20</v>
      </c>
      <c r="P167" s="279"/>
      <c r="Q167" s="126">
        <v>20</v>
      </c>
      <c r="R167" s="279"/>
      <c r="S167" s="126">
        <v>20</v>
      </c>
      <c r="T167" s="75"/>
      <c r="U167" s="400"/>
      <c r="V167" s="126">
        <v>20</v>
      </c>
      <c r="W167" s="109"/>
      <c r="X167" s="142">
        <v>20</v>
      </c>
      <c r="Y167" s="126">
        <v>20</v>
      </c>
      <c r="Z167" s="260">
        <v>20</v>
      </c>
      <c r="AA167" s="126"/>
      <c r="AB167" s="260">
        <v>20</v>
      </c>
      <c r="AC167" s="126">
        <v>20</v>
      </c>
      <c r="AD167" s="260"/>
      <c r="AE167" s="126">
        <v>20</v>
      </c>
      <c r="AF167" s="980"/>
      <c r="AG167" s="126">
        <v>20</v>
      </c>
      <c r="AH167" s="980"/>
      <c r="AI167" s="126">
        <v>20</v>
      </c>
      <c r="AJ167" s="980"/>
      <c r="AK167" s="1069"/>
      <c r="AL167" s="293">
        <v>20</v>
      </c>
      <c r="AM167" s="126">
        <v>20</v>
      </c>
      <c r="AN167" s="980"/>
      <c r="AO167" s="142">
        <v>20</v>
      </c>
      <c r="AP167" s="126">
        <v>20</v>
      </c>
      <c r="AQ167" s="980"/>
      <c r="AR167" s="126">
        <v>20</v>
      </c>
      <c r="AS167" s="122"/>
      <c r="AT167" s="279"/>
      <c r="AU167" s="126"/>
      <c r="AV167" s="279">
        <v>20</v>
      </c>
      <c r="AW167" s="142">
        <v>20</v>
      </c>
      <c r="AX167" s="126">
        <v>20</v>
      </c>
      <c r="AY167" s="260"/>
      <c r="AZ167" s="126">
        <v>20</v>
      </c>
      <c r="BA167" s="980"/>
      <c r="BB167" s="319">
        <v>20</v>
      </c>
      <c r="BC167" s="126">
        <v>20</v>
      </c>
      <c r="BD167" s="980"/>
      <c r="JS167" s="5"/>
    </row>
    <row r="168" spans="1:279" s="1" customFormat="1">
      <c r="A168" s="1077"/>
      <c r="B168" s="1084"/>
      <c r="C168" s="130" t="s">
        <v>293</v>
      </c>
      <c r="D168" s="188">
        <v>100</v>
      </c>
      <c r="E168" s="68">
        <v>100</v>
      </c>
      <c r="F168" s="255"/>
      <c r="G168" s="188">
        <v>100</v>
      </c>
      <c r="H168" s="154">
        <v>100</v>
      </c>
      <c r="I168" s="126">
        <f>+I167+I161+I158+I153+I164</f>
        <v>80</v>
      </c>
      <c r="J168" s="279"/>
      <c r="K168" s="126">
        <f>+K167+K161+K158+K153+K164</f>
        <v>100</v>
      </c>
      <c r="L168" s="279"/>
      <c r="M168" s="126">
        <f>+M167+M161+M158+M153+M164</f>
        <v>100</v>
      </c>
      <c r="N168" s="279"/>
      <c r="O168" s="126">
        <f>+O167+O161+O158+O153+O164</f>
        <v>100</v>
      </c>
      <c r="P168" s="279"/>
      <c r="Q168" s="126">
        <v>100</v>
      </c>
      <c r="R168" s="279"/>
      <c r="S168" s="126">
        <v>100</v>
      </c>
      <c r="T168" s="75"/>
      <c r="U168" s="400"/>
      <c r="V168" s="126">
        <v>100</v>
      </c>
      <c r="W168" s="109"/>
      <c r="X168" s="142">
        <v>100</v>
      </c>
      <c r="Y168" s="126">
        <v>100</v>
      </c>
      <c r="Z168" s="260">
        <v>100</v>
      </c>
      <c r="AA168" s="126"/>
      <c r="AB168" s="260">
        <v>100</v>
      </c>
      <c r="AC168" s="126">
        <v>100</v>
      </c>
      <c r="AD168" s="260"/>
      <c r="AE168" s="126">
        <v>100</v>
      </c>
      <c r="AF168" s="980"/>
      <c r="AG168" s="126">
        <v>100</v>
      </c>
      <c r="AH168" s="980"/>
      <c r="AI168" s="126">
        <v>100</v>
      </c>
      <c r="AJ168" s="980"/>
      <c r="AK168" s="1069"/>
      <c r="AL168" s="293">
        <v>100</v>
      </c>
      <c r="AM168" s="126">
        <v>100</v>
      </c>
      <c r="AN168" s="981"/>
      <c r="AO168" s="142">
        <v>100</v>
      </c>
      <c r="AP168" s="126">
        <v>100</v>
      </c>
      <c r="AQ168" s="981"/>
      <c r="AR168" s="126">
        <f>+AR167+AR161+AR158+AR153+AR164</f>
        <v>100</v>
      </c>
      <c r="AS168" s="122"/>
      <c r="AT168" s="279"/>
      <c r="AU168" s="126"/>
      <c r="AV168" s="279">
        <v>100</v>
      </c>
      <c r="AW168" s="142">
        <v>100</v>
      </c>
      <c r="AX168" s="126">
        <v>100</v>
      </c>
      <c r="AY168" s="260"/>
      <c r="AZ168" s="126">
        <v>100</v>
      </c>
      <c r="BA168" s="980"/>
      <c r="BB168" s="319">
        <v>100</v>
      </c>
      <c r="BC168" s="126">
        <v>100</v>
      </c>
      <c r="BD168" s="981"/>
      <c r="JS168" s="5"/>
    </row>
    <row r="169" spans="1:279">
      <c r="A169" s="1077"/>
      <c r="B169" s="1084"/>
      <c r="C169" s="130" t="s">
        <v>0</v>
      </c>
      <c r="D169" s="213" t="s">
        <v>872</v>
      </c>
      <c r="E169" s="270" t="s">
        <v>77</v>
      </c>
      <c r="F169" s="271"/>
      <c r="G169" s="213" t="s">
        <v>394</v>
      </c>
      <c r="H169" s="160" t="s">
        <v>394</v>
      </c>
      <c r="I169" s="270" t="s">
        <v>77</v>
      </c>
      <c r="J169" s="271"/>
      <c r="K169" s="270" t="s">
        <v>77</v>
      </c>
      <c r="L169" s="271"/>
      <c r="M169" s="270" t="s">
        <v>77</v>
      </c>
      <c r="N169" s="271"/>
      <c r="O169" s="270" t="s">
        <v>77</v>
      </c>
      <c r="P169" s="271"/>
      <c r="Q169" s="270" t="s">
        <v>77</v>
      </c>
      <c r="R169" s="271"/>
      <c r="S169" s="270" t="s">
        <v>77</v>
      </c>
      <c r="T169" s="80"/>
      <c r="U169" s="400"/>
      <c r="V169" s="270" t="s">
        <v>77</v>
      </c>
      <c r="W169" s="80"/>
      <c r="X169" s="447" t="s">
        <v>77</v>
      </c>
      <c r="Y169" s="270" t="s">
        <v>77</v>
      </c>
      <c r="Z169" s="271" t="s">
        <v>77</v>
      </c>
      <c r="AA169" s="270"/>
      <c r="AB169" s="271" t="s">
        <v>77</v>
      </c>
      <c r="AC169" s="270" t="s">
        <v>77</v>
      </c>
      <c r="AD169" s="271"/>
      <c r="AE169" s="270" t="s">
        <v>77</v>
      </c>
      <c r="AF169" s="981"/>
      <c r="AG169" s="270" t="s">
        <v>77</v>
      </c>
      <c r="AH169" s="981"/>
      <c r="AI169" s="270" t="s">
        <v>77</v>
      </c>
      <c r="AJ169" s="981"/>
      <c r="AK169" s="1070"/>
      <c r="AL169" s="505"/>
      <c r="AM169" s="510"/>
      <c r="AN169" s="505"/>
      <c r="AO169" s="447" t="s">
        <v>77</v>
      </c>
      <c r="AP169" s="510"/>
      <c r="AQ169" s="505"/>
      <c r="AR169" s="270" t="s">
        <v>77</v>
      </c>
      <c r="AS169" s="47"/>
      <c r="AT169" s="271"/>
      <c r="AU169" s="270"/>
      <c r="AV169" s="271"/>
      <c r="AW169" s="160" t="s">
        <v>394</v>
      </c>
      <c r="AX169" s="270" t="s">
        <v>77</v>
      </c>
      <c r="AY169" s="271"/>
      <c r="AZ169" s="253" t="s">
        <v>77</v>
      </c>
      <c r="BA169" s="981"/>
      <c r="BB169" s="564" t="s">
        <v>77</v>
      </c>
      <c r="BC169" s="510"/>
      <c r="BD169" s="505"/>
    </row>
    <row r="170" spans="1:279" s="12" customFormat="1">
      <c r="A170" s="1077"/>
      <c r="B170" s="1084"/>
      <c r="C170" s="134" t="s">
        <v>104</v>
      </c>
      <c r="D170" s="214">
        <v>100</v>
      </c>
      <c r="E170" s="1016">
        <f>+E168+F168+E147+F147</f>
        <v>200</v>
      </c>
      <c r="F170" s="1030"/>
      <c r="G170" s="214">
        <v>100</v>
      </c>
      <c r="H170" s="161">
        <v>100</v>
      </c>
      <c r="I170" s="1016">
        <f>+I168+J168+I147+J147</f>
        <v>180</v>
      </c>
      <c r="J170" s="1030"/>
      <c r="K170" s="1016">
        <f>+K168+L168+K147+L147</f>
        <v>200</v>
      </c>
      <c r="L170" s="1030"/>
      <c r="M170" s="1016">
        <f>+M168+N168+M147+N147</f>
        <v>200</v>
      </c>
      <c r="N170" s="1030"/>
      <c r="O170" s="1016">
        <f>+O168+P168+O147+P147</f>
        <v>200</v>
      </c>
      <c r="P170" s="1030"/>
      <c r="Q170" s="1205">
        <v>100</v>
      </c>
      <c r="R170" s="1206"/>
      <c r="S170" s="1016">
        <v>100</v>
      </c>
      <c r="T170" s="1017"/>
      <c r="U170" s="401"/>
      <c r="V170" s="1016">
        <v>100</v>
      </c>
      <c r="W170" s="1017"/>
      <c r="X170" s="448">
        <v>100</v>
      </c>
      <c r="Y170" s="1016">
        <v>100</v>
      </c>
      <c r="Z170" s="1030"/>
      <c r="AA170" s="1016">
        <v>100</v>
      </c>
      <c r="AB170" s="1030"/>
      <c r="AC170" s="1016">
        <v>100</v>
      </c>
      <c r="AD170" s="1030"/>
      <c r="AE170" s="1016">
        <v>100</v>
      </c>
      <c r="AF170" s="1030"/>
      <c r="AG170" s="1016">
        <v>100</v>
      </c>
      <c r="AH170" s="1030"/>
      <c r="AI170" s="1016">
        <v>100</v>
      </c>
      <c r="AJ170" s="1030"/>
      <c r="AK170" s="1016">
        <v>100</v>
      </c>
      <c r="AL170" s="1030"/>
      <c r="AM170" s="1016">
        <v>100</v>
      </c>
      <c r="AN170" s="1030"/>
      <c r="AO170" s="448">
        <v>100</v>
      </c>
      <c r="AP170" s="1016">
        <v>100</v>
      </c>
      <c r="AQ170" s="1030"/>
      <c r="AR170" s="1205">
        <f>+AR168+AS168+AR147+AS147</f>
        <v>200</v>
      </c>
      <c r="AS170" s="1229"/>
      <c r="AT170" s="1206"/>
      <c r="AU170" s="1016">
        <f>+AU168+AV168+AU147+AV147</f>
        <v>200</v>
      </c>
      <c r="AV170" s="1030"/>
      <c r="AW170" s="161">
        <v>100</v>
      </c>
      <c r="AX170" s="1016">
        <v>100</v>
      </c>
      <c r="AY170" s="1030"/>
      <c r="AZ170" s="1016">
        <v>100</v>
      </c>
      <c r="BA170" s="1030"/>
      <c r="BB170" s="565">
        <v>100</v>
      </c>
      <c r="BC170" s="1016">
        <v>100</v>
      </c>
      <c r="BD170" s="1030"/>
      <c r="BE170" s="11"/>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c r="CM170" s="10"/>
      <c r="CN170" s="10"/>
      <c r="CO170" s="10"/>
      <c r="CP170" s="10"/>
      <c r="CQ170" s="10"/>
      <c r="CR170" s="10"/>
      <c r="CS170" s="10"/>
      <c r="CT170" s="10"/>
      <c r="CU170" s="10"/>
      <c r="CV170" s="10"/>
      <c r="CW170" s="10"/>
      <c r="CX170" s="10"/>
      <c r="CY170" s="10"/>
      <c r="CZ170" s="10"/>
      <c r="DA170" s="10"/>
      <c r="DB170" s="10"/>
      <c r="DC170" s="10"/>
      <c r="DD170" s="10"/>
      <c r="DE170" s="10"/>
      <c r="DF170" s="10"/>
      <c r="DG170" s="10"/>
      <c r="DH170" s="10"/>
      <c r="DI170" s="10"/>
      <c r="DJ170" s="10"/>
      <c r="DK170" s="10"/>
      <c r="DL170" s="10"/>
      <c r="DM170" s="10"/>
      <c r="DN170" s="10"/>
      <c r="DO170" s="10"/>
      <c r="DP170" s="10"/>
      <c r="DQ170" s="10"/>
      <c r="DR170" s="10"/>
      <c r="DS170" s="10"/>
      <c r="DT170" s="10"/>
      <c r="DU170" s="10"/>
      <c r="DV170" s="10"/>
      <c r="DW170" s="10"/>
      <c r="DX170" s="10"/>
      <c r="DY170" s="10"/>
      <c r="DZ170" s="10"/>
      <c r="EA170" s="10"/>
      <c r="EB170" s="10"/>
      <c r="EC170" s="10"/>
      <c r="ED170" s="10"/>
      <c r="EE170" s="10"/>
      <c r="EF170" s="10"/>
      <c r="EG170" s="10"/>
      <c r="EH170" s="10"/>
      <c r="EI170" s="10"/>
      <c r="EJ170" s="10"/>
      <c r="EK170" s="10"/>
      <c r="EL170" s="10"/>
      <c r="EM170" s="10"/>
      <c r="EN170" s="10"/>
      <c r="EO170" s="10"/>
      <c r="EP170" s="10"/>
      <c r="EQ170" s="10"/>
      <c r="ER170" s="10"/>
      <c r="ES170" s="10"/>
      <c r="ET170" s="10"/>
      <c r="EU170" s="10"/>
      <c r="EV170" s="10"/>
      <c r="EW170" s="10"/>
      <c r="EX170" s="10"/>
      <c r="EY170" s="10"/>
      <c r="EZ170" s="10"/>
      <c r="FA170" s="10"/>
      <c r="FB170" s="10"/>
      <c r="FC170" s="10"/>
      <c r="FD170" s="10"/>
      <c r="FE170" s="10"/>
      <c r="FF170" s="10"/>
      <c r="FG170" s="10"/>
      <c r="FH170" s="10"/>
      <c r="FI170" s="10"/>
      <c r="FJ170" s="10"/>
      <c r="FK170" s="10"/>
      <c r="FL170" s="10"/>
      <c r="FM170" s="10"/>
      <c r="FN170" s="10"/>
      <c r="FO170" s="10"/>
      <c r="FP170" s="10"/>
      <c r="FQ170" s="10"/>
      <c r="FR170" s="10"/>
      <c r="FS170" s="10"/>
      <c r="FT170" s="10"/>
      <c r="FU170" s="10"/>
      <c r="FV170" s="10"/>
      <c r="FW170" s="10"/>
      <c r="FX170" s="10"/>
      <c r="FY170" s="10"/>
      <c r="FZ170" s="10"/>
      <c r="GA170" s="10"/>
      <c r="GB170" s="10"/>
      <c r="GC170" s="10"/>
      <c r="GD170" s="10"/>
      <c r="GE170" s="10"/>
      <c r="GF170" s="10"/>
      <c r="GG170" s="10"/>
      <c r="GH170" s="10"/>
      <c r="GI170" s="10"/>
      <c r="GJ170" s="10"/>
      <c r="GK170" s="10"/>
      <c r="GL170" s="10"/>
      <c r="GM170" s="10"/>
      <c r="GN170" s="10"/>
      <c r="GO170" s="10"/>
      <c r="GP170" s="10"/>
      <c r="GQ170" s="10"/>
      <c r="GR170" s="10"/>
      <c r="GS170" s="10"/>
      <c r="GT170" s="10"/>
      <c r="GU170" s="10"/>
      <c r="GV170" s="10"/>
      <c r="GW170" s="10"/>
      <c r="GX170" s="10"/>
      <c r="GY170" s="10"/>
      <c r="GZ170" s="10"/>
      <c r="HA170" s="10"/>
      <c r="HB170" s="10"/>
      <c r="HC170" s="10"/>
      <c r="HD170" s="10"/>
      <c r="HE170" s="10"/>
      <c r="HF170" s="10"/>
      <c r="HG170" s="10"/>
      <c r="HH170" s="10"/>
      <c r="HI170" s="10"/>
      <c r="HJ170" s="10"/>
      <c r="HK170" s="10"/>
      <c r="HL170" s="10"/>
      <c r="HM170" s="10"/>
      <c r="HN170" s="10"/>
      <c r="HO170" s="10"/>
      <c r="HP170" s="10"/>
      <c r="HQ170" s="10"/>
      <c r="HR170" s="10"/>
      <c r="HS170" s="10"/>
      <c r="HT170" s="10"/>
      <c r="HU170" s="10"/>
      <c r="HV170" s="10"/>
      <c r="HW170" s="10"/>
      <c r="HX170" s="10"/>
      <c r="HY170" s="10"/>
      <c r="HZ170" s="10"/>
      <c r="IA170" s="10"/>
      <c r="IB170" s="10"/>
      <c r="IC170" s="10"/>
      <c r="ID170" s="10"/>
      <c r="IE170" s="10"/>
      <c r="IF170" s="10"/>
      <c r="IG170" s="10"/>
      <c r="IH170" s="10"/>
      <c r="II170" s="10"/>
      <c r="IJ170" s="10"/>
      <c r="IK170" s="10"/>
      <c r="IL170" s="10"/>
      <c r="IM170" s="10"/>
      <c r="IN170" s="10"/>
      <c r="IO170" s="10"/>
      <c r="IP170" s="10"/>
      <c r="IQ170" s="10"/>
      <c r="IR170" s="10"/>
      <c r="IS170" s="10"/>
      <c r="IT170" s="10"/>
      <c r="IU170" s="10"/>
      <c r="IV170" s="10"/>
      <c r="IW170" s="10"/>
      <c r="IX170" s="10"/>
      <c r="IY170" s="10"/>
      <c r="IZ170" s="10"/>
      <c r="JA170" s="10"/>
      <c r="JB170" s="10"/>
      <c r="JC170" s="10"/>
      <c r="JD170" s="10"/>
      <c r="JE170" s="10"/>
      <c r="JF170" s="10"/>
      <c r="JG170" s="10"/>
      <c r="JH170" s="10"/>
      <c r="JI170" s="10"/>
      <c r="JJ170" s="10"/>
      <c r="JK170" s="10"/>
      <c r="JL170" s="10"/>
      <c r="JM170" s="10"/>
      <c r="JN170" s="10"/>
      <c r="JO170" s="10"/>
      <c r="JP170" s="10"/>
      <c r="JQ170" s="10"/>
      <c r="JR170" s="10"/>
      <c r="JS170" s="11"/>
    </row>
    <row r="171" spans="1:279" s="12" customFormat="1">
      <c r="A171" s="1077" t="s">
        <v>98</v>
      </c>
      <c r="B171" s="1084" t="s">
        <v>50</v>
      </c>
      <c r="C171" s="130" t="s">
        <v>33</v>
      </c>
      <c r="D171" s="215" t="s">
        <v>175</v>
      </c>
      <c r="E171" s="67"/>
      <c r="F171" s="272" t="s">
        <v>175</v>
      </c>
      <c r="G171" s="215" t="s">
        <v>175</v>
      </c>
      <c r="H171" s="162" t="s">
        <v>175</v>
      </c>
      <c r="I171" s="124" t="s">
        <v>175</v>
      </c>
      <c r="J171" s="272"/>
      <c r="K171" s="124" t="s">
        <v>175</v>
      </c>
      <c r="L171" s="272"/>
      <c r="M171" s="124"/>
      <c r="N171" s="272" t="s">
        <v>175</v>
      </c>
      <c r="O171" s="124"/>
      <c r="P171" s="272" t="s">
        <v>175</v>
      </c>
      <c r="Q171" s="124"/>
      <c r="R171" s="272" t="s">
        <v>175</v>
      </c>
      <c r="S171" s="124" t="s">
        <v>264</v>
      </c>
      <c r="T171" s="81"/>
      <c r="U171" s="401"/>
      <c r="V171" s="124" t="s">
        <v>175</v>
      </c>
      <c r="W171" s="81"/>
      <c r="X171" s="162" t="s">
        <v>175</v>
      </c>
      <c r="Y171" s="124" t="s">
        <v>175</v>
      </c>
      <c r="Z171" s="272"/>
      <c r="AA171" s="124"/>
      <c r="AB171" s="272" t="s">
        <v>175</v>
      </c>
      <c r="AC171" s="124" t="s">
        <v>264</v>
      </c>
      <c r="AD171" s="272"/>
      <c r="AE171" s="124" t="s">
        <v>175</v>
      </c>
      <c r="AF171" s="1060" t="s">
        <v>178</v>
      </c>
      <c r="AG171" s="124" t="s">
        <v>175</v>
      </c>
      <c r="AH171" s="1060" t="s">
        <v>178</v>
      </c>
      <c r="AI171" s="124" t="s">
        <v>175</v>
      </c>
      <c r="AJ171" s="1060" t="s">
        <v>178</v>
      </c>
      <c r="AK171" s="124" t="s">
        <v>175</v>
      </c>
      <c r="AL171" s="1060" t="s">
        <v>178</v>
      </c>
      <c r="AM171" s="1078" t="s">
        <v>178</v>
      </c>
      <c r="AN171" s="272" t="s">
        <v>175</v>
      </c>
      <c r="AO171" s="162" t="s">
        <v>175</v>
      </c>
      <c r="AP171" s="124" t="s">
        <v>175</v>
      </c>
      <c r="AQ171" s="1060" t="s">
        <v>178</v>
      </c>
      <c r="AR171" s="124"/>
      <c r="AS171" s="125" t="s">
        <v>175</v>
      </c>
      <c r="AT171" s="272"/>
      <c r="AU171" s="124"/>
      <c r="AV171" s="272" t="s">
        <v>175</v>
      </c>
      <c r="AW171" s="162" t="s">
        <v>175</v>
      </c>
      <c r="AX171" s="124" t="s">
        <v>264</v>
      </c>
      <c r="AY171" s="272"/>
      <c r="AZ171" s="124" t="s">
        <v>175</v>
      </c>
      <c r="BA171" s="1060" t="s">
        <v>178</v>
      </c>
      <c r="BB171" s="566" t="s">
        <v>264</v>
      </c>
      <c r="BC171" s="124" t="s">
        <v>175</v>
      </c>
      <c r="BD171" s="1060" t="s">
        <v>178</v>
      </c>
      <c r="BE171" s="11"/>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c r="CM171" s="10"/>
      <c r="CN171" s="10"/>
      <c r="CO171" s="10"/>
      <c r="CP171" s="10"/>
      <c r="CQ171" s="10"/>
      <c r="CR171" s="10"/>
      <c r="CS171" s="10"/>
      <c r="CT171" s="10"/>
      <c r="CU171" s="10"/>
      <c r="CV171" s="10"/>
      <c r="CW171" s="10"/>
      <c r="CX171" s="10"/>
      <c r="CY171" s="10"/>
      <c r="CZ171" s="10"/>
      <c r="DA171" s="10"/>
      <c r="DB171" s="10"/>
      <c r="DC171" s="10"/>
      <c r="DD171" s="10"/>
      <c r="DE171" s="10"/>
      <c r="DF171" s="10"/>
      <c r="DG171" s="10"/>
      <c r="DH171" s="10"/>
      <c r="DI171" s="10"/>
      <c r="DJ171" s="10"/>
      <c r="DK171" s="10"/>
      <c r="DL171" s="10"/>
      <c r="DM171" s="10"/>
      <c r="DN171" s="10"/>
      <c r="DO171" s="10"/>
      <c r="DP171" s="10"/>
      <c r="DQ171" s="10"/>
      <c r="DR171" s="10"/>
      <c r="DS171" s="10"/>
      <c r="DT171" s="10"/>
      <c r="DU171" s="10"/>
      <c r="DV171" s="10"/>
      <c r="DW171" s="10"/>
      <c r="DX171" s="10"/>
      <c r="DY171" s="10"/>
      <c r="DZ171" s="10"/>
      <c r="EA171" s="10"/>
      <c r="EB171" s="10"/>
      <c r="EC171" s="10"/>
      <c r="ED171" s="10"/>
      <c r="EE171" s="10"/>
      <c r="EF171" s="10"/>
      <c r="EG171" s="10"/>
      <c r="EH171" s="10"/>
      <c r="EI171" s="10"/>
      <c r="EJ171" s="10"/>
      <c r="EK171" s="10"/>
      <c r="EL171" s="10"/>
      <c r="EM171" s="10"/>
      <c r="EN171" s="10"/>
      <c r="EO171" s="10"/>
      <c r="EP171" s="10"/>
      <c r="EQ171" s="10"/>
      <c r="ER171" s="10"/>
      <c r="ES171" s="10"/>
      <c r="ET171" s="10"/>
      <c r="EU171" s="10"/>
      <c r="EV171" s="10"/>
      <c r="EW171" s="10"/>
      <c r="EX171" s="10"/>
      <c r="EY171" s="10"/>
      <c r="EZ171" s="10"/>
      <c r="FA171" s="10"/>
      <c r="FB171" s="10"/>
      <c r="FC171" s="10"/>
      <c r="FD171" s="10"/>
      <c r="FE171" s="10"/>
      <c r="FF171" s="10"/>
      <c r="FG171" s="10"/>
      <c r="FH171" s="10"/>
      <c r="FI171" s="10"/>
      <c r="FJ171" s="10"/>
      <c r="FK171" s="10"/>
      <c r="FL171" s="10"/>
      <c r="FM171" s="10"/>
      <c r="FN171" s="10"/>
      <c r="FO171" s="10"/>
      <c r="FP171" s="10"/>
      <c r="FQ171" s="10"/>
      <c r="FR171" s="10"/>
      <c r="FS171" s="10"/>
      <c r="FT171" s="10"/>
      <c r="FU171" s="10"/>
      <c r="FV171" s="10"/>
      <c r="FW171" s="10"/>
      <c r="FX171" s="10"/>
      <c r="FY171" s="10"/>
      <c r="FZ171" s="10"/>
      <c r="GA171" s="10"/>
      <c r="GB171" s="10"/>
      <c r="GC171" s="10"/>
      <c r="GD171" s="10"/>
      <c r="GE171" s="10"/>
      <c r="GF171" s="10"/>
      <c r="GG171" s="10"/>
      <c r="GH171" s="10"/>
      <c r="GI171" s="10"/>
      <c r="GJ171" s="10"/>
      <c r="GK171" s="10"/>
      <c r="GL171" s="10"/>
      <c r="GM171" s="10"/>
      <c r="GN171" s="10"/>
      <c r="GO171" s="10"/>
      <c r="GP171" s="10"/>
      <c r="GQ171" s="10"/>
      <c r="GR171" s="10"/>
      <c r="GS171" s="10"/>
      <c r="GT171" s="10"/>
      <c r="GU171" s="10"/>
      <c r="GV171" s="10"/>
      <c r="GW171" s="10"/>
      <c r="GX171" s="10"/>
      <c r="GY171" s="10"/>
      <c r="GZ171" s="10"/>
      <c r="HA171" s="10"/>
      <c r="HB171" s="10"/>
      <c r="HC171" s="10"/>
      <c r="HD171" s="10"/>
      <c r="HE171" s="10"/>
      <c r="HF171" s="10"/>
      <c r="HG171" s="10"/>
      <c r="HH171" s="10"/>
      <c r="HI171" s="10"/>
      <c r="HJ171" s="10"/>
      <c r="HK171" s="10"/>
      <c r="HL171" s="10"/>
      <c r="HM171" s="10"/>
      <c r="HN171" s="10"/>
      <c r="HO171" s="10"/>
      <c r="HP171" s="10"/>
      <c r="HQ171" s="10"/>
      <c r="HR171" s="10"/>
      <c r="HS171" s="10"/>
      <c r="HT171" s="10"/>
      <c r="HU171" s="10"/>
      <c r="HV171" s="10"/>
      <c r="HW171" s="10"/>
      <c r="HX171" s="10"/>
      <c r="HY171" s="10"/>
      <c r="HZ171" s="10"/>
      <c r="IA171" s="10"/>
      <c r="IB171" s="10"/>
      <c r="IC171" s="10"/>
      <c r="ID171" s="10"/>
      <c r="IE171" s="10"/>
      <c r="IF171" s="10"/>
      <c r="IG171" s="10"/>
      <c r="IH171" s="10"/>
      <c r="II171" s="10"/>
      <c r="IJ171" s="10"/>
      <c r="IK171" s="10"/>
      <c r="IL171" s="10"/>
      <c r="IM171" s="10"/>
      <c r="IN171" s="10"/>
      <c r="IO171" s="10"/>
      <c r="IP171" s="10"/>
      <c r="IQ171" s="10"/>
      <c r="IR171" s="10"/>
      <c r="IS171" s="10"/>
      <c r="IT171" s="10"/>
      <c r="IU171" s="10"/>
      <c r="IV171" s="10"/>
      <c r="IW171" s="10"/>
      <c r="IX171" s="10"/>
      <c r="IY171" s="10"/>
      <c r="IZ171" s="10"/>
      <c r="JA171" s="10"/>
      <c r="JB171" s="10"/>
      <c r="JC171" s="10"/>
      <c r="JD171" s="10"/>
      <c r="JE171" s="10"/>
      <c r="JF171" s="10"/>
      <c r="JG171" s="10"/>
      <c r="JH171" s="10"/>
      <c r="JI171" s="10"/>
      <c r="JJ171" s="10"/>
      <c r="JK171" s="10"/>
      <c r="JL171" s="10"/>
      <c r="JM171" s="10"/>
      <c r="JN171" s="10"/>
      <c r="JO171" s="10"/>
      <c r="JP171" s="10"/>
      <c r="JQ171" s="10"/>
      <c r="JR171" s="10"/>
      <c r="JS171" s="11"/>
    </row>
    <row r="172" spans="1:279">
      <c r="A172" s="1077"/>
      <c r="B172" s="1084"/>
      <c r="C172" s="130" t="s">
        <v>6</v>
      </c>
      <c r="D172" s="207" t="s">
        <v>878</v>
      </c>
      <c r="E172" s="262"/>
      <c r="F172" s="273" t="s">
        <v>294</v>
      </c>
      <c r="G172" s="207" t="s">
        <v>879</v>
      </c>
      <c r="H172" s="157" t="s">
        <v>1424</v>
      </c>
      <c r="I172" s="262" t="s">
        <v>1507</v>
      </c>
      <c r="J172" s="273"/>
      <c r="K172" s="262" t="s">
        <v>1508</v>
      </c>
      <c r="L172" s="273"/>
      <c r="M172" s="262"/>
      <c r="N172" s="273" t="s">
        <v>1509</v>
      </c>
      <c r="O172" s="262"/>
      <c r="P172" s="273" t="s">
        <v>1548</v>
      </c>
      <c r="Q172" s="378" t="s">
        <v>1312</v>
      </c>
      <c r="R172" s="273"/>
      <c r="S172" s="378" t="s">
        <v>1367</v>
      </c>
      <c r="T172" s="120"/>
      <c r="U172" s="400"/>
      <c r="V172" s="241" t="s">
        <v>1205</v>
      </c>
      <c r="W172" s="434"/>
      <c r="X172" s="446" t="s">
        <v>780</v>
      </c>
      <c r="Y172" s="241" t="s">
        <v>1267</v>
      </c>
      <c r="Z172" s="273"/>
      <c r="AA172" s="378"/>
      <c r="AB172" s="242" t="s">
        <v>974</v>
      </c>
      <c r="AC172" s="378" t="s">
        <v>1089</v>
      </c>
      <c r="AD172" s="242"/>
      <c r="AE172" s="262" t="s">
        <v>385</v>
      </c>
      <c r="AF172" s="1061"/>
      <c r="AG172" s="262" t="s">
        <v>451</v>
      </c>
      <c r="AH172" s="1061"/>
      <c r="AI172" s="494" t="s">
        <v>496</v>
      </c>
      <c r="AJ172" s="1061"/>
      <c r="AK172" s="494" t="s">
        <v>538</v>
      </c>
      <c r="AL172" s="1061"/>
      <c r="AM172" s="1125"/>
      <c r="AN172" s="469" t="s">
        <v>595</v>
      </c>
      <c r="AO172" s="446" t="s">
        <v>911</v>
      </c>
      <c r="AP172" s="494" t="s">
        <v>642</v>
      </c>
      <c r="AQ172" s="1061"/>
      <c r="AR172" s="262"/>
      <c r="AS172" s="26" t="s">
        <v>1548</v>
      </c>
      <c r="AT172" s="273"/>
      <c r="AU172" s="262"/>
      <c r="AV172" s="273" t="s">
        <v>1614</v>
      </c>
      <c r="AW172" s="157" t="s">
        <v>819</v>
      </c>
      <c r="AX172" s="378" t="s">
        <v>1147</v>
      </c>
      <c r="AY172" s="242"/>
      <c r="AZ172" s="494" t="s">
        <v>689</v>
      </c>
      <c r="BA172" s="1061"/>
      <c r="BB172" s="560" t="s">
        <v>1038</v>
      </c>
      <c r="BC172" s="494" t="s">
        <v>740</v>
      </c>
      <c r="BD172" s="1061"/>
    </row>
    <row r="173" spans="1:279" ht="36">
      <c r="A173" s="1077"/>
      <c r="B173" s="1084"/>
      <c r="C173" s="130" t="s">
        <v>234</v>
      </c>
      <c r="D173" s="189" t="s">
        <v>295</v>
      </c>
      <c r="E173" s="245"/>
      <c r="F173" s="250" t="s">
        <v>295</v>
      </c>
      <c r="G173" s="251" t="s">
        <v>880</v>
      </c>
      <c r="H173" s="143" t="s">
        <v>596</v>
      </c>
      <c r="I173" s="253" t="s">
        <v>596</v>
      </c>
      <c r="J173" s="254"/>
      <c r="K173" s="253" t="s">
        <v>295</v>
      </c>
      <c r="L173" s="254"/>
      <c r="M173" s="253"/>
      <c r="N173" s="254" t="s">
        <v>1510</v>
      </c>
      <c r="O173" s="253"/>
      <c r="P173" s="254" t="s">
        <v>596</v>
      </c>
      <c r="Q173" s="253" t="s">
        <v>1039</v>
      </c>
      <c r="R173" s="254"/>
      <c r="S173" s="253" t="s">
        <v>1039</v>
      </c>
      <c r="T173" s="113"/>
      <c r="U173" s="400"/>
      <c r="V173" s="253" t="s">
        <v>1206</v>
      </c>
      <c r="W173" s="113"/>
      <c r="X173" s="143" t="s">
        <v>295</v>
      </c>
      <c r="Y173" s="253" t="s">
        <v>975</v>
      </c>
      <c r="Z173" s="254"/>
      <c r="AA173" s="253"/>
      <c r="AB173" s="254" t="s">
        <v>975</v>
      </c>
      <c r="AC173" s="253" t="s">
        <v>1039</v>
      </c>
      <c r="AD173" s="254"/>
      <c r="AE173" s="253" t="s">
        <v>386</v>
      </c>
      <c r="AF173" s="1061"/>
      <c r="AG173" s="253" t="s">
        <v>295</v>
      </c>
      <c r="AH173" s="1061"/>
      <c r="AI173" s="253" t="s">
        <v>295</v>
      </c>
      <c r="AJ173" s="1061"/>
      <c r="AK173" s="253" t="s">
        <v>539</v>
      </c>
      <c r="AL173" s="1061"/>
      <c r="AM173" s="1125"/>
      <c r="AN173" s="254" t="s">
        <v>596</v>
      </c>
      <c r="AO173" s="143" t="s">
        <v>596</v>
      </c>
      <c r="AP173" s="253" t="s">
        <v>643</v>
      </c>
      <c r="AQ173" s="1061"/>
      <c r="AR173" s="253"/>
      <c r="AS173" s="117" t="s">
        <v>1615</v>
      </c>
      <c r="AT173" s="254"/>
      <c r="AU173" s="253"/>
      <c r="AV173" s="254" t="s">
        <v>596</v>
      </c>
      <c r="AW173" s="143" t="s">
        <v>295</v>
      </c>
      <c r="AX173" s="253" t="s">
        <v>1039</v>
      </c>
      <c r="AY173" s="254"/>
      <c r="AZ173" s="253" t="s">
        <v>295</v>
      </c>
      <c r="BA173" s="1061"/>
      <c r="BB173" s="252" t="s">
        <v>1039</v>
      </c>
      <c r="BC173" s="253" t="s">
        <v>741</v>
      </c>
      <c r="BD173" s="1061"/>
    </row>
    <row r="174" spans="1:279">
      <c r="A174" s="1077"/>
      <c r="B174" s="1084"/>
      <c r="C174" s="130" t="s">
        <v>235</v>
      </c>
      <c r="D174" s="188">
        <v>30</v>
      </c>
      <c r="E174" s="68"/>
      <c r="F174" s="274">
        <v>30</v>
      </c>
      <c r="G174" s="188">
        <v>30</v>
      </c>
      <c r="H174" s="142">
        <v>30</v>
      </c>
      <c r="I174" s="126">
        <v>30</v>
      </c>
      <c r="J174" s="293"/>
      <c r="K174" s="126">
        <v>30</v>
      </c>
      <c r="L174" s="293"/>
      <c r="M174" s="126"/>
      <c r="N174" s="293">
        <v>30</v>
      </c>
      <c r="O174" s="126"/>
      <c r="P174" s="293">
        <v>30</v>
      </c>
      <c r="Q174" s="126">
        <v>30</v>
      </c>
      <c r="R174" s="293"/>
      <c r="S174" s="126">
        <v>30</v>
      </c>
      <c r="T174" s="107"/>
      <c r="U174" s="400"/>
      <c r="V174" s="126">
        <v>30</v>
      </c>
      <c r="W174" s="107"/>
      <c r="X174" s="142">
        <v>30</v>
      </c>
      <c r="Y174" s="126">
        <v>30</v>
      </c>
      <c r="Z174" s="293"/>
      <c r="AA174" s="126"/>
      <c r="AB174" s="293">
        <v>30</v>
      </c>
      <c r="AC174" s="126">
        <v>30</v>
      </c>
      <c r="AD174" s="293"/>
      <c r="AE174" s="126">
        <v>30</v>
      </c>
      <c r="AF174" s="1061"/>
      <c r="AG174" s="126">
        <v>30</v>
      </c>
      <c r="AH174" s="1061"/>
      <c r="AI174" s="126">
        <v>30</v>
      </c>
      <c r="AJ174" s="1061"/>
      <c r="AK174" s="126">
        <v>30</v>
      </c>
      <c r="AL174" s="1061"/>
      <c r="AM174" s="1125"/>
      <c r="AN174" s="293">
        <v>30</v>
      </c>
      <c r="AO174" s="142">
        <v>30</v>
      </c>
      <c r="AP174" s="126">
        <v>30</v>
      </c>
      <c r="AQ174" s="1061"/>
      <c r="AR174" s="126"/>
      <c r="AS174" s="106">
        <v>30</v>
      </c>
      <c r="AT174" s="293"/>
      <c r="AU174" s="126"/>
      <c r="AV174" s="293">
        <v>30</v>
      </c>
      <c r="AW174" s="142">
        <v>30</v>
      </c>
      <c r="AX174" s="126">
        <v>30</v>
      </c>
      <c r="AY174" s="293"/>
      <c r="AZ174" s="126">
        <v>30</v>
      </c>
      <c r="BA174" s="1061"/>
      <c r="BB174" s="319">
        <v>30</v>
      </c>
      <c r="BC174" s="126">
        <v>30</v>
      </c>
      <c r="BD174" s="1061"/>
    </row>
    <row r="175" spans="1:279" ht="76.5" customHeight="1">
      <c r="A175" s="1077"/>
      <c r="B175" s="1084"/>
      <c r="C175" s="130" t="s">
        <v>158</v>
      </c>
      <c r="D175" s="189" t="s">
        <v>881</v>
      </c>
      <c r="E175" s="245"/>
      <c r="F175" s="250" t="s">
        <v>296</v>
      </c>
      <c r="G175" s="251" t="s">
        <v>913</v>
      </c>
      <c r="H175" s="143" t="s">
        <v>175</v>
      </c>
      <c r="I175" s="253" t="s">
        <v>1495</v>
      </c>
      <c r="J175" s="254"/>
      <c r="K175" s="253" t="s">
        <v>1495</v>
      </c>
      <c r="L175" s="254"/>
      <c r="M175" s="253"/>
      <c r="N175" s="254" t="s">
        <v>1511</v>
      </c>
      <c r="O175" s="253"/>
      <c r="P175" s="254" t="s">
        <v>1511</v>
      </c>
      <c r="Q175" s="253" t="s">
        <v>1313</v>
      </c>
      <c r="R175" s="254"/>
      <c r="S175" s="253" t="s">
        <v>1368</v>
      </c>
      <c r="T175" s="113"/>
      <c r="U175" s="400"/>
      <c r="V175" s="253" t="s">
        <v>1201</v>
      </c>
      <c r="W175" s="113"/>
      <c r="X175" s="143" t="s">
        <v>781</v>
      </c>
      <c r="Y175" s="253" t="s">
        <v>1268</v>
      </c>
      <c r="Z175" s="254"/>
      <c r="AA175" s="253"/>
      <c r="AB175" s="254" t="s">
        <v>976</v>
      </c>
      <c r="AC175" s="253" t="s">
        <v>976</v>
      </c>
      <c r="AD175" s="254"/>
      <c r="AE175" s="379" t="s">
        <v>387</v>
      </c>
      <c r="AF175" s="1061"/>
      <c r="AG175" s="253" t="s">
        <v>452</v>
      </c>
      <c r="AH175" s="1061"/>
      <c r="AI175" s="253" t="s">
        <v>497</v>
      </c>
      <c r="AJ175" s="1061"/>
      <c r="AK175" s="253" t="s">
        <v>541</v>
      </c>
      <c r="AL175" s="1061"/>
      <c r="AM175" s="1125"/>
      <c r="AN175" s="254" t="s">
        <v>598</v>
      </c>
      <c r="AO175" s="143" t="s">
        <v>914</v>
      </c>
      <c r="AP175" s="253" t="s">
        <v>645</v>
      </c>
      <c r="AQ175" s="1061"/>
      <c r="AR175" s="253"/>
      <c r="AS175" s="117" t="s">
        <v>1616</v>
      </c>
      <c r="AT175" s="254"/>
      <c r="AU175" s="253"/>
      <c r="AV175" s="254" t="s">
        <v>1617</v>
      </c>
      <c r="AW175" s="143" t="s">
        <v>820</v>
      </c>
      <c r="AX175" s="253" t="s">
        <v>976</v>
      </c>
      <c r="AY175" s="254"/>
      <c r="AZ175" s="253" t="s">
        <v>691</v>
      </c>
      <c r="BA175" s="1061"/>
      <c r="BB175" s="252" t="s">
        <v>1040</v>
      </c>
      <c r="BC175" s="253" t="s">
        <v>743</v>
      </c>
      <c r="BD175" s="1061"/>
    </row>
    <row r="176" spans="1:279">
      <c r="A176" s="1077"/>
      <c r="B176" s="1084"/>
      <c r="C176" s="130" t="s">
        <v>105</v>
      </c>
      <c r="D176" s="188">
        <v>30</v>
      </c>
      <c r="E176" s="68"/>
      <c r="F176" s="274">
        <v>30</v>
      </c>
      <c r="G176" s="188">
        <v>30</v>
      </c>
      <c r="H176" s="142">
        <v>30</v>
      </c>
      <c r="I176" s="126">
        <v>30</v>
      </c>
      <c r="J176" s="293"/>
      <c r="K176" s="126">
        <v>30</v>
      </c>
      <c r="L176" s="293"/>
      <c r="M176" s="126"/>
      <c r="N176" s="293">
        <v>30</v>
      </c>
      <c r="O176" s="126"/>
      <c r="P176" s="293">
        <v>30</v>
      </c>
      <c r="Q176" s="126">
        <v>30</v>
      </c>
      <c r="R176" s="293"/>
      <c r="S176" s="126">
        <v>30</v>
      </c>
      <c r="T176" s="107"/>
      <c r="U176" s="400"/>
      <c r="V176" s="126">
        <v>30</v>
      </c>
      <c r="W176" s="107"/>
      <c r="X176" s="142">
        <v>30</v>
      </c>
      <c r="Y176" s="126">
        <v>30</v>
      </c>
      <c r="Z176" s="293"/>
      <c r="AA176" s="126"/>
      <c r="AB176" s="293">
        <v>30</v>
      </c>
      <c r="AC176" s="126">
        <v>30</v>
      </c>
      <c r="AD176" s="293"/>
      <c r="AE176" s="126">
        <v>0</v>
      </c>
      <c r="AF176" s="1061"/>
      <c r="AG176" s="126">
        <v>30</v>
      </c>
      <c r="AH176" s="1061"/>
      <c r="AI176" s="126">
        <v>30</v>
      </c>
      <c r="AJ176" s="1061"/>
      <c r="AK176" s="126">
        <v>30</v>
      </c>
      <c r="AL176" s="1061"/>
      <c r="AM176" s="1125"/>
      <c r="AN176" s="293">
        <v>30</v>
      </c>
      <c r="AO176" s="142">
        <v>30</v>
      </c>
      <c r="AP176" s="126">
        <v>30</v>
      </c>
      <c r="AQ176" s="1061"/>
      <c r="AR176" s="126"/>
      <c r="AS176" s="106">
        <v>30</v>
      </c>
      <c r="AT176" s="293"/>
      <c r="AU176" s="126"/>
      <c r="AV176" s="293">
        <v>30</v>
      </c>
      <c r="AW176" s="142">
        <v>30</v>
      </c>
      <c r="AX176" s="126">
        <v>30</v>
      </c>
      <c r="AY176" s="293"/>
      <c r="AZ176" s="126">
        <v>30</v>
      </c>
      <c r="BA176" s="1061"/>
      <c r="BB176" s="319">
        <v>30</v>
      </c>
      <c r="BC176" s="126">
        <v>30</v>
      </c>
      <c r="BD176" s="1061"/>
    </row>
    <row r="177" spans="1:279">
      <c r="A177" s="1077"/>
      <c r="B177" s="1084"/>
      <c r="C177" s="130" t="s">
        <v>51</v>
      </c>
      <c r="D177" s="189" t="s">
        <v>297</v>
      </c>
      <c r="E177" s="245"/>
      <c r="F177" s="250" t="s">
        <v>297</v>
      </c>
      <c r="G177" s="251" t="s">
        <v>297</v>
      </c>
      <c r="H177" s="143" t="s">
        <v>297</v>
      </c>
      <c r="I177" s="253" t="s">
        <v>297</v>
      </c>
      <c r="J177" s="254"/>
      <c r="K177" s="253" t="s">
        <v>297</v>
      </c>
      <c r="L177" s="254"/>
      <c r="M177" s="253"/>
      <c r="N177" s="254" t="s">
        <v>297</v>
      </c>
      <c r="O177" s="253"/>
      <c r="P177" s="254" t="s">
        <v>297</v>
      </c>
      <c r="Q177" s="253" t="s">
        <v>977</v>
      </c>
      <c r="R177" s="254"/>
      <c r="S177" s="253" t="s">
        <v>977</v>
      </c>
      <c r="T177" s="113"/>
      <c r="U177" s="400"/>
      <c r="V177" s="253" t="s">
        <v>977</v>
      </c>
      <c r="W177" s="113"/>
      <c r="X177" s="143" t="s">
        <v>297</v>
      </c>
      <c r="Y177" s="253" t="s">
        <v>977</v>
      </c>
      <c r="Z177" s="254"/>
      <c r="AA177" s="253"/>
      <c r="AB177" s="254" t="s">
        <v>977</v>
      </c>
      <c r="AC177" s="253" t="s">
        <v>297</v>
      </c>
      <c r="AD177" s="254"/>
      <c r="AE177" s="253" t="s">
        <v>297</v>
      </c>
      <c r="AF177" s="1061"/>
      <c r="AG177" s="253" t="s">
        <v>297</v>
      </c>
      <c r="AH177" s="1061"/>
      <c r="AI177" s="253" t="s">
        <v>297</v>
      </c>
      <c r="AJ177" s="1061"/>
      <c r="AK177" s="253" t="s">
        <v>297</v>
      </c>
      <c r="AL177" s="1061"/>
      <c r="AM177" s="1125"/>
      <c r="AN177" s="254" t="s">
        <v>297</v>
      </c>
      <c r="AO177" s="143" t="s">
        <v>297</v>
      </c>
      <c r="AP177" s="253" t="s">
        <v>297</v>
      </c>
      <c r="AQ177" s="1061"/>
      <c r="AR177" s="253"/>
      <c r="AS177" s="117" t="s">
        <v>297</v>
      </c>
      <c r="AT177" s="254"/>
      <c r="AU177" s="253"/>
      <c r="AV177" s="254" t="s">
        <v>297</v>
      </c>
      <c r="AW177" s="143" t="s">
        <v>297</v>
      </c>
      <c r="AX177" s="253" t="s">
        <v>297</v>
      </c>
      <c r="AY177" s="254"/>
      <c r="AZ177" s="253" t="s">
        <v>297</v>
      </c>
      <c r="BA177" s="1061"/>
      <c r="BB177" s="252" t="s">
        <v>977</v>
      </c>
      <c r="BC177" s="253" t="s">
        <v>297</v>
      </c>
      <c r="BD177" s="1061"/>
    </row>
    <row r="178" spans="1:279">
      <c r="A178" s="1077"/>
      <c r="B178" s="1084"/>
      <c r="C178" s="130" t="s">
        <v>52</v>
      </c>
      <c r="D178" s="188">
        <v>20</v>
      </c>
      <c r="E178" s="68"/>
      <c r="F178" s="274">
        <v>20</v>
      </c>
      <c r="G178" s="188">
        <v>20</v>
      </c>
      <c r="H178" s="142">
        <v>20</v>
      </c>
      <c r="I178" s="126">
        <v>20</v>
      </c>
      <c r="J178" s="293"/>
      <c r="K178" s="126">
        <v>20</v>
      </c>
      <c r="L178" s="293"/>
      <c r="M178" s="126"/>
      <c r="N178" s="293">
        <v>20</v>
      </c>
      <c r="O178" s="126"/>
      <c r="P178" s="293">
        <v>20</v>
      </c>
      <c r="Q178" s="126">
        <v>20</v>
      </c>
      <c r="R178" s="293"/>
      <c r="S178" s="126">
        <v>20</v>
      </c>
      <c r="T178" s="107"/>
      <c r="U178" s="400"/>
      <c r="V178" s="126">
        <v>20</v>
      </c>
      <c r="W178" s="107"/>
      <c r="X178" s="142">
        <v>20</v>
      </c>
      <c r="Y178" s="126">
        <v>20</v>
      </c>
      <c r="Z178" s="293"/>
      <c r="AA178" s="126"/>
      <c r="AB178" s="293">
        <v>20</v>
      </c>
      <c r="AC178" s="126">
        <v>20</v>
      </c>
      <c r="AD178" s="293"/>
      <c r="AE178" s="126">
        <v>20</v>
      </c>
      <c r="AF178" s="1061"/>
      <c r="AG178" s="126">
        <v>20</v>
      </c>
      <c r="AH178" s="1061"/>
      <c r="AI178" s="126">
        <v>20</v>
      </c>
      <c r="AJ178" s="1061"/>
      <c r="AK178" s="126">
        <v>20</v>
      </c>
      <c r="AL178" s="1061"/>
      <c r="AM178" s="1125"/>
      <c r="AN178" s="293">
        <v>20</v>
      </c>
      <c r="AO178" s="142">
        <v>20</v>
      </c>
      <c r="AP178" s="126">
        <v>20</v>
      </c>
      <c r="AQ178" s="1061"/>
      <c r="AR178" s="126"/>
      <c r="AS178" s="106">
        <v>20</v>
      </c>
      <c r="AT178" s="293"/>
      <c r="AU178" s="126"/>
      <c r="AV178" s="293">
        <v>20</v>
      </c>
      <c r="AW178" s="142">
        <v>20</v>
      </c>
      <c r="AX178" s="126">
        <v>20</v>
      </c>
      <c r="AY178" s="293"/>
      <c r="AZ178" s="126">
        <v>20</v>
      </c>
      <c r="BA178" s="1061"/>
      <c r="BB178" s="319"/>
      <c r="BC178" s="126">
        <v>20</v>
      </c>
      <c r="BD178" s="1061"/>
    </row>
    <row r="179" spans="1:279" ht="48">
      <c r="A179" s="1077"/>
      <c r="B179" s="1084"/>
      <c r="C179" s="130" t="s">
        <v>157</v>
      </c>
      <c r="D179" s="189" t="s">
        <v>179</v>
      </c>
      <c r="E179" s="245"/>
      <c r="F179" s="250" t="s">
        <v>179</v>
      </c>
      <c r="G179" s="251" t="s">
        <v>179</v>
      </c>
      <c r="H179" s="143" t="s">
        <v>1425</v>
      </c>
      <c r="I179" s="253" t="s">
        <v>1504</v>
      </c>
      <c r="J179" s="254"/>
      <c r="K179" s="253" t="s">
        <v>1512</v>
      </c>
      <c r="L179" s="254"/>
      <c r="M179" s="253"/>
      <c r="N179" s="254" t="s">
        <v>1513</v>
      </c>
      <c r="O179" s="253"/>
      <c r="P179" s="357" t="s">
        <v>1549</v>
      </c>
      <c r="Q179" s="253" t="s">
        <v>179</v>
      </c>
      <c r="R179" s="254"/>
      <c r="S179" s="253" t="s">
        <v>999</v>
      </c>
      <c r="T179" s="113"/>
      <c r="U179" s="400"/>
      <c r="V179" s="253" t="s">
        <v>999</v>
      </c>
      <c r="W179" s="113"/>
      <c r="X179" s="143" t="s">
        <v>782</v>
      </c>
      <c r="Y179" s="253" t="s">
        <v>999</v>
      </c>
      <c r="Z179" s="254"/>
      <c r="AA179" s="253"/>
      <c r="AB179" s="254" t="s">
        <v>179</v>
      </c>
      <c r="AC179" s="253" t="s">
        <v>999</v>
      </c>
      <c r="AD179" s="254"/>
      <c r="AE179" s="253" t="s">
        <v>388</v>
      </c>
      <c r="AF179" s="1061"/>
      <c r="AG179" s="253" t="s">
        <v>388</v>
      </c>
      <c r="AH179" s="1061"/>
      <c r="AI179" s="253" t="s">
        <v>498</v>
      </c>
      <c r="AJ179" s="1061"/>
      <c r="AK179" s="253" t="s">
        <v>540</v>
      </c>
      <c r="AL179" s="1061"/>
      <c r="AM179" s="1125"/>
      <c r="AN179" s="254" t="s">
        <v>597</v>
      </c>
      <c r="AO179" s="143" t="s">
        <v>912</v>
      </c>
      <c r="AP179" s="253" t="s">
        <v>644</v>
      </c>
      <c r="AQ179" s="1061"/>
      <c r="AR179" s="253"/>
      <c r="AS179" s="9">
        <v>41258</v>
      </c>
      <c r="AT179" s="357"/>
      <c r="AU179" s="253"/>
      <c r="AV179" s="357" t="s">
        <v>1618</v>
      </c>
      <c r="AW179" s="143" t="s">
        <v>179</v>
      </c>
      <c r="AX179" s="253" t="s">
        <v>999</v>
      </c>
      <c r="AY179" s="254"/>
      <c r="AZ179" s="253" t="s">
        <v>690</v>
      </c>
      <c r="BA179" s="1061"/>
      <c r="BB179" s="252" t="s">
        <v>999</v>
      </c>
      <c r="BC179" s="253" t="s">
        <v>742</v>
      </c>
      <c r="BD179" s="1061"/>
    </row>
    <row r="180" spans="1:279" ht="24">
      <c r="A180" s="1077"/>
      <c r="B180" s="1084"/>
      <c r="C180" s="130" t="s">
        <v>389</v>
      </c>
      <c r="D180" s="189" t="s">
        <v>882</v>
      </c>
      <c r="E180" s="245"/>
      <c r="F180" s="258" t="s">
        <v>298</v>
      </c>
      <c r="G180" s="251" t="s">
        <v>883</v>
      </c>
      <c r="H180" s="144" t="s">
        <v>192</v>
      </c>
      <c r="I180" s="253" t="s">
        <v>1494</v>
      </c>
      <c r="J180" s="277"/>
      <c r="K180" s="253" t="s">
        <v>1494</v>
      </c>
      <c r="L180" s="277"/>
      <c r="M180" s="253"/>
      <c r="N180" s="277" t="s">
        <v>195</v>
      </c>
      <c r="O180" s="253"/>
      <c r="P180" s="277" t="s">
        <v>1545</v>
      </c>
      <c r="Q180" s="253" t="s">
        <v>192</v>
      </c>
      <c r="R180" s="277"/>
      <c r="S180" s="253" t="s">
        <v>1361</v>
      </c>
      <c r="T180" s="118"/>
      <c r="U180" s="400"/>
      <c r="V180" s="253" t="s">
        <v>1207</v>
      </c>
      <c r="W180" s="118"/>
      <c r="X180" s="145" t="s">
        <v>756</v>
      </c>
      <c r="Y180" s="253" t="s">
        <v>1207</v>
      </c>
      <c r="Z180" s="277"/>
      <c r="AA180" s="253"/>
      <c r="AB180" s="277" t="s">
        <v>926</v>
      </c>
      <c r="AC180" s="253" t="s">
        <v>1085</v>
      </c>
      <c r="AD180" s="277"/>
      <c r="AE180" s="253" t="s">
        <v>379</v>
      </c>
      <c r="AF180" s="1061"/>
      <c r="AG180" s="253" t="s">
        <v>446</v>
      </c>
      <c r="AH180" s="1061"/>
      <c r="AI180" s="253" t="s">
        <v>446</v>
      </c>
      <c r="AJ180" s="1061"/>
      <c r="AK180" s="253" t="s">
        <v>509</v>
      </c>
      <c r="AL180" s="1061"/>
      <c r="AM180" s="1125"/>
      <c r="AN180" s="254" t="s">
        <v>551</v>
      </c>
      <c r="AO180" s="145" t="s">
        <v>897</v>
      </c>
      <c r="AP180" s="253" t="s">
        <v>608</v>
      </c>
      <c r="AQ180" s="1061"/>
      <c r="AR180" s="253"/>
      <c r="AS180" s="121" t="s">
        <v>1494</v>
      </c>
      <c r="AT180" s="277"/>
      <c r="AU180" s="253"/>
      <c r="AV180" s="277" t="s">
        <v>1619</v>
      </c>
      <c r="AW180" s="143" t="s">
        <v>821</v>
      </c>
      <c r="AX180" s="253" t="s">
        <v>1141</v>
      </c>
      <c r="AY180" s="277"/>
      <c r="AZ180" s="253" t="s">
        <v>687</v>
      </c>
      <c r="BA180" s="1061"/>
      <c r="BB180" s="252" t="s">
        <v>1023</v>
      </c>
      <c r="BC180" s="253" t="s">
        <v>737</v>
      </c>
      <c r="BD180" s="1061"/>
    </row>
    <row r="181" spans="1:279">
      <c r="A181" s="1077"/>
      <c r="B181" s="1084"/>
      <c r="C181" s="130" t="s">
        <v>45</v>
      </c>
      <c r="D181" s="216">
        <v>20</v>
      </c>
      <c r="E181" s="275"/>
      <c r="F181" s="258">
        <v>20</v>
      </c>
      <c r="G181" s="216">
        <v>20</v>
      </c>
      <c r="H181" s="144">
        <v>20</v>
      </c>
      <c r="I181" s="275">
        <v>20</v>
      </c>
      <c r="J181" s="277"/>
      <c r="K181" s="275">
        <v>20</v>
      </c>
      <c r="L181" s="277"/>
      <c r="M181" s="275"/>
      <c r="N181" s="277">
        <v>20</v>
      </c>
      <c r="O181" s="275"/>
      <c r="P181" s="277">
        <v>20</v>
      </c>
      <c r="Q181" s="275">
        <v>20</v>
      </c>
      <c r="R181" s="277"/>
      <c r="S181" s="275">
        <v>20</v>
      </c>
      <c r="T181" s="108"/>
      <c r="U181" s="400"/>
      <c r="V181" s="275">
        <v>20</v>
      </c>
      <c r="W181" s="118"/>
      <c r="X181" s="163">
        <v>20</v>
      </c>
      <c r="Y181" s="275">
        <v>20</v>
      </c>
      <c r="Z181" s="277"/>
      <c r="AA181" s="275"/>
      <c r="AB181" s="322">
        <v>20</v>
      </c>
      <c r="AC181" s="275">
        <v>20</v>
      </c>
      <c r="AD181" s="322"/>
      <c r="AE181" s="275">
        <v>20</v>
      </c>
      <c r="AF181" s="1062"/>
      <c r="AG181" s="275">
        <v>20</v>
      </c>
      <c r="AH181" s="1062"/>
      <c r="AI181" s="275">
        <v>20</v>
      </c>
      <c r="AJ181" s="1062"/>
      <c r="AK181" s="275">
        <v>20</v>
      </c>
      <c r="AL181" s="1062"/>
      <c r="AM181" s="1126"/>
      <c r="AN181" s="511">
        <v>20</v>
      </c>
      <c r="AO181" s="163">
        <v>20</v>
      </c>
      <c r="AP181" s="275">
        <v>20</v>
      </c>
      <c r="AQ181" s="1062"/>
      <c r="AR181" s="275"/>
      <c r="AS181" s="121">
        <v>20</v>
      </c>
      <c r="AT181" s="277"/>
      <c r="AU181" s="275"/>
      <c r="AV181" s="277">
        <v>20</v>
      </c>
      <c r="AW181" s="163">
        <v>20</v>
      </c>
      <c r="AX181" s="275">
        <v>20</v>
      </c>
      <c r="AY181" s="322"/>
      <c r="AZ181" s="275">
        <v>20</v>
      </c>
      <c r="BA181" s="1062"/>
      <c r="BB181" s="567">
        <v>20</v>
      </c>
      <c r="BC181" s="275">
        <v>20</v>
      </c>
      <c r="BD181" s="1062"/>
    </row>
    <row r="182" spans="1:279" ht="36">
      <c r="A182" s="1077"/>
      <c r="B182" s="1084"/>
      <c r="C182" s="130" t="s">
        <v>173</v>
      </c>
      <c r="D182" s="217">
        <v>100</v>
      </c>
      <c r="E182" s="1024">
        <v>100</v>
      </c>
      <c r="F182" s="1025"/>
      <c r="G182" s="217">
        <v>100</v>
      </c>
      <c r="H182" s="144">
        <v>100</v>
      </c>
      <c r="I182" s="1209">
        <f>+I181+I178+I176+I174</f>
        <v>100</v>
      </c>
      <c r="J182" s="1025"/>
      <c r="K182" s="1209">
        <f>+K181+K178+K176+K174</f>
        <v>100</v>
      </c>
      <c r="L182" s="1025"/>
      <c r="M182" s="1209">
        <f>+M181+M178+M176+M174+N181+N178+N176+N174</f>
        <v>100</v>
      </c>
      <c r="N182" s="1025"/>
      <c r="O182" s="1209">
        <f>+O181+O178+O176+O174+P181+P178+P176+P174</f>
        <v>100</v>
      </c>
      <c r="P182" s="1025"/>
      <c r="Q182" s="1005">
        <v>100</v>
      </c>
      <c r="R182" s="1207"/>
      <c r="S182" s="962">
        <v>100</v>
      </c>
      <c r="T182" s="963"/>
      <c r="U182" s="400"/>
      <c r="V182" s="1024">
        <v>100</v>
      </c>
      <c r="W182" s="1035"/>
      <c r="X182" s="449">
        <f>+X181+X178+X176+X174</f>
        <v>100</v>
      </c>
      <c r="Y182" s="1024">
        <v>100</v>
      </c>
      <c r="Z182" s="1025"/>
      <c r="AA182" s="962">
        <v>100</v>
      </c>
      <c r="AB182" s="991"/>
      <c r="AC182" s="962">
        <v>100</v>
      </c>
      <c r="AD182" s="991"/>
      <c r="AE182" s="1059">
        <f>+AE181+AE178+AE174</f>
        <v>70</v>
      </c>
      <c r="AF182" s="991"/>
      <c r="AG182" s="1059">
        <f>+AG181+AG178+AG176+AG174</f>
        <v>100</v>
      </c>
      <c r="AH182" s="991"/>
      <c r="AI182" s="1059">
        <f>+AI181+AI178+AI176+AI174</f>
        <v>100</v>
      </c>
      <c r="AJ182" s="991"/>
      <c r="AK182" s="1059">
        <f>+AK181+AK178+AK176+AK174</f>
        <v>100</v>
      </c>
      <c r="AL182" s="991"/>
      <c r="AM182" s="1059">
        <v>100</v>
      </c>
      <c r="AN182" s="991"/>
      <c r="AO182" s="513">
        <f>+AO181+AO178+AO176+AO174</f>
        <v>100</v>
      </c>
      <c r="AP182" s="1059">
        <f>+AP181+AP178+AP176+AP174</f>
        <v>100</v>
      </c>
      <c r="AQ182" s="991"/>
      <c r="AR182" s="1230">
        <f>+AR181+AR178+AR176+AR174+AS181+AS178+AS176+AS174</f>
        <v>100</v>
      </c>
      <c r="AS182" s="1231"/>
      <c r="AT182" s="1232"/>
      <c r="AU182" s="1209">
        <f>+AU181+AU178+AU176+AU174+AV181+AV178+AV176+AV174</f>
        <v>100</v>
      </c>
      <c r="AV182" s="1025"/>
      <c r="AW182" s="164">
        <v>100</v>
      </c>
      <c r="AX182" s="962">
        <v>100</v>
      </c>
      <c r="AY182" s="991"/>
      <c r="AZ182" s="1059">
        <f>+AZ181+AZ178+AZ176+AZ174</f>
        <v>100</v>
      </c>
      <c r="BA182" s="991"/>
      <c r="BB182" s="568">
        <v>100</v>
      </c>
      <c r="BC182" s="1059">
        <f>+BC181+BC178+BC176+BC174</f>
        <v>100</v>
      </c>
      <c r="BD182" s="991"/>
    </row>
    <row r="183" spans="1:279" ht="30.75" customHeight="1">
      <c r="A183" s="1077"/>
      <c r="B183" s="1084"/>
      <c r="C183" s="130" t="s">
        <v>0</v>
      </c>
      <c r="D183" s="204" t="s">
        <v>872</v>
      </c>
      <c r="E183" s="1031" t="s">
        <v>77</v>
      </c>
      <c r="F183" s="1032"/>
      <c r="G183" s="204"/>
      <c r="H183" s="154" t="s">
        <v>394</v>
      </c>
      <c r="I183" s="1031" t="s">
        <v>77</v>
      </c>
      <c r="J183" s="1032"/>
      <c r="K183" s="1031" t="s">
        <v>77</v>
      </c>
      <c r="L183" s="1032"/>
      <c r="M183" s="1031" t="s">
        <v>77</v>
      </c>
      <c r="N183" s="1032"/>
      <c r="O183" s="1031" t="s">
        <v>77</v>
      </c>
      <c r="P183" s="1032"/>
      <c r="Q183" s="1012" t="s">
        <v>77</v>
      </c>
      <c r="R183" s="1208"/>
      <c r="S183" s="1012" t="s">
        <v>77</v>
      </c>
      <c r="T183" s="1013"/>
      <c r="U183" s="974"/>
      <c r="V183" s="1031" t="s">
        <v>77</v>
      </c>
      <c r="W183" s="1007"/>
      <c r="X183" s="333" t="s">
        <v>77</v>
      </c>
      <c r="Y183" s="1031" t="s">
        <v>77</v>
      </c>
      <c r="Z183" s="1032"/>
      <c r="AA183" s="1031" t="s">
        <v>77</v>
      </c>
      <c r="AB183" s="1032"/>
      <c r="AC183" s="1031" t="s">
        <v>77</v>
      </c>
      <c r="AD183" s="1032"/>
      <c r="AE183" s="1119" t="s">
        <v>387</v>
      </c>
      <c r="AF183" s="1120"/>
      <c r="AG183" s="1024" t="s">
        <v>77</v>
      </c>
      <c r="AH183" s="1025"/>
      <c r="AI183" s="1024" t="s">
        <v>77</v>
      </c>
      <c r="AJ183" s="1025"/>
      <c r="AK183" s="1024" t="s">
        <v>77</v>
      </c>
      <c r="AL183" s="1025"/>
      <c r="AM183" s="1024" t="s">
        <v>77</v>
      </c>
      <c r="AN183" s="1025"/>
      <c r="AO183" s="333" t="s">
        <v>77</v>
      </c>
      <c r="AP183" s="1024" t="s">
        <v>77</v>
      </c>
      <c r="AQ183" s="1025"/>
      <c r="AR183" s="1012" t="s">
        <v>77</v>
      </c>
      <c r="AS183" s="1013"/>
      <c r="AT183" s="1208"/>
      <c r="AU183" s="1031" t="s">
        <v>77</v>
      </c>
      <c r="AV183" s="1032"/>
      <c r="AW183" s="154" t="s">
        <v>394</v>
      </c>
      <c r="AX183" s="1031" t="s">
        <v>77</v>
      </c>
      <c r="AY183" s="1032"/>
      <c r="AZ183" s="1024" t="s">
        <v>77</v>
      </c>
      <c r="BA183" s="1025"/>
      <c r="BB183" s="557" t="s">
        <v>77</v>
      </c>
      <c r="BC183" s="1024" t="s">
        <v>77</v>
      </c>
      <c r="BD183" s="1025"/>
    </row>
    <row r="184" spans="1:279" ht="27" customHeight="1">
      <c r="A184" s="1077" t="s">
        <v>99</v>
      </c>
      <c r="B184" s="1084" t="s">
        <v>181</v>
      </c>
      <c r="C184" s="69" t="s">
        <v>33</v>
      </c>
      <c r="D184" s="189" t="s">
        <v>175</v>
      </c>
      <c r="E184" s="966" t="s">
        <v>78</v>
      </c>
      <c r="F184" s="967"/>
      <c r="G184" s="251" t="s">
        <v>175</v>
      </c>
      <c r="H184" s="143" t="s">
        <v>78</v>
      </c>
      <c r="I184" s="966" t="s">
        <v>78</v>
      </c>
      <c r="J184" s="967"/>
      <c r="K184" s="966" t="s">
        <v>78</v>
      </c>
      <c r="L184" s="967"/>
      <c r="M184" s="966" t="s">
        <v>78</v>
      </c>
      <c r="N184" s="967"/>
      <c r="O184" s="966" t="s">
        <v>78</v>
      </c>
      <c r="P184" s="967"/>
      <c r="Q184" s="998" t="s">
        <v>78</v>
      </c>
      <c r="R184" s="1000"/>
      <c r="S184" s="998" t="s">
        <v>78</v>
      </c>
      <c r="T184" s="999"/>
      <c r="U184" s="974"/>
      <c r="V184" s="966" t="s">
        <v>78</v>
      </c>
      <c r="W184" s="990"/>
      <c r="X184" s="145" t="s">
        <v>78</v>
      </c>
      <c r="Y184" s="966" t="s">
        <v>78</v>
      </c>
      <c r="Z184" s="967"/>
      <c r="AA184" s="966" t="s">
        <v>78</v>
      </c>
      <c r="AB184" s="967"/>
      <c r="AC184" s="966" t="s">
        <v>78</v>
      </c>
      <c r="AD184" s="967"/>
      <c r="AE184" s="966" t="s">
        <v>78</v>
      </c>
      <c r="AF184" s="967"/>
      <c r="AG184" s="966" t="s">
        <v>78</v>
      </c>
      <c r="AH184" s="967"/>
      <c r="AI184" s="966" t="s">
        <v>78</v>
      </c>
      <c r="AJ184" s="967"/>
      <c r="AK184" s="966" t="s">
        <v>78</v>
      </c>
      <c r="AL184" s="967"/>
      <c r="AM184" s="966" t="s">
        <v>78</v>
      </c>
      <c r="AN184" s="967"/>
      <c r="AO184" s="145" t="s">
        <v>78</v>
      </c>
      <c r="AP184" s="966" t="s">
        <v>78</v>
      </c>
      <c r="AQ184" s="967"/>
      <c r="AR184" s="998" t="s">
        <v>78</v>
      </c>
      <c r="AS184" s="999"/>
      <c r="AT184" s="1000"/>
      <c r="AU184" s="966" t="s">
        <v>78</v>
      </c>
      <c r="AV184" s="967"/>
      <c r="AW184" s="143" t="s">
        <v>78</v>
      </c>
      <c r="AX184" s="966" t="s">
        <v>78</v>
      </c>
      <c r="AY184" s="967"/>
      <c r="AZ184" s="966" t="s">
        <v>78</v>
      </c>
      <c r="BA184" s="967"/>
      <c r="BB184" s="252" t="s">
        <v>863</v>
      </c>
      <c r="BC184" s="966" t="s">
        <v>78</v>
      </c>
      <c r="BD184" s="967"/>
    </row>
    <row r="185" spans="1:279" s="1" customFormat="1" ht="86.25" customHeight="1">
      <c r="A185" s="1077"/>
      <c r="B185" s="1084"/>
      <c r="C185" s="130" t="s">
        <v>53</v>
      </c>
      <c r="D185" s="189" t="s">
        <v>884</v>
      </c>
      <c r="E185" s="966" t="s">
        <v>299</v>
      </c>
      <c r="F185" s="967"/>
      <c r="G185" s="251" t="s">
        <v>885</v>
      </c>
      <c r="H185" s="143" t="s">
        <v>1426</v>
      </c>
      <c r="I185" s="966" t="s">
        <v>299</v>
      </c>
      <c r="J185" s="967"/>
      <c r="K185" s="966" t="s">
        <v>299</v>
      </c>
      <c r="L185" s="967"/>
      <c r="M185" s="966" t="s">
        <v>299</v>
      </c>
      <c r="N185" s="967"/>
      <c r="O185" s="966" t="s">
        <v>299</v>
      </c>
      <c r="P185" s="967"/>
      <c r="Q185" s="998" t="s">
        <v>299</v>
      </c>
      <c r="R185" s="1000"/>
      <c r="S185" s="998" t="s">
        <v>978</v>
      </c>
      <c r="T185" s="999"/>
      <c r="U185" s="974"/>
      <c r="V185" s="966" t="s">
        <v>1208</v>
      </c>
      <c r="W185" s="990"/>
      <c r="X185" s="145" t="s">
        <v>744</v>
      </c>
      <c r="Y185" s="966" t="s">
        <v>1269</v>
      </c>
      <c r="Z185" s="967"/>
      <c r="AA185" s="966" t="s">
        <v>978</v>
      </c>
      <c r="AB185" s="967"/>
      <c r="AC185" s="966" t="s">
        <v>1090</v>
      </c>
      <c r="AD185" s="967"/>
      <c r="AE185" s="966" t="s">
        <v>390</v>
      </c>
      <c r="AF185" s="967"/>
      <c r="AG185" s="966" t="s">
        <v>453</v>
      </c>
      <c r="AH185" s="967"/>
      <c r="AI185" s="966" t="s">
        <v>499</v>
      </c>
      <c r="AJ185" s="967"/>
      <c r="AK185" s="966" t="s">
        <v>542</v>
      </c>
      <c r="AL185" s="967"/>
      <c r="AM185" s="966" t="s">
        <v>599</v>
      </c>
      <c r="AN185" s="967"/>
      <c r="AO185" s="145" t="s">
        <v>915</v>
      </c>
      <c r="AP185" s="966" t="s">
        <v>646</v>
      </c>
      <c r="AQ185" s="967"/>
      <c r="AR185" s="998" t="s">
        <v>299</v>
      </c>
      <c r="AS185" s="999"/>
      <c r="AT185" s="1000"/>
      <c r="AU185" s="966" t="s">
        <v>299</v>
      </c>
      <c r="AV185" s="967"/>
      <c r="AW185" s="143" t="s">
        <v>822</v>
      </c>
      <c r="AX185" s="966" t="s">
        <v>1090</v>
      </c>
      <c r="AY185" s="967"/>
      <c r="AZ185" s="966" t="s">
        <v>692</v>
      </c>
      <c r="BA185" s="967"/>
      <c r="BB185" s="252" t="s">
        <v>1041</v>
      </c>
      <c r="BC185" s="966" t="s">
        <v>744</v>
      </c>
      <c r="BD185" s="967"/>
      <c r="JS185" s="5"/>
    </row>
    <row r="186" spans="1:279" s="1" customFormat="1" ht="79.5" customHeight="1">
      <c r="A186" s="1077"/>
      <c r="B186" s="1084"/>
      <c r="C186" s="130" t="s">
        <v>54</v>
      </c>
      <c r="D186" s="189" t="s">
        <v>886</v>
      </c>
      <c r="E186" s="966" t="s">
        <v>300</v>
      </c>
      <c r="F186" s="967"/>
      <c r="G186" s="251" t="s">
        <v>887</v>
      </c>
      <c r="H186" s="143" t="s">
        <v>1427</v>
      </c>
      <c r="I186" s="966" t="s">
        <v>300</v>
      </c>
      <c r="J186" s="967"/>
      <c r="K186" s="966" t="s">
        <v>300</v>
      </c>
      <c r="L186" s="967"/>
      <c r="M186" s="966" t="s">
        <v>300</v>
      </c>
      <c r="N186" s="967"/>
      <c r="O186" s="966" t="s">
        <v>300</v>
      </c>
      <c r="P186" s="967"/>
      <c r="Q186" s="998" t="s">
        <v>1314</v>
      </c>
      <c r="R186" s="1000"/>
      <c r="S186" s="998" t="s">
        <v>1369</v>
      </c>
      <c r="T186" s="999"/>
      <c r="U186" s="974"/>
      <c r="V186" s="966" t="s">
        <v>1209</v>
      </c>
      <c r="W186" s="990"/>
      <c r="X186" s="145" t="s">
        <v>744</v>
      </c>
      <c r="Y186" s="966" t="s">
        <v>1270</v>
      </c>
      <c r="Z186" s="967"/>
      <c r="AA186" s="966" t="s">
        <v>979</v>
      </c>
      <c r="AB186" s="967"/>
      <c r="AC186" s="966" t="s">
        <v>1091</v>
      </c>
      <c r="AD186" s="967"/>
      <c r="AE186" s="966" t="s">
        <v>390</v>
      </c>
      <c r="AF186" s="967"/>
      <c r="AG186" s="966" t="s">
        <v>453</v>
      </c>
      <c r="AH186" s="967"/>
      <c r="AI186" s="966" t="s">
        <v>500</v>
      </c>
      <c r="AJ186" s="967"/>
      <c r="AK186" s="966" t="s">
        <v>542</v>
      </c>
      <c r="AL186" s="967"/>
      <c r="AM186" s="966" t="s">
        <v>600</v>
      </c>
      <c r="AN186" s="967"/>
      <c r="AO186" s="145" t="s">
        <v>915</v>
      </c>
      <c r="AP186" s="966" t="s">
        <v>646</v>
      </c>
      <c r="AQ186" s="967"/>
      <c r="AR186" s="998" t="s">
        <v>300</v>
      </c>
      <c r="AS186" s="999"/>
      <c r="AT186" s="1000"/>
      <c r="AU186" s="966" t="s">
        <v>300</v>
      </c>
      <c r="AV186" s="967"/>
      <c r="AW186" s="143" t="s">
        <v>300</v>
      </c>
      <c r="AX186" s="966" t="s">
        <v>1091</v>
      </c>
      <c r="AY186" s="967"/>
      <c r="AZ186" s="966" t="s">
        <v>692</v>
      </c>
      <c r="BA186" s="967"/>
      <c r="BB186" s="252" t="s">
        <v>1042</v>
      </c>
      <c r="BC186" s="966" t="s">
        <v>744</v>
      </c>
      <c r="BD186" s="967"/>
      <c r="JS186" s="5"/>
    </row>
    <row r="187" spans="1:279" s="1" customFormat="1" ht="37.5" customHeight="1">
      <c r="A187" s="1077"/>
      <c r="B187" s="1084"/>
      <c r="C187" s="130" t="s">
        <v>226</v>
      </c>
      <c r="D187" s="189" t="s">
        <v>838</v>
      </c>
      <c r="E187" s="998" t="s">
        <v>262</v>
      </c>
      <c r="F187" s="1000"/>
      <c r="G187" s="251" t="s">
        <v>839</v>
      </c>
      <c r="H187" s="143" t="s">
        <v>262</v>
      </c>
      <c r="I187" s="998" t="s">
        <v>262</v>
      </c>
      <c r="J187" s="1000"/>
      <c r="K187" s="998" t="s">
        <v>262</v>
      </c>
      <c r="L187" s="1000"/>
      <c r="M187" s="998" t="s">
        <v>262</v>
      </c>
      <c r="N187" s="1000"/>
      <c r="O187" s="998" t="s">
        <v>262</v>
      </c>
      <c r="P187" s="1000"/>
      <c r="Q187" s="998" t="s">
        <v>262</v>
      </c>
      <c r="R187" s="1000"/>
      <c r="S187" s="998" t="s">
        <v>262</v>
      </c>
      <c r="T187" s="999"/>
      <c r="U187" s="974"/>
      <c r="V187" s="998" t="s">
        <v>1210</v>
      </c>
      <c r="W187" s="999"/>
      <c r="X187" s="145" t="s">
        <v>756</v>
      </c>
      <c r="Y187" s="998" t="s">
        <v>1240</v>
      </c>
      <c r="Z187" s="1000"/>
      <c r="AA187" s="998" t="s">
        <v>262</v>
      </c>
      <c r="AB187" s="1000"/>
      <c r="AC187" s="998" t="s">
        <v>1085</v>
      </c>
      <c r="AD187" s="1000"/>
      <c r="AE187" s="998" t="s">
        <v>358</v>
      </c>
      <c r="AF187" s="1000"/>
      <c r="AG187" s="998" t="s">
        <v>421</v>
      </c>
      <c r="AH187" s="1000"/>
      <c r="AI187" s="998" t="s">
        <v>461</v>
      </c>
      <c r="AJ187" s="1000"/>
      <c r="AK187" s="998" t="s">
        <v>508</v>
      </c>
      <c r="AL187" s="1000"/>
      <c r="AM187" s="998" t="s">
        <v>551</v>
      </c>
      <c r="AN187" s="1000"/>
      <c r="AO187" s="145" t="s">
        <v>897</v>
      </c>
      <c r="AP187" s="998" t="s">
        <v>607</v>
      </c>
      <c r="AQ187" s="1000"/>
      <c r="AR187" s="998" t="s">
        <v>262</v>
      </c>
      <c r="AS187" s="999"/>
      <c r="AT187" s="1000"/>
      <c r="AU187" s="998" t="s">
        <v>262</v>
      </c>
      <c r="AV187" s="1000"/>
      <c r="AW187" s="143" t="s">
        <v>262</v>
      </c>
      <c r="AX187" s="998" t="s">
        <v>1141</v>
      </c>
      <c r="AY187" s="1000"/>
      <c r="AZ187" s="998" t="s">
        <v>693</v>
      </c>
      <c r="BA187" s="1000"/>
      <c r="BB187" s="252" t="s">
        <v>1023</v>
      </c>
      <c r="BC187" s="998" t="s">
        <v>699</v>
      </c>
      <c r="BD187" s="1000"/>
      <c r="JS187" s="5"/>
    </row>
    <row r="188" spans="1:279" s="1" customFormat="1">
      <c r="A188" s="1077"/>
      <c r="B188" s="1084"/>
      <c r="C188" s="130" t="s">
        <v>0</v>
      </c>
      <c r="D188" s="189" t="s">
        <v>394</v>
      </c>
      <c r="E188" s="966" t="s">
        <v>77</v>
      </c>
      <c r="F188" s="967"/>
      <c r="G188" s="251" t="s">
        <v>394</v>
      </c>
      <c r="H188" s="143" t="s">
        <v>394</v>
      </c>
      <c r="I188" s="966" t="s">
        <v>77</v>
      </c>
      <c r="J188" s="967"/>
      <c r="K188" s="966" t="s">
        <v>77</v>
      </c>
      <c r="L188" s="967"/>
      <c r="M188" s="966" t="s">
        <v>77</v>
      </c>
      <c r="N188" s="967"/>
      <c r="O188" s="966" t="s">
        <v>77</v>
      </c>
      <c r="P188" s="967"/>
      <c r="Q188" s="998" t="s">
        <v>77</v>
      </c>
      <c r="R188" s="1000"/>
      <c r="S188" s="998" t="s">
        <v>77</v>
      </c>
      <c r="T188" s="999"/>
      <c r="U188" s="974"/>
      <c r="V188" s="966" t="s">
        <v>77</v>
      </c>
      <c r="W188" s="990"/>
      <c r="X188" s="145" t="s">
        <v>77</v>
      </c>
      <c r="Y188" s="966" t="s">
        <v>77</v>
      </c>
      <c r="Z188" s="967"/>
      <c r="AA188" s="966" t="s">
        <v>77</v>
      </c>
      <c r="AB188" s="967"/>
      <c r="AC188" s="966" t="s">
        <v>77</v>
      </c>
      <c r="AD188" s="967"/>
      <c r="AE188" s="966" t="s">
        <v>77</v>
      </c>
      <c r="AF188" s="967"/>
      <c r="AG188" s="966" t="s">
        <v>77</v>
      </c>
      <c r="AH188" s="967"/>
      <c r="AI188" s="966" t="s">
        <v>77</v>
      </c>
      <c r="AJ188" s="967"/>
      <c r="AK188" s="966" t="s">
        <v>77</v>
      </c>
      <c r="AL188" s="967"/>
      <c r="AM188" s="966" t="s">
        <v>77</v>
      </c>
      <c r="AN188" s="967"/>
      <c r="AO188" s="145" t="s">
        <v>77</v>
      </c>
      <c r="AP188" s="966" t="s">
        <v>77</v>
      </c>
      <c r="AQ188" s="967"/>
      <c r="AR188" s="998" t="s">
        <v>77</v>
      </c>
      <c r="AS188" s="999"/>
      <c r="AT188" s="1000"/>
      <c r="AU188" s="966" t="s">
        <v>77</v>
      </c>
      <c r="AV188" s="967"/>
      <c r="AW188" s="143" t="s">
        <v>394</v>
      </c>
      <c r="AX188" s="966" t="s">
        <v>77</v>
      </c>
      <c r="AY188" s="967"/>
      <c r="AZ188" s="966" t="s">
        <v>77</v>
      </c>
      <c r="BA188" s="967"/>
      <c r="BB188" s="252" t="s">
        <v>77</v>
      </c>
      <c r="BC188" s="966" t="s">
        <v>77</v>
      </c>
      <c r="BD188" s="967"/>
      <c r="JS188" s="5"/>
    </row>
    <row r="189" spans="1:279" s="1" customFormat="1" ht="33" customHeight="1">
      <c r="A189" s="1077" t="s">
        <v>100</v>
      </c>
      <c r="B189" s="1084" t="s">
        <v>182</v>
      </c>
      <c r="C189" s="69" t="s">
        <v>33</v>
      </c>
      <c r="D189" s="189" t="s">
        <v>175</v>
      </c>
      <c r="E189" s="966" t="s">
        <v>175</v>
      </c>
      <c r="F189" s="967"/>
      <c r="G189" s="251" t="s">
        <v>175</v>
      </c>
      <c r="H189" s="143" t="s">
        <v>175</v>
      </c>
      <c r="I189" s="966" t="s">
        <v>175</v>
      </c>
      <c r="J189" s="967"/>
      <c r="K189" s="966" t="s">
        <v>175</v>
      </c>
      <c r="L189" s="967"/>
      <c r="M189" s="966" t="s">
        <v>175</v>
      </c>
      <c r="N189" s="967"/>
      <c r="O189" s="966" t="s">
        <v>175</v>
      </c>
      <c r="P189" s="967"/>
      <c r="Q189" s="998" t="s">
        <v>175</v>
      </c>
      <c r="R189" s="1000"/>
      <c r="S189" s="998" t="s">
        <v>175</v>
      </c>
      <c r="T189" s="999"/>
      <c r="U189" s="974"/>
      <c r="V189" s="966" t="s">
        <v>175</v>
      </c>
      <c r="W189" s="990"/>
      <c r="X189" s="145" t="s">
        <v>175</v>
      </c>
      <c r="Y189" s="966" t="s">
        <v>175</v>
      </c>
      <c r="Z189" s="967"/>
      <c r="AA189" s="966" t="s">
        <v>175</v>
      </c>
      <c r="AB189" s="967"/>
      <c r="AC189" s="966" t="s">
        <v>175</v>
      </c>
      <c r="AD189" s="967"/>
      <c r="AE189" s="966" t="s">
        <v>175</v>
      </c>
      <c r="AF189" s="967"/>
      <c r="AG189" s="966" t="s">
        <v>175</v>
      </c>
      <c r="AH189" s="967"/>
      <c r="AI189" s="966" t="s">
        <v>175</v>
      </c>
      <c r="AJ189" s="967"/>
      <c r="AK189" s="966" t="s">
        <v>175</v>
      </c>
      <c r="AL189" s="967"/>
      <c r="AM189" s="966" t="s">
        <v>175</v>
      </c>
      <c r="AN189" s="967"/>
      <c r="AO189" s="143" t="s">
        <v>175</v>
      </c>
      <c r="AP189" s="966" t="s">
        <v>175</v>
      </c>
      <c r="AQ189" s="967"/>
      <c r="AR189" s="998" t="s">
        <v>175</v>
      </c>
      <c r="AS189" s="999"/>
      <c r="AT189" s="1000"/>
      <c r="AU189" s="966" t="s">
        <v>175</v>
      </c>
      <c r="AV189" s="967"/>
      <c r="AW189" s="143" t="s">
        <v>175</v>
      </c>
      <c r="AX189" s="966" t="s">
        <v>175</v>
      </c>
      <c r="AY189" s="967"/>
      <c r="AZ189" s="966" t="s">
        <v>175</v>
      </c>
      <c r="BA189" s="967"/>
      <c r="BB189" s="252" t="s">
        <v>264</v>
      </c>
      <c r="BC189" s="966" t="s">
        <v>175</v>
      </c>
      <c r="BD189" s="967"/>
      <c r="JS189" s="5"/>
    </row>
    <row r="190" spans="1:279" s="1" customFormat="1" ht="32.25" customHeight="1">
      <c r="A190" s="1077"/>
      <c r="B190" s="1084"/>
      <c r="C190" s="130" t="s">
        <v>81</v>
      </c>
      <c r="D190" s="189">
        <v>200</v>
      </c>
      <c r="E190" s="966">
        <v>200</v>
      </c>
      <c r="F190" s="967"/>
      <c r="G190" s="251">
        <v>200</v>
      </c>
      <c r="H190" s="143">
        <v>200</v>
      </c>
      <c r="I190" s="966">
        <v>200</v>
      </c>
      <c r="J190" s="967"/>
      <c r="K190" s="966">
        <v>200</v>
      </c>
      <c r="L190" s="967"/>
      <c r="M190" s="966">
        <v>200</v>
      </c>
      <c r="N190" s="967"/>
      <c r="O190" s="966">
        <v>200</v>
      </c>
      <c r="P190" s="967"/>
      <c r="Q190" s="998">
        <v>200</v>
      </c>
      <c r="R190" s="1000"/>
      <c r="S190" s="948">
        <v>200</v>
      </c>
      <c r="T190" s="949"/>
      <c r="U190" s="974"/>
      <c r="V190" s="964">
        <v>200</v>
      </c>
      <c r="W190" s="965"/>
      <c r="X190" s="450">
        <v>200</v>
      </c>
      <c r="Y190" s="964">
        <v>200</v>
      </c>
      <c r="Z190" s="969"/>
      <c r="AA190" s="964">
        <v>200</v>
      </c>
      <c r="AB190" s="969"/>
      <c r="AC190" s="964">
        <v>200</v>
      </c>
      <c r="AD190" s="969"/>
      <c r="AE190" s="964">
        <v>200</v>
      </c>
      <c r="AF190" s="969"/>
      <c r="AG190" s="964">
        <v>200</v>
      </c>
      <c r="AH190" s="969"/>
      <c r="AI190" s="964">
        <v>200</v>
      </c>
      <c r="AJ190" s="969"/>
      <c r="AK190" s="964">
        <v>200</v>
      </c>
      <c r="AL190" s="969"/>
      <c r="AM190" s="964">
        <v>200</v>
      </c>
      <c r="AN190" s="969"/>
      <c r="AO190" s="142">
        <v>200</v>
      </c>
      <c r="AP190" s="964">
        <v>200</v>
      </c>
      <c r="AQ190" s="969"/>
      <c r="AR190" s="998">
        <v>200</v>
      </c>
      <c r="AS190" s="999"/>
      <c r="AT190" s="1000"/>
      <c r="AU190" s="966">
        <v>200</v>
      </c>
      <c r="AV190" s="967"/>
      <c r="AW190" s="143">
        <v>200</v>
      </c>
      <c r="AX190" s="964">
        <v>200</v>
      </c>
      <c r="AY190" s="969"/>
      <c r="AZ190" s="964">
        <v>200</v>
      </c>
      <c r="BA190" s="969"/>
      <c r="BB190" s="319">
        <v>200</v>
      </c>
      <c r="BC190" s="964">
        <v>200</v>
      </c>
      <c r="BD190" s="969"/>
      <c r="JS190" s="5"/>
    </row>
    <row r="191" spans="1:279" s="1" customFormat="1" ht="37.5" customHeight="1">
      <c r="A191" s="1118" t="s">
        <v>160</v>
      </c>
      <c r="B191" s="1084" t="s">
        <v>97</v>
      </c>
      <c r="C191" s="69" t="s">
        <v>33</v>
      </c>
      <c r="D191" s="189" t="s">
        <v>175</v>
      </c>
      <c r="E191" s="248" t="s">
        <v>175</v>
      </c>
      <c r="F191" s="249" t="s">
        <v>175</v>
      </c>
      <c r="G191" s="251" t="s">
        <v>175</v>
      </c>
      <c r="H191" s="145" t="s">
        <v>175</v>
      </c>
      <c r="I191" s="248" t="s">
        <v>175</v>
      </c>
      <c r="J191" s="249" t="s">
        <v>175</v>
      </c>
      <c r="K191" s="248" t="s">
        <v>175</v>
      </c>
      <c r="L191" s="249" t="s">
        <v>175</v>
      </c>
      <c r="M191" s="248" t="s">
        <v>175</v>
      </c>
      <c r="N191" s="249" t="s">
        <v>175</v>
      </c>
      <c r="O191" s="248" t="s">
        <v>175</v>
      </c>
      <c r="P191" s="249" t="s">
        <v>175</v>
      </c>
      <c r="Q191" s="248" t="s">
        <v>175</v>
      </c>
      <c r="R191" s="249" t="s">
        <v>175</v>
      </c>
      <c r="S191" s="253" t="s">
        <v>175</v>
      </c>
      <c r="T191" s="113" t="s">
        <v>175</v>
      </c>
      <c r="U191" s="113" t="s">
        <v>175</v>
      </c>
      <c r="V191" s="248" t="s">
        <v>175</v>
      </c>
      <c r="W191" s="98" t="s">
        <v>175</v>
      </c>
      <c r="X191" s="143" t="s">
        <v>175</v>
      </c>
      <c r="Y191" s="248" t="s">
        <v>175</v>
      </c>
      <c r="Z191" s="249" t="s">
        <v>175</v>
      </c>
      <c r="AA191" s="253" t="s">
        <v>175</v>
      </c>
      <c r="AB191" s="254" t="s">
        <v>175</v>
      </c>
      <c r="AC191" s="253" t="s">
        <v>175</v>
      </c>
      <c r="AD191" s="254" t="s">
        <v>175</v>
      </c>
      <c r="AE191" s="253" t="s">
        <v>175</v>
      </c>
      <c r="AF191" s="254" t="s">
        <v>175</v>
      </c>
      <c r="AG191" s="253" t="s">
        <v>175</v>
      </c>
      <c r="AH191" s="254" t="s">
        <v>175</v>
      </c>
      <c r="AI191" s="253" t="s">
        <v>175</v>
      </c>
      <c r="AJ191" s="254" t="s">
        <v>175</v>
      </c>
      <c r="AK191" s="253" t="s">
        <v>175</v>
      </c>
      <c r="AL191" s="254" t="s">
        <v>175</v>
      </c>
      <c r="AM191" s="253" t="s">
        <v>175</v>
      </c>
      <c r="AN191" s="254" t="s">
        <v>175</v>
      </c>
      <c r="AO191" s="143" t="s">
        <v>175</v>
      </c>
      <c r="AP191" s="253" t="s">
        <v>175</v>
      </c>
      <c r="AQ191" s="254" t="s">
        <v>175</v>
      </c>
      <c r="AR191" s="248" t="s">
        <v>175</v>
      </c>
      <c r="AS191" s="7" t="s">
        <v>175</v>
      </c>
      <c r="AT191" s="249" t="s">
        <v>175</v>
      </c>
      <c r="AU191" s="248" t="s">
        <v>175</v>
      </c>
      <c r="AV191" s="249" t="s">
        <v>175</v>
      </c>
      <c r="AW191" s="143" t="s">
        <v>175</v>
      </c>
      <c r="AX191" s="253" t="s">
        <v>175</v>
      </c>
      <c r="AY191" s="254" t="s">
        <v>175</v>
      </c>
      <c r="AZ191" s="253" t="s">
        <v>175</v>
      </c>
      <c r="BA191" s="254" t="s">
        <v>175</v>
      </c>
      <c r="BB191" s="252" t="s">
        <v>264</v>
      </c>
      <c r="BC191" s="253" t="s">
        <v>175</v>
      </c>
      <c r="BD191" s="254" t="s">
        <v>175</v>
      </c>
      <c r="JS191" s="5"/>
    </row>
    <row r="192" spans="1:279" s="1" customFormat="1" ht="37.5" customHeight="1">
      <c r="A192" s="1118"/>
      <c r="B192" s="1084"/>
      <c r="C192" s="130" t="s">
        <v>226</v>
      </c>
      <c r="D192" s="189" t="s">
        <v>838</v>
      </c>
      <c r="E192" s="245" t="s">
        <v>262</v>
      </c>
      <c r="F192" s="250" t="s">
        <v>262</v>
      </c>
      <c r="G192" s="251" t="s">
        <v>839</v>
      </c>
      <c r="H192" s="143" t="s">
        <v>262</v>
      </c>
      <c r="I192" s="253" t="s">
        <v>262</v>
      </c>
      <c r="J192" s="254" t="s">
        <v>262</v>
      </c>
      <c r="K192" s="253" t="s">
        <v>262</v>
      </c>
      <c r="L192" s="254" t="s">
        <v>262</v>
      </c>
      <c r="M192" s="253" t="s">
        <v>262</v>
      </c>
      <c r="N192" s="254" t="s">
        <v>262</v>
      </c>
      <c r="O192" s="253" t="s">
        <v>262</v>
      </c>
      <c r="P192" s="254" t="s">
        <v>262</v>
      </c>
      <c r="Q192" s="253" t="s">
        <v>262</v>
      </c>
      <c r="R192" s="254" t="s">
        <v>262</v>
      </c>
      <c r="S192" s="253" t="s">
        <v>1370</v>
      </c>
      <c r="T192" s="113" t="s">
        <v>1371</v>
      </c>
      <c r="U192" s="113" t="s">
        <v>1372</v>
      </c>
      <c r="V192" s="253" t="s">
        <v>1210</v>
      </c>
      <c r="W192" s="113" t="s">
        <v>1170</v>
      </c>
      <c r="X192" s="145" t="s">
        <v>756</v>
      </c>
      <c r="Y192" s="253" t="s">
        <v>1241</v>
      </c>
      <c r="Z192" s="254" t="s">
        <v>1240</v>
      </c>
      <c r="AA192" s="253" t="s">
        <v>980</v>
      </c>
      <c r="AB192" s="254" t="s">
        <v>981</v>
      </c>
      <c r="AC192" s="253" t="s">
        <v>1085</v>
      </c>
      <c r="AD192" s="254" t="s">
        <v>1092</v>
      </c>
      <c r="AE192" s="253" t="s">
        <v>358</v>
      </c>
      <c r="AF192" s="254" t="s">
        <v>356</v>
      </c>
      <c r="AG192" s="253" t="s">
        <v>430</v>
      </c>
      <c r="AH192" s="254" t="s">
        <v>421</v>
      </c>
      <c r="AI192" s="253" t="s">
        <v>461</v>
      </c>
      <c r="AJ192" s="254" t="s">
        <v>462</v>
      </c>
      <c r="AK192" s="253" t="s">
        <v>509</v>
      </c>
      <c r="AL192" s="254" t="s">
        <v>508</v>
      </c>
      <c r="AM192" s="253" t="s">
        <v>550</v>
      </c>
      <c r="AN192" s="254" t="s">
        <v>551</v>
      </c>
      <c r="AO192" s="145" t="s">
        <v>897</v>
      </c>
      <c r="AP192" s="253" t="s">
        <v>607</v>
      </c>
      <c r="AQ192" s="254" t="s">
        <v>607</v>
      </c>
      <c r="AR192" s="253" t="s">
        <v>262</v>
      </c>
      <c r="AS192" s="117" t="s">
        <v>262</v>
      </c>
      <c r="AT192" s="254" t="s">
        <v>262</v>
      </c>
      <c r="AU192" s="253" t="s">
        <v>262</v>
      </c>
      <c r="AV192" s="254" t="s">
        <v>262</v>
      </c>
      <c r="AW192" s="143" t="s">
        <v>262</v>
      </c>
      <c r="AX192" s="998" t="s">
        <v>1141</v>
      </c>
      <c r="AY192" s="1047"/>
      <c r="AZ192" s="253" t="s">
        <v>653</v>
      </c>
      <c r="BA192" s="254" t="s">
        <v>654</v>
      </c>
      <c r="BB192" s="252" t="s">
        <v>1034</v>
      </c>
      <c r="BC192" s="253" t="s">
        <v>699</v>
      </c>
      <c r="BD192" s="254" t="s">
        <v>700</v>
      </c>
      <c r="JS192" s="5"/>
    </row>
    <row r="193" spans="1:279" s="1" customFormat="1">
      <c r="A193" s="1118"/>
      <c r="B193" s="1084"/>
      <c r="C193" s="130" t="s">
        <v>118</v>
      </c>
      <c r="D193" s="189" t="s">
        <v>394</v>
      </c>
      <c r="E193" s="966" t="s">
        <v>77</v>
      </c>
      <c r="F193" s="967"/>
      <c r="G193" s="251" t="s">
        <v>394</v>
      </c>
      <c r="H193" s="143" t="s">
        <v>1428</v>
      </c>
      <c r="I193" s="966" t="s">
        <v>77</v>
      </c>
      <c r="J193" s="967"/>
      <c r="K193" s="966" t="s">
        <v>77</v>
      </c>
      <c r="L193" s="967"/>
      <c r="M193" s="966" t="s">
        <v>77</v>
      </c>
      <c r="N193" s="967"/>
      <c r="O193" s="966" t="s">
        <v>77</v>
      </c>
      <c r="P193" s="967"/>
      <c r="Q193" s="998" t="s">
        <v>77</v>
      </c>
      <c r="R193" s="1000"/>
      <c r="S193" s="998" t="s">
        <v>77</v>
      </c>
      <c r="T193" s="999"/>
      <c r="U193" s="974"/>
      <c r="V193" s="966" t="s">
        <v>77</v>
      </c>
      <c r="W193" s="990"/>
      <c r="X193" s="143" t="s">
        <v>77</v>
      </c>
      <c r="Y193" s="966" t="s">
        <v>77</v>
      </c>
      <c r="Z193" s="967"/>
      <c r="AA193" s="966" t="s">
        <v>77</v>
      </c>
      <c r="AB193" s="967"/>
      <c r="AC193" s="966" t="s">
        <v>77</v>
      </c>
      <c r="AD193" s="967"/>
      <c r="AE193" s="966" t="s">
        <v>77</v>
      </c>
      <c r="AF193" s="967"/>
      <c r="AG193" s="966" t="s">
        <v>77</v>
      </c>
      <c r="AH193" s="967"/>
      <c r="AI193" s="966" t="s">
        <v>77</v>
      </c>
      <c r="AJ193" s="967"/>
      <c r="AK193" s="966" t="s">
        <v>77</v>
      </c>
      <c r="AL193" s="967"/>
      <c r="AM193" s="966" t="s">
        <v>77</v>
      </c>
      <c r="AN193" s="967"/>
      <c r="AO193" s="143" t="s">
        <v>77</v>
      </c>
      <c r="AP193" s="966" t="s">
        <v>77</v>
      </c>
      <c r="AQ193" s="967"/>
      <c r="AR193" s="998" t="s">
        <v>77</v>
      </c>
      <c r="AS193" s="999"/>
      <c r="AT193" s="1000"/>
      <c r="AU193" s="966" t="s">
        <v>77</v>
      </c>
      <c r="AV193" s="967"/>
      <c r="AW193" s="143" t="s">
        <v>394</v>
      </c>
      <c r="AX193" s="966" t="s">
        <v>77</v>
      </c>
      <c r="AY193" s="967"/>
      <c r="AZ193" s="966" t="s">
        <v>77</v>
      </c>
      <c r="BA193" s="967"/>
      <c r="BB193" s="252" t="s">
        <v>77</v>
      </c>
      <c r="BC193" s="966" t="s">
        <v>77</v>
      </c>
      <c r="BD193" s="967"/>
      <c r="JS193" s="5"/>
    </row>
    <row r="194" spans="1:279" s="1" customFormat="1">
      <c r="A194" s="1118" t="s">
        <v>163</v>
      </c>
      <c r="B194" s="1079" t="s">
        <v>227</v>
      </c>
      <c r="C194" s="69" t="s">
        <v>33</v>
      </c>
      <c r="D194" s="189" t="s">
        <v>175</v>
      </c>
      <c r="E194" s="245" t="s">
        <v>175</v>
      </c>
      <c r="F194" s="259" t="s">
        <v>175</v>
      </c>
      <c r="G194" s="251" t="s">
        <v>175</v>
      </c>
      <c r="H194" s="335" t="s">
        <v>175</v>
      </c>
      <c r="I194" s="253" t="s">
        <v>175</v>
      </c>
      <c r="J194" s="259" t="s">
        <v>175</v>
      </c>
      <c r="K194" s="253" t="s">
        <v>175</v>
      </c>
      <c r="L194" s="259" t="s">
        <v>175</v>
      </c>
      <c r="M194" s="253" t="s">
        <v>175</v>
      </c>
      <c r="N194" s="259" t="s">
        <v>175</v>
      </c>
      <c r="O194" s="253" t="s">
        <v>175</v>
      </c>
      <c r="P194" s="259" t="s">
        <v>175</v>
      </c>
      <c r="Q194" s="253" t="s">
        <v>175</v>
      </c>
      <c r="R194" s="259" t="s">
        <v>175</v>
      </c>
      <c r="S194" s="253" t="s">
        <v>175</v>
      </c>
      <c r="T194" s="109" t="s">
        <v>175</v>
      </c>
      <c r="U194" s="118" t="s">
        <v>175</v>
      </c>
      <c r="V194" s="253" t="s">
        <v>175</v>
      </c>
      <c r="W194" s="71" t="s">
        <v>175</v>
      </c>
      <c r="X194" s="445" t="s">
        <v>175</v>
      </c>
      <c r="Y194" s="253" t="s">
        <v>175</v>
      </c>
      <c r="Z194" s="259" t="s">
        <v>175</v>
      </c>
      <c r="AA194" s="253" t="s">
        <v>175</v>
      </c>
      <c r="AB194" s="279" t="s">
        <v>77</v>
      </c>
      <c r="AC194" s="253" t="s">
        <v>175</v>
      </c>
      <c r="AD194" s="279" t="s">
        <v>175</v>
      </c>
      <c r="AE194" s="253" t="s">
        <v>175</v>
      </c>
      <c r="AF194" s="277" t="s">
        <v>175</v>
      </c>
      <c r="AG194" s="253" t="s">
        <v>175</v>
      </c>
      <c r="AH194" s="277" t="s">
        <v>175</v>
      </c>
      <c r="AI194" s="253" t="s">
        <v>175</v>
      </c>
      <c r="AJ194" s="277" t="s">
        <v>175</v>
      </c>
      <c r="AK194" s="253" t="s">
        <v>175</v>
      </c>
      <c r="AL194" s="277" t="s">
        <v>175</v>
      </c>
      <c r="AM194" s="253" t="s">
        <v>175</v>
      </c>
      <c r="AN194" s="277" t="s">
        <v>175</v>
      </c>
      <c r="AO194" s="445" t="s">
        <v>175</v>
      </c>
      <c r="AP194" s="253" t="s">
        <v>175</v>
      </c>
      <c r="AQ194" s="277" t="s">
        <v>175</v>
      </c>
      <c r="AR194" s="253" t="s">
        <v>175</v>
      </c>
      <c r="AS194" s="41" t="s">
        <v>175</v>
      </c>
      <c r="AT194" s="259" t="s">
        <v>175</v>
      </c>
      <c r="AU194" s="253" t="s">
        <v>175</v>
      </c>
      <c r="AV194" s="259" t="s">
        <v>175</v>
      </c>
      <c r="AW194" s="143" t="s">
        <v>175</v>
      </c>
      <c r="AX194" s="253" t="s">
        <v>175</v>
      </c>
      <c r="AY194" s="279" t="s">
        <v>175</v>
      </c>
      <c r="AZ194" s="253" t="s">
        <v>175</v>
      </c>
      <c r="BA194" s="277" t="s">
        <v>175</v>
      </c>
      <c r="BB194" s="252" t="s">
        <v>175</v>
      </c>
      <c r="BC194" s="253" t="s">
        <v>175</v>
      </c>
      <c r="BD194" s="277" t="s">
        <v>175</v>
      </c>
      <c r="JS194" s="5"/>
    </row>
    <row r="195" spans="1:279" s="1" customFormat="1" ht="42" customHeight="1">
      <c r="A195" s="1118"/>
      <c r="B195" s="1079"/>
      <c r="C195" s="130" t="s">
        <v>118</v>
      </c>
      <c r="D195" s="189" t="s">
        <v>394</v>
      </c>
      <c r="E195" s="245" t="s">
        <v>77</v>
      </c>
      <c r="F195" s="250" t="s">
        <v>77</v>
      </c>
      <c r="G195" s="251" t="s">
        <v>394</v>
      </c>
      <c r="H195" s="143" t="s">
        <v>394</v>
      </c>
      <c r="I195" s="253" t="s">
        <v>77</v>
      </c>
      <c r="J195" s="254" t="s">
        <v>77</v>
      </c>
      <c r="K195" s="253" t="s">
        <v>77</v>
      </c>
      <c r="L195" s="254" t="s">
        <v>77</v>
      </c>
      <c r="M195" s="253" t="s">
        <v>77</v>
      </c>
      <c r="N195" s="254" t="s">
        <v>77</v>
      </c>
      <c r="O195" s="253" t="s">
        <v>77</v>
      </c>
      <c r="P195" s="254" t="s">
        <v>77</v>
      </c>
      <c r="Q195" s="253" t="s">
        <v>77</v>
      </c>
      <c r="R195" s="254" t="s">
        <v>77</v>
      </c>
      <c r="S195" s="253" t="s">
        <v>77</v>
      </c>
      <c r="T195" s="113" t="s">
        <v>77</v>
      </c>
      <c r="U195" s="118" t="s">
        <v>77</v>
      </c>
      <c r="V195" s="253" t="s">
        <v>77</v>
      </c>
      <c r="W195" s="113" t="s">
        <v>77</v>
      </c>
      <c r="X195" s="143" t="s">
        <v>77</v>
      </c>
      <c r="Y195" s="253" t="s">
        <v>77</v>
      </c>
      <c r="Z195" s="254" t="s">
        <v>77</v>
      </c>
      <c r="AA195" s="253" t="s">
        <v>77</v>
      </c>
      <c r="AB195" s="254" t="s">
        <v>77</v>
      </c>
      <c r="AC195" s="253" t="s">
        <v>77</v>
      </c>
      <c r="AD195" s="254" t="s">
        <v>77</v>
      </c>
      <c r="AE195" s="253" t="s">
        <v>77</v>
      </c>
      <c r="AF195" s="254" t="s">
        <v>77</v>
      </c>
      <c r="AG195" s="253" t="s">
        <v>77</v>
      </c>
      <c r="AH195" s="254" t="s">
        <v>77</v>
      </c>
      <c r="AI195" s="253" t="s">
        <v>77</v>
      </c>
      <c r="AJ195" s="254" t="s">
        <v>77</v>
      </c>
      <c r="AK195" s="253" t="s">
        <v>77</v>
      </c>
      <c r="AL195" s="254" t="s">
        <v>77</v>
      </c>
      <c r="AM195" s="253" t="s">
        <v>77</v>
      </c>
      <c r="AN195" s="254" t="s">
        <v>77</v>
      </c>
      <c r="AO195" s="143" t="s">
        <v>77</v>
      </c>
      <c r="AP195" s="253" t="s">
        <v>77</v>
      </c>
      <c r="AQ195" s="254" t="s">
        <v>77</v>
      </c>
      <c r="AR195" s="253" t="s">
        <v>77</v>
      </c>
      <c r="AS195" s="117" t="s">
        <v>77</v>
      </c>
      <c r="AT195" s="254" t="s">
        <v>77</v>
      </c>
      <c r="AU195" s="253" t="s">
        <v>77</v>
      </c>
      <c r="AV195" s="254" t="s">
        <v>77</v>
      </c>
      <c r="AW195" s="143" t="s">
        <v>394</v>
      </c>
      <c r="AX195" s="253" t="s">
        <v>77</v>
      </c>
      <c r="AY195" s="254" t="s">
        <v>77</v>
      </c>
      <c r="AZ195" s="253" t="s">
        <v>77</v>
      </c>
      <c r="BA195" s="254" t="s">
        <v>77</v>
      </c>
      <c r="BB195" s="252" t="s">
        <v>77</v>
      </c>
      <c r="BC195" s="253" t="s">
        <v>77</v>
      </c>
      <c r="BD195" s="254" t="s">
        <v>77</v>
      </c>
      <c r="JS195" s="5"/>
    </row>
    <row r="196" spans="1:279" s="1" customFormat="1">
      <c r="A196" s="1118" t="s">
        <v>164</v>
      </c>
      <c r="B196" s="1079" t="s">
        <v>102</v>
      </c>
      <c r="C196" s="69" t="s">
        <v>33</v>
      </c>
      <c r="D196" s="189" t="s">
        <v>175</v>
      </c>
      <c r="E196" s="966" t="s">
        <v>264</v>
      </c>
      <c r="F196" s="967"/>
      <c r="G196" s="251" t="s">
        <v>175</v>
      </c>
      <c r="H196" s="143" t="s">
        <v>175</v>
      </c>
      <c r="I196" s="966" t="s">
        <v>264</v>
      </c>
      <c r="J196" s="967"/>
      <c r="K196" s="966" t="s">
        <v>264</v>
      </c>
      <c r="L196" s="967"/>
      <c r="M196" s="966" t="s">
        <v>264</v>
      </c>
      <c r="N196" s="967"/>
      <c r="O196" s="966" t="s">
        <v>264</v>
      </c>
      <c r="P196" s="967"/>
      <c r="Q196" s="998" t="s">
        <v>264</v>
      </c>
      <c r="R196" s="1000"/>
      <c r="S196" s="998" t="s">
        <v>264</v>
      </c>
      <c r="T196" s="999"/>
      <c r="U196" s="974"/>
      <c r="V196" s="966" t="s">
        <v>264</v>
      </c>
      <c r="W196" s="990"/>
      <c r="X196" s="145" t="s">
        <v>175</v>
      </c>
      <c r="Y196" s="966" t="s">
        <v>264</v>
      </c>
      <c r="Z196" s="967"/>
      <c r="AA196" s="966" t="s">
        <v>264</v>
      </c>
      <c r="AB196" s="967"/>
      <c r="AC196" s="966" t="s">
        <v>264</v>
      </c>
      <c r="AD196" s="967"/>
      <c r="AE196" s="966" t="s">
        <v>175</v>
      </c>
      <c r="AF196" s="967"/>
      <c r="AG196" s="966" t="s">
        <v>175</v>
      </c>
      <c r="AH196" s="967"/>
      <c r="AI196" s="966" t="s">
        <v>175</v>
      </c>
      <c r="AJ196" s="967"/>
      <c r="AK196" s="966" t="s">
        <v>175</v>
      </c>
      <c r="AL196" s="967"/>
      <c r="AM196" s="966" t="s">
        <v>175</v>
      </c>
      <c r="AN196" s="967"/>
      <c r="AO196" s="145" t="s">
        <v>175</v>
      </c>
      <c r="AP196" s="966" t="s">
        <v>175</v>
      </c>
      <c r="AQ196" s="967"/>
      <c r="AR196" s="998" t="s">
        <v>264</v>
      </c>
      <c r="AS196" s="999"/>
      <c r="AT196" s="1000"/>
      <c r="AU196" s="966" t="s">
        <v>264</v>
      </c>
      <c r="AV196" s="967"/>
      <c r="AW196" s="143" t="s">
        <v>175</v>
      </c>
      <c r="AX196" s="966" t="s">
        <v>264</v>
      </c>
      <c r="AY196" s="967"/>
      <c r="AZ196" s="966" t="s">
        <v>175</v>
      </c>
      <c r="BA196" s="967"/>
      <c r="BB196" s="252" t="s">
        <v>175</v>
      </c>
      <c r="BC196" s="966" t="s">
        <v>175</v>
      </c>
      <c r="BD196" s="967"/>
      <c r="JS196" s="5"/>
    </row>
    <row r="197" spans="1:279" s="1" customFormat="1" ht="40.5" customHeight="1">
      <c r="A197" s="1118"/>
      <c r="B197" s="1079"/>
      <c r="C197" s="130" t="s">
        <v>391</v>
      </c>
      <c r="D197" s="189" t="s">
        <v>838</v>
      </c>
      <c r="E197" s="966" t="s">
        <v>262</v>
      </c>
      <c r="F197" s="967"/>
      <c r="G197" s="251" t="s">
        <v>839</v>
      </c>
      <c r="H197" s="143" t="s">
        <v>262</v>
      </c>
      <c r="I197" s="966" t="s">
        <v>262</v>
      </c>
      <c r="J197" s="967"/>
      <c r="K197" s="966" t="s">
        <v>262</v>
      </c>
      <c r="L197" s="967"/>
      <c r="M197" s="966" t="s">
        <v>262</v>
      </c>
      <c r="N197" s="967"/>
      <c r="O197" s="966" t="s">
        <v>262</v>
      </c>
      <c r="P197" s="967"/>
      <c r="Q197" s="998" t="s">
        <v>262</v>
      </c>
      <c r="R197" s="1000"/>
      <c r="S197" s="998" t="s">
        <v>1373</v>
      </c>
      <c r="T197" s="999"/>
      <c r="U197" s="974"/>
      <c r="V197" s="966" t="s">
        <v>1210</v>
      </c>
      <c r="W197" s="990"/>
      <c r="X197" s="145" t="s">
        <v>756</v>
      </c>
      <c r="Y197" s="966" t="s">
        <v>1240</v>
      </c>
      <c r="Z197" s="967"/>
      <c r="AA197" s="966" t="s">
        <v>982</v>
      </c>
      <c r="AB197" s="967"/>
      <c r="AC197" s="966" t="s">
        <v>1085</v>
      </c>
      <c r="AD197" s="967"/>
      <c r="AE197" s="966" t="s">
        <v>358</v>
      </c>
      <c r="AF197" s="967"/>
      <c r="AG197" s="966" t="s">
        <v>421</v>
      </c>
      <c r="AH197" s="967"/>
      <c r="AI197" s="966" t="s">
        <v>461</v>
      </c>
      <c r="AJ197" s="967"/>
      <c r="AK197" s="966" t="s">
        <v>508</v>
      </c>
      <c r="AL197" s="967"/>
      <c r="AM197" s="966" t="s">
        <v>551</v>
      </c>
      <c r="AN197" s="967"/>
      <c r="AO197" s="145" t="s">
        <v>897</v>
      </c>
      <c r="AP197" s="966" t="s">
        <v>607</v>
      </c>
      <c r="AQ197" s="967"/>
      <c r="AR197" s="998" t="s">
        <v>262</v>
      </c>
      <c r="AS197" s="999"/>
      <c r="AT197" s="1000"/>
      <c r="AU197" s="966" t="s">
        <v>262</v>
      </c>
      <c r="AV197" s="967"/>
      <c r="AW197" s="143" t="s">
        <v>262</v>
      </c>
      <c r="AX197" s="966" t="s">
        <v>1141</v>
      </c>
      <c r="AY197" s="967"/>
      <c r="AZ197" s="966" t="s">
        <v>653</v>
      </c>
      <c r="BA197" s="967"/>
      <c r="BB197" s="252" t="s">
        <v>1009</v>
      </c>
      <c r="BC197" s="966" t="s">
        <v>699</v>
      </c>
      <c r="BD197" s="967"/>
      <c r="JS197" s="5"/>
    </row>
    <row r="198" spans="1:279" s="1" customFormat="1" ht="48.75" customHeight="1">
      <c r="A198" s="1118"/>
      <c r="B198" s="1079"/>
      <c r="C198" s="130" t="s">
        <v>0</v>
      </c>
      <c r="D198" s="189" t="s">
        <v>77</v>
      </c>
      <c r="E198" s="966" t="s">
        <v>77</v>
      </c>
      <c r="F198" s="967"/>
      <c r="G198" s="251" t="s">
        <v>77</v>
      </c>
      <c r="H198" s="143" t="s">
        <v>394</v>
      </c>
      <c r="I198" s="966" t="s">
        <v>77</v>
      </c>
      <c r="J198" s="967"/>
      <c r="K198" s="966" t="s">
        <v>77</v>
      </c>
      <c r="L198" s="967"/>
      <c r="M198" s="966" t="s">
        <v>77</v>
      </c>
      <c r="N198" s="967"/>
      <c r="O198" s="966" t="s">
        <v>77</v>
      </c>
      <c r="P198" s="967"/>
      <c r="Q198" s="998" t="s">
        <v>77</v>
      </c>
      <c r="R198" s="1000"/>
      <c r="S198" s="998" t="s">
        <v>77</v>
      </c>
      <c r="T198" s="999"/>
      <c r="U198" s="974"/>
      <c r="V198" s="966" t="s">
        <v>77</v>
      </c>
      <c r="W198" s="990"/>
      <c r="X198" s="145" t="s">
        <v>77</v>
      </c>
      <c r="Y198" s="966" t="s">
        <v>77</v>
      </c>
      <c r="Z198" s="967"/>
      <c r="AA198" s="966" t="s">
        <v>77</v>
      </c>
      <c r="AB198" s="967"/>
      <c r="AC198" s="966" t="s">
        <v>77</v>
      </c>
      <c r="AD198" s="967"/>
      <c r="AE198" s="966" t="s">
        <v>77</v>
      </c>
      <c r="AF198" s="967"/>
      <c r="AG198" s="966" t="s">
        <v>77</v>
      </c>
      <c r="AH198" s="967"/>
      <c r="AI198" s="966" t="s">
        <v>77</v>
      </c>
      <c r="AJ198" s="967"/>
      <c r="AK198" s="966" t="s">
        <v>77</v>
      </c>
      <c r="AL198" s="967"/>
      <c r="AM198" s="966" t="s">
        <v>77</v>
      </c>
      <c r="AN198" s="967"/>
      <c r="AO198" s="145" t="s">
        <v>77</v>
      </c>
      <c r="AP198" s="966" t="s">
        <v>77</v>
      </c>
      <c r="AQ198" s="967"/>
      <c r="AR198" s="998" t="s">
        <v>77</v>
      </c>
      <c r="AS198" s="999"/>
      <c r="AT198" s="1000"/>
      <c r="AU198" s="966" t="s">
        <v>77</v>
      </c>
      <c r="AV198" s="967"/>
      <c r="AW198" s="143" t="s">
        <v>77</v>
      </c>
      <c r="AX198" s="966" t="s">
        <v>77</v>
      </c>
      <c r="AY198" s="967"/>
      <c r="AZ198" s="966" t="s">
        <v>77</v>
      </c>
      <c r="BA198" s="967"/>
      <c r="BB198" s="252" t="s">
        <v>77</v>
      </c>
      <c r="BC198" s="966" t="s">
        <v>77</v>
      </c>
      <c r="BD198" s="967"/>
      <c r="JS198" s="5"/>
    </row>
    <row r="199" spans="1:279" s="1" customFormat="1" ht="30.75" customHeight="1">
      <c r="A199" s="1110" t="s">
        <v>309</v>
      </c>
      <c r="B199" s="1113" t="s">
        <v>308</v>
      </c>
      <c r="C199" s="130" t="s">
        <v>1625</v>
      </c>
      <c r="D199" s="218">
        <v>1</v>
      </c>
      <c r="E199" s="280">
        <f t="shared" ref="E199:F199" si="0">+E15</f>
        <v>0.7</v>
      </c>
      <c r="F199" s="281">
        <f t="shared" si="0"/>
        <v>0.3</v>
      </c>
      <c r="G199" s="218">
        <v>1</v>
      </c>
      <c r="H199" s="165">
        <v>1</v>
      </c>
      <c r="I199" s="280">
        <f t="shared" ref="I199:P199" si="1">+I15</f>
        <v>0.5</v>
      </c>
      <c r="J199" s="281">
        <f t="shared" si="1"/>
        <v>0.5</v>
      </c>
      <c r="K199" s="280">
        <f t="shared" si="1"/>
        <v>0.9</v>
      </c>
      <c r="L199" s="281">
        <f t="shared" si="1"/>
        <v>0.1</v>
      </c>
      <c r="M199" s="280">
        <f t="shared" si="1"/>
        <v>0.1</v>
      </c>
      <c r="N199" s="281">
        <f t="shared" si="1"/>
        <v>0.9</v>
      </c>
      <c r="O199" s="280">
        <f t="shared" si="1"/>
        <v>0.5</v>
      </c>
      <c r="P199" s="281">
        <f t="shared" si="1"/>
        <v>0.5</v>
      </c>
      <c r="Q199" s="280">
        <f t="shared" ref="Q199:T199" si="2">+Q15</f>
        <v>0.9</v>
      </c>
      <c r="R199" s="281">
        <f t="shared" si="2"/>
        <v>0.1</v>
      </c>
      <c r="S199" s="394">
        <f t="shared" si="2"/>
        <v>0.01</v>
      </c>
      <c r="T199" s="82">
        <f t="shared" si="2"/>
        <v>0.98</v>
      </c>
      <c r="U199" s="402">
        <v>0.01</v>
      </c>
      <c r="V199" s="280">
        <f t="shared" ref="V199:W199" si="3">+V15</f>
        <v>0.9</v>
      </c>
      <c r="W199" s="115">
        <f t="shared" si="3"/>
        <v>0.1</v>
      </c>
      <c r="X199" s="165">
        <v>1</v>
      </c>
      <c r="Y199" s="280">
        <f t="shared" ref="Y199:Z199" si="4">+Y15</f>
        <v>0.5</v>
      </c>
      <c r="Z199" s="281">
        <f t="shared" si="4"/>
        <v>0.5</v>
      </c>
      <c r="AA199" s="280">
        <f>+AA15</f>
        <v>0.99</v>
      </c>
      <c r="AB199" s="281">
        <f>+AB15</f>
        <v>0.01</v>
      </c>
      <c r="AC199" s="280">
        <f t="shared" ref="AC199:AD199" si="5">+AC15</f>
        <v>0.6</v>
      </c>
      <c r="AD199" s="281">
        <f t="shared" si="5"/>
        <v>0.4</v>
      </c>
      <c r="AE199" s="280">
        <f t="shared" ref="AE199:AJ199" si="6">+AE15</f>
        <v>0.02</v>
      </c>
      <c r="AF199" s="281">
        <f t="shared" si="6"/>
        <v>0.98</v>
      </c>
      <c r="AG199" s="280">
        <f t="shared" si="6"/>
        <v>0.01</v>
      </c>
      <c r="AH199" s="281">
        <f t="shared" si="6"/>
        <v>0.99</v>
      </c>
      <c r="AI199" s="280">
        <f t="shared" si="6"/>
        <v>0.7</v>
      </c>
      <c r="AJ199" s="281">
        <f t="shared" si="6"/>
        <v>0.3</v>
      </c>
      <c r="AK199" s="280">
        <f t="shared" ref="AK199:AL199" si="7">+AK15</f>
        <v>0.5</v>
      </c>
      <c r="AL199" s="281">
        <f t="shared" si="7"/>
        <v>0.5</v>
      </c>
      <c r="AM199" s="280">
        <f t="shared" ref="AM199:AN199" si="8">+AM15</f>
        <v>0.99</v>
      </c>
      <c r="AN199" s="281">
        <f t="shared" si="8"/>
        <v>0.01</v>
      </c>
      <c r="AO199" s="165">
        <v>1</v>
      </c>
      <c r="AP199" s="280">
        <f t="shared" ref="AP199:AV199" si="9">+AP15</f>
        <v>0.99</v>
      </c>
      <c r="AQ199" s="281">
        <f t="shared" si="9"/>
        <v>0.01</v>
      </c>
      <c r="AR199" s="280">
        <f t="shared" si="9"/>
        <v>0.35</v>
      </c>
      <c r="AS199" s="8">
        <f t="shared" si="9"/>
        <v>0.4</v>
      </c>
      <c r="AT199" s="281">
        <f t="shared" si="9"/>
        <v>0.25</v>
      </c>
      <c r="AU199" s="280">
        <f t="shared" si="9"/>
        <v>0.9</v>
      </c>
      <c r="AV199" s="281">
        <f t="shared" si="9"/>
        <v>0.1</v>
      </c>
      <c r="AW199" s="592">
        <v>1</v>
      </c>
      <c r="AX199" s="280">
        <f t="shared" ref="AX199:AY199" si="10">+AX15</f>
        <v>0.4</v>
      </c>
      <c r="AY199" s="281">
        <f t="shared" si="10"/>
        <v>0.6</v>
      </c>
      <c r="AZ199" s="280">
        <f t="shared" ref="AZ199:BA199" si="11">+AZ15</f>
        <v>0.5</v>
      </c>
      <c r="BA199" s="281">
        <f t="shared" si="11"/>
        <v>0.5</v>
      </c>
      <c r="BB199" s="547">
        <v>1</v>
      </c>
      <c r="BC199" s="280">
        <f t="shared" ref="BC199:BD199" si="12">+BC15</f>
        <v>0.1</v>
      </c>
      <c r="BD199" s="281">
        <f t="shared" si="12"/>
        <v>0.9</v>
      </c>
      <c r="JS199" s="5"/>
    </row>
    <row r="200" spans="1:279" s="51" customFormat="1" ht="30.75" customHeight="1">
      <c r="A200" s="1111"/>
      <c r="B200" s="1114"/>
      <c r="C200" s="135" t="s">
        <v>301</v>
      </c>
      <c r="D200" s="219">
        <v>1345</v>
      </c>
      <c r="E200" s="282">
        <v>440</v>
      </c>
      <c r="F200" s="283">
        <v>76</v>
      </c>
      <c r="G200" s="219">
        <v>434</v>
      </c>
      <c r="H200" s="166">
        <v>1863</v>
      </c>
      <c r="I200" s="282">
        <v>413</v>
      </c>
      <c r="J200" s="283">
        <v>476</v>
      </c>
      <c r="K200" s="282">
        <v>823</v>
      </c>
      <c r="L200" s="283">
        <v>240</v>
      </c>
      <c r="M200" s="282">
        <v>349</v>
      </c>
      <c r="N200" s="283">
        <v>237</v>
      </c>
      <c r="O200" s="282">
        <v>1125</v>
      </c>
      <c r="P200" s="283">
        <v>366</v>
      </c>
      <c r="Q200" s="282">
        <v>8446</v>
      </c>
      <c r="R200" s="283">
        <v>390</v>
      </c>
      <c r="S200" s="282">
        <v>1856</v>
      </c>
      <c r="T200" s="422">
        <v>272</v>
      </c>
      <c r="U200" s="423">
        <v>972</v>
      </c>
      <c r="V200" s="282">
        <v>3278</v>
      </c>
      <c r="W200" s="422">
        <v>263</v>
      </c>
      <c r="X200" s="143">
        <v>1805</v>
      </c>
      <c r="Y200" s="282">
        <v>1024</v>
      </c>
      <c r="Z200" s="283">
        <v>530</v>
      </c>
      <c r="AA200" s="282">
        <v>296</v>
      </c>
      <c r="AB200" s="283">
        <v>771</v>
      </c>
      <c r="AC200" s="282">
        <v>727</v>
      </c>
      <c r="AD200" s="283">
        <v>5</v>
      </c>
      <c r="AE200" s="478">
        <v>1479</v>
      </c>
      <c r="AF200" s="479">
        <v>12</v>
      </c>
      <c r="AG200" s="478">
        <v>405</v>
      </c>
      <c r="AH200" s="479">
        <v>25</v>
      </c>
      <c r="AI200" s="479">
        <v>814</v>
      </c>
      <c r="AJ200" s="479">
        <v>1004</v>
      </c>
      <c r="AK200" s="478">
        <v>791</v>
      </c>
      <c r="AL200" s="479">
        <v>217</v>
      </c>
      <c r="AM200" s="478">
        <v>89</v>
      </c>
      <c r="AN200" s="479">
        <v>708</v>
      </c>
      <c r="AO200" s="514">
        <v>6626</v>
      </c>
      <c r="AP200" s="478">
        <v>2136</v>
      </c>
      <c r="AQ200" s="479">
        <v>495</v>
      </c>
      <c r="AR200" s="282">
        <v>3051</v>
      </c>
      <c r="AS200" s="52">
        <v>1527</v>
      </c>
      <c r="AT200" s="283">
        <v>59</v>
      </c>
      <c r="AU200" s="282">
        <v>8619</v>
      </c>
      <c r="AV200" s="283">
        <v>738</v>
      </c>
      <c r="AW200" s="166">
        <v>1016</v>
      </c>
      <c r="AX200" s="282">
        <v>2522</v>
      </c>
      <c r="AY200" s="283">
        <v>40</v>
      </c>
      <c r="AZ200" s="478">
        <v>4977</v>
      </c>
      <c r="BA200" s="479">
        <v>235</v>
      </c>
      <c r="BB200" s="569">
        <v>1249</v>
      </c>
      <c r="BC200" s="379">
        <v>1</v>
      </c>
      <c r="BD200" s="479">
        <v>196</v>
      </c>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JS200" s="53"/>
    </row>
    <row r="201" spans="1:279" s="51" customFormat="1" ht="30.75" customHeight="1">
      <c r="A201" s="1111"/>
      <c r="B201" s="1114"/>
      <c r="C201" s="135" t="s">
        <v>302</v>
      </c>
      <c r="D201" s="219">
        <v>302</v>
      </c>
      <c r="E201" s="282">
        <v>123</v>
      </c>
      <c r="F201" s="283">
        <v>19</v>
      </c>
      <c r="G201" s="219">
        <v>131</v>
      </c>
      <c r="H201" s="166">
        <v>490</v>
      </c>
      <c r="I201" s="282">
        <v>168</v>
      </c>
      <c r="J201" s="283">
        <v>147</v>
      </c>
      <c r="K201" s="282">
        <v>399</v>
      </c>
      <c r="L201" s="283">
        <v>61</v>
      </c>
      <c r="M201" s="282">
        <v>43</v>
      </c>
      <c r="N201" s="283">
        <v>166</v>
      </c>
      <c r="O201" s="282">
        <v>276</v>
      </c>
      <c r="P201" s="283">
        <v>84</v>
      </c>
      <c r="Q201" s="282">
        <v>1486</v>
      </c>
      <c r="R201" s="283">
        <v>90</v>
      </c>
      <c r="S201" s="282">
        <v>606</v>
      </c>
      <c r="T201" s="422">
        <v>120</v>
      </c>
      <c r="U201" s="423">
        <v>334</v>
      </c>
      <c r="V201" s="282">
        <v>597</v>
      </c>
      <c r="W201" s="422">
        <v>113</v>
      </c>
      <c r="X201" s="143">
        <v>704</v>
      </c>
      <c r="Y201" s="282">
        <v>86</v>
      </c>
      <c r="Z201" s="283">
        <v>86</v>
      </c>
      <c r="AA201" s="282">
        <v>177</v>
      </c>
      <c r="AB201" s="283">
        <v>234</v>
      </c>
      <c r="AC201" s="282">
        <v>0</v>
      </c>
      <c r="AD201" s="283">
        <v>5</v>
      </c>
      <c r="AE201" s="478">
        <v>399</v>
      </c>
      <c r="AF201" s="479">
        <v>11</v>
      </c>
      <c r="AG201" s="478">
        <v>126</v>
      </c>
      <c r="AH201" s="479">
        <v>20</v>
      </c>
      <c r="AI201" s="478">
        <v>227</v>
      </c>
      <c r="AJ201" s="479">
        <v>219</v>
      </c>
      <c r="AK201" s="478">
        <v>147</v>
      </c>
      <c r="AL201" s="479">
        <v>131</v>
      </c>
      <c r="AM201" s="478">
        <v>58</v>
      </c>
      <c r="AN201" s="479">
        <v>91</v>
      </c>
      <c r="AO201" s="514">
        <v>1546</v>
      </c>
      <c r="AP201" s="478">
        <v>629</v>
      </c>
      <c r="AQ201" s="479">
        <v>135</v>
      </c>
      <c r="AR201" s="282">
        <v>568</v>
      </c>
      <c r="AS201" s="52">
        <v>432</v>
      </c>
      <c r="AT201" s="283">
        <v>14</v>
      </c>
      <c r="AU201" s="282">
        <v>2606</v>
      </c>
      <c r="AV201" s="283">
        <v>130</v>
      </c>
      <c r="AW201" s="166">
        <v>305</v>
      </c>
      <c r="AX201" s="282">
        <v>265</v>
      </c>
      <c r="AY201" s="283">
        <v>9</v>
      </c>
      <c r="AZ201" s="478">
        <v>1088</v>
      </c>
      <c r="BA201" s="479">
        <v>101</v>
      </c>
      <c r="BB201" s="569">
        <v>272</v>
      </c>
      <c r="BC201" s="379">
        <v>0</v>
      </c>
      <c r="BD201" s="479">
        <v>60</v>
      </c>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JS201" s="53"/>
    </row>
    <row r="202" spans="1:279" s="1" customFormat="1" ht="30.75" customHeight="1">
      <c r="A202" s="1111"/>
      <c r="B202" s="1114"/>
      <c r="C202" s="130" t="s">
        <v>303</v>
      </c>
      <c r="D202" s="73">
        <f t="shared" ref="D202:F202" si="13">+D201*D199</f>
        <v>302</v>
      </c>
      <c r="E202" s="245">
        <f t="shared" si="13"/>
        <v>86.1</v>
      </c>
      <c r="F202" s="250">
        <f t="shared" si="13"/>
        <v>5.7</v>
      </c>
      <c r="G202" s="327">
        <f>+G201</f>
        <v>131</v>
      </c>
      <c r="H202" s="143">
        <f>+H201</f>
        <v>490</v>
      </c>
      <c r="I202" s="253">
        <f t="shared" ref="I202:P202" si="14">+I201*I199</f>
        <v>84</v>
      </c>
      <c r="J202" s="254">
        <f t="shared" si="14"/>
        <v>73.5</v>
      </c>
      <c r="K202" s="253">
        <f t="shared" si="14"/>
        <v>359.1</v>
      </c>
      <c r="L202" s="254">
        <f t="shared" si="14"/>
        <v>6.1000000000000005</v>
      </c>
      <c r="M202" s="253">
        <f t="shared" si="14"/>
        <v>4.3</v>
      </c>
      <c r="N202" s="254">
        <f t="shared" si="14"/>
        <v>149.4</v>
      </c>
      <c r="O202" s="253">
        <f t="shared" si="14"/>
        <v>138</v>
      </c>
      <c r="P202" s="254">
        <f t="shared" si="14"/>
        <v>42</v>
      </c>
      <c r="Q202" s="253">
        <f t="shared" ref="Q202:U202" si="15">+Q201*Q199</f>
        <v>1337.4</v>
      </c>
      <c r="R202" s="254">
        <f t="shared" si="15"/>
        <v>9</v>
      </c>
      <c r="S202" s="253">
        <f t="shared" si="15"/>
        <v>6.0600000000000005</v>
      </c>
      <c r="T202" s="113">
        <f t="shared" si="15"/>
        <v>117.6</v>
      </c>
      <c r="U202" s="708">
        <f t="shared" si="15"/>
        <v>3.34</v>
      </c>
      <c r="V202" s="253">
        <f t="shared" ref="V202:W202" si="16">+V201*V199</f>
        <v>537.30000000000007</v>
      </c>
      <c r="W202" s="113">
        <f t="shared" si="16"/>
        <v>11.3</v>
      </c>
      <c r="X202" s="143">
        <f>+X201*X199</f>
        <v>704</v>
      </c>
      <c r="Y202" s="253">
        <f t="shared" ref="Y202:Z202" si="17">+Y201*Y199</f>
        <v>43</v>
      </c>
      <c r="Z202" s="254">
        <f t="shared" si="17"/>
        <v>43</v>
      </c>
      <c r="AA202" s="253">
        <f>+AA201*AA199</f>
        <v>175.23</v>
      </c>
      <c r="AB202" s="254">
        <f>+AB201*AB199</f>
        <v>2.34</v>
      </c>
      <c r="AC202" s="253">
        <f t="shared" ref="AC202:AD202" si="18">+AC201*AC199</f>
        <v>0</v>
      </c>
      <c r="AD202" s="254">
        <f t="shared" si="18"/>
        <v>2</v>
      </c>
      <c r="AE202" s="253">
        <f t="shared" ref="AE202:AJ202" si="19">+AE201*AE199</f>
        <v>7.98</v>
      </c>
      <c r="AF202" s="254">
        <f t="shared" si="19"/>
        <v>10.78</v>
      </c>
      <c r="AG202" s="253">
        <f t="shared" si="19"/>
        <v>1.26</v>
      </c>
      <c r="AH202" s="254">
        <f t="shared" si="19"/>
        <v>19.8</v>
      </c>
      <c r="AI202" s="253">
        <f t="shared" si="19"/>
        <v>158.89999999999998</v>
      </c>
      <c r="AJ202" s="254">
        <f t="shared" si="19"/>
        <v>65.7</v>
      </c>
      <c r="AK202" s="253">
        <f t="shared" ref="AK202" si="20">+AK201*AK199</f>
        <v>73.5</v>
      </c>
      <c r="AL202" s="254">
        <f t="shared" ref="AL202" si="21">+AL201*AL199</f>
        <v>65.5</v>
      </c>
      <c r="AM202" s="253">
        <f t="shared" ref="AM202:AP202" si="22">+AM201*AM199</f>
        <v>57.42</v>
      </c>
      <c r="AN202" s="254">
        <f t="shared" ref="AN202:AZ202" si="23">+AN201*AN199</f>
        <v>0.91</v>
      </c>
      <c r="AO202" s="143">
        <f t="shared" ref="AO202" si="24">+AO201*AO199</f>
        <v>1546</v>
      </c>
      <c r="AP202" s="253">
        <f t="shared" si="22"/>
        <v>622.71</v>
      </c>
      <c r="AQ202" s="254">
        <f t="shared" si="23"/>
        <v>1.35</v>
      </c>
      <c r="AR202" s="253">
        <f t="shared" si="23"/>
        <v>198.79999999999998</v>
      </c>
      <c r="AS202" s="117">
        <f t="shared" si="23"/>
        <v>172.8</v>
      </c>
      <c r="AT202" s="254">
        <f t="shared" si="23"/>
        <v>3.5</v>
      </c>
      <c r="AU202" s="253">
        <f t="shared" si="23"/>
        <v>2345.4</v>
      </c>
      <c r="AV202" s="254">
        <f t="shared" si="23"/>
        <v>13</v>
      </c>
      <c r="AW202" s="143">
        <f>+AW201</f>
        <v>305</v>
      </c>
      <c r="AX202" s="253">
        <f t="shared" ref="AX202:AY202" si="25">+AX201*AX199</f>
        <v>106</v>
      </c>
      <c r="AY202" s="254">
        <f t="shared" si="25"/>
        <v>5.3999999999999995</v>
      </c>
      <c r="AZ202" s="253">
        <f t="shared" si="23"/>
        <v>544</v>
      </c>
      <c r="BA202" s="254">
        <f t="shared" ref="BA202:BC202" si="26">+BA201*BA199</f>
        <v>50.5</v>
      </c>
      <c r="BB202" s="570">
        <f>+BB201</f>
        <v>272</v>
      </c>
      <c r="BC202" s="253">
        <f t="shared" si="26"/>
        <v>0</v>
      </c>
      <c r="BD202" s="254">
        <f t="shared" ref="BD202" si="27">+BD201*BD199</f>
        <v>54</v>
      </c>
      <c r="JS202" s="5"/>
    </row>
    <row r="203" spans="1:279" s="56" customFormat="1" ht="30.75" customHeight="1">
      <c r="A203" s="1111"/>
      <c r="B203" s="1114"/>
      <c r="C203" s="183" t="s">
        <v>1630</v>
      </c>
      <c r="D203" s="220">
        <f>+D202</f>
        <v>302</v>
      </c>
      <c r="E203" s="953">
        <f>+E202+F202</f>
        <v>91.8</v>
      </c>
      <c r="F203" s="955"/>
      <c r="G203" s="220">
        <f>+G202</f>
        <v>131</v>
      </c>
      <c r="H203" s="332">
        <f>+H202</f>
        <v>490</v>
      </c>
      <c r="I203" s="953">
        <f>+I202+J202</f>
        <v>157.5</v>
      </c>
      <c r="J203" s="955"/>
      <c r="K203" s="953">
        <f>+K202+L202</f>
        <v>365.20000000000005</v>
      </c>
      <c r="L203" s="955"/>
      <c r="M203" s="953">
        <f>+M202+N202</f>
        <v>153.70000000000002</v>
      </c>
      <c r="N203" s="955"/>
      <c r="O203" s="953">
        <f>+O202+P202</f>
        <v>180</v>
      </c>
      <c r="P203" s="955"/>
      <c r="Q203" s="953">
        <f>+Q202+R202</f>
        <v>1346.4</v>
      </c>
      <c r="R203" s="955"/>
      <c r="S203" s="953">
        <f>+S202+T202+U202</f>
        <v>127</v>
      </c>
      <c r="T203" s="954"/>
      <c r="U203" s="955"/>
      <c r="V203" s="953">
        <f>+V202+W202</f>
        <v>548.6</v>
      </c>
      <c r="W203" s="954"/>
      <c r="X203" s="184">
        <f>+X202</f>
        <v>704</v>
      </c>
      <c r="Y203" s="953">
        <f>+Y202+Z202</f>
        <v>86</v>
      </c>
      <c r="Z203" s="955"/>
      <c r="AA203" s="953">
        <f>+AA202+AB202</f>
        <v>177.57</v>
      </c>
      <c r="AB203" s="955"/>
      <c r="AC203" s="953">
        <f>+AC202+AD202</f>
        <v>2</v>
      </c>
      <c r="AD203" s="955"/>
      <c r="AE203" s="953">
        <f>+AE202+AF202</f>
        <v>18.759999999999998</v>
      </c>
      <c r="AF203" s="955"/>
      <c r="AG203" s="953">
        <f>+AG202+AH202</f>
        <v>21.060000000000002</v>
      </c>
      <c r="AH203" s="955"/>
      <c r="AI203" s="953">
        <f>+AI202+AJ202</f>
        <v>224.59999999999997</v>
      </c>
      <c r="AJ203" s="955"/>
      <c r="AK203" s="953">
        <f>+AK202+AL202</f>
        <v>139</v>
      </c>
      <c r="AL203" s="955"/>
      <c r="AM203" s="953">
        <f>+AM202+AN202</f>
        <v>58.33</v>
      </c>
      <c r="AN203" s="955"/>
      <c r="AO203" s="184">
        <f>+AO202</f>
        <v>1546</v>
      </c>
      <c r="AP203" s="953">
        <f>+AP202+AQ202</f>
        <v>624.06000000000006</v>
      </c>
      <c r="AQ203" s="955"/>
      <c r="AR203" s="953">
        <f>+AR202+AS202+AT202</f>
        <v>375.1</v>
      </c>
      <c r="AS203" s="954"/>
      <c r="AT203" s="955"/>
      <c r="AU203" s="953">
        <f>+AU202+AV202</f>
        <v>2358.4</v>
      </c>
      <c r="AV203" s="955"/>
      <c r="AW203" s="184">
        <f>+AW202</f>
        <v>305</v>
      </c>
      <c r="AX203" s="953">
        <f>+AX202+AY202</f>
        <v>111.4</v>
      </c>
      <c r="AY203" s="955"/>
      <c r="AZ203" s="953">
        <f>+AZ202+BA202</f>
        <v>594.5</v>
      </c>
      <c r="BA203" s="955"/>
      <c r="BB203" s="285">
        <f>+BB202</f>
        <v>272</v>
      </c>
      <c r="BC203" s="953">
        <f>+BC202+BD202</f>
        <v>54</v>
      </c>
      <c r="BD203" s="955"/>
      <c r="JS203" s="185"/>
    </row>
    <row r="204" spans="1:279" s="1" customFormat="1" ht="30.75" customHeight="1">
      <c r="A204" s="1111"/>
      <c r="B204" s="1114"/>
      <c r="C204" s="130" t="s">
        <v>305</v>
      </c>
      <c r="D204" s="221">
        <f t="shared" ref="D204:T204" si="28">+D201/D200</f>
        <v>0.2245353159851301</v>
      </c>
      <c r="E204" s="286">
        <f t="shared" si="28"/>
        <v>0.27954545454545454</v>
      </c>
      <c r="F204" s="287">
        <f t="shared" si="28"/>
        <v>0.25</v>
      </c>
      <c r="G204" s="221">
        <f t="shared" si="28"/>
        <v>0.30184331797235026</v>
      </c>
      <c r="H204" s="339">
        <f t="shared" si="28"/>
        <v>0.26301663982823403</v>
      </c>
      <c r="I204" s="286">
        <f t="shared" si="28"/>
        <v>0.40677966101694918</v>
      </c>
      <c r="J204" s="287">
        <f t="shared" si="28"/>
        <v>0.30882352941176472</v>
      </c>
      <c r="K204" s="286">
        <f t="shared" si="28"/>
        <v>0.48481166464155528</v>
      </c>
      <c r="L204" s="287">
        <f t="shared" si="28"/>
        <v>0.25416666666666665</v>
      </c>
      <c r="M204" s="286">
        <f t="shared" si="28"/>
        <v>0.12320916905444126</v>
      </c>
      <c r="N204" s="287">
        <f t="shared" si="28"/>
        <v>0.70042194092827004</v>
      </c>
      <c r="O204" s="286">
        <f t="shared" si="28"/>
        <v>0.24533333333333332</v>
      </c>
      <c r="P204" s="287">
        <f t="shared" si="28"/>
        <v>0.22950819672131148</v>
      </c>
      <c r="Q204" s="286">
        <f t="shared" si="28"/>
        <v>0.17594127397584655</v>
      </c>
      <c r="R204" s="287">
        <f t="shared" si="28"/>
        <v>0.23076923076923078</v>
      </c>
      <c r="S204" s="286">
        <f t="shared" si="28"/>
        <v>0.32650862068965519</v>
      </c>
      <c r="T204" s="105">
        <f t="shared" si="28"/>
        <v>0.44117647058823528</v>
      </c>
      <c r="U204" s="105">
        <f t="shared" ref="U204" si="29">+U201/U200</f>
        <v>0.34362139917695472</v>
      </c>
      <c r="V204" s="286">
        <f t="shared" ref="V204:AV204" si="30">+V201/V200</f>
        <v>0.18212324588163514</v>
      </c>
      <c r="W204" s="105">
        <f t="shared" si="30"/>
        <v>0.42965779467680609</v>
      </c>
      <c r="X204" s="339">
        <f t="shared" si="30"/>
        <v>0.39002770083102495</v>
      </c>
      <c r="Y204" s="286">
        <f t="shared" si="30"/>
        <v>8.3984375E-2</v>
      </c>
      <c r="Z204" s="287">
        <f t="shared" si="30"/>
        <v>0.16226415094339622</v>
      </c>
      <c r="AA204" s="286">
        <f t="shared" si="30"/>
        <v>0.59797297297297303</v>
      </c>
      <c r="AB204" s="287">
        <f t="shared" si="30"/>
        <v>0.30350194552529181</v>
      </c>
      <c r="AC204" s="286">
        <f t="shared" si="30"/>
        <v>0</v>
      </c>
      <c r="AD204" s="287">
        <f t="shared" si="30"/>
        <v>1</v>
      </c>
      <c r="AE204" s="286">
        <f t="shared" si="30"/>
        <v>0.26977687626774849</v>
      </c>
      <c r="AF204" s="287">
        <f t="shared" si="30"/>
        <v>0.91666666666666663</v>
      </c>
      <c r="AG204" s="286">
        <f t="shared" si="30"/>
        <v>0.31111111111111112</v>
      </c>
      <c r="AH204" s="287">
        <f t="shared" si="30"/>
        <v>0.8</v>
      </c>
      <c r="AI204" s="286">
        <f t="shared" si="30"/>
        <v>0.27886977886977887</v>
      </c>
      <c r="AJ204" s="287">
        <f t="shared" si="30"/>
        <v>0.21812749003984064</v>
      </c>
      <c r="AK204" s="286">
        <f t="shared" si="30"/>
        <v>0.18584070796460178</v>
      </c>
      <c r="AL204" s="287">
        <f t="shared" si="30"/>
        <v>0.60368663594470051</v>
      </c>
      <c r="AM204" s="286">
        <f t="shared" si="30"/>
        <v>0.651685393258427</v>
      </c>
      <c r="AN204" s="287">
        <f t="shared" si="30"/>
        <v>0.12853107344632769</v>
      </c>
      <c r="AO204" s="339">
        <f t="shared" si="30"/>
        <v>0.23332327195894959</v>
      </c>
      <c r="AP204" s="286">
        <f t="shared" si="30"/>
        <v>0.29447565543071164</v>
      </c>
      <c r="AQ204" s="287">
        <f t="shared" si="30"/>
        <v>0.27272727272727271</v>
      </c>
      <c r="AR204" s="286">
        <f t="shared" si="30"/>
        <v>0.18616846935431006</v>
      </c>
      <c r="AS204" s="50">
        <f t="shared" si="30"/>
        <v>0.28290766208251472</v>
      </c>
      <c r="AT204" s="287">
        <f t="shared" si="30"/>
        <v>0.23728813559322035</v>
      </c>
      <c r="AU204" s="286">
        <f t="shared" si="30"/>
        <v>0.30235526163127974</v>
      </c>
      <c r="AV204" s="287">
        <f t="shared" si="30"/>
        <v>0.17615176151761516</v>
      </c>
      <c r="AW204" s="593">
        <f>AW201*1/1016</f>
        <v>0.30019685039370081</v>
      </c>
      <c r="AX204" s="286">
        <f t="shared" ref="AX204:BD204" si="31">+AX201/AX200</f>
        <v>0.10507533703409992</v>
      </c>
      <c r="AY204" s="287">
        <f t="shared" si="31"/>
        <v>0.22500000000000001</v>
      </c>
      <c r="AZ204" s="286">
        <f t="shared" si="31"/>
        <v>0.21860558569419328</v>
      </c>
      <c r="BA204" s="287">
        <f t="shared" si="31"/>
        <v>0.4297872340425532</v>
      </c>
      <c r="BB204" s="290">
        <f t="shared" si="31"/>
        <v>0.2177742193755004</v>
      </c>
      <c r="BC204" s="286">
        <f t="shared" si="31"/>
        <v>0</v>
      </c>
      <c r="BD204" s="287">
        <f t="shared" si="31"/>
        <v>0.30612244897959184</v>
      </c>
      <c r="JS204" s="5"/>
    </row>
    <row r="205" spans="1:279" s="426" customFormat="1" ht="30.75" customHeight="1">
      <c r="A205" s="1111"/>
      <c r="B205" s="1114"/>
      <c r="C205" s="424" t="s">
        <v>306</v>
      </c>
      <c r="D205" s="224">
        <f>+D204*D199</f>
        <v>0.2245353159851301</v>
      </c>
      <c r="E205" s="289">
        <f>+E204*E199</f>
        <v>0.19568181818181818</v>
      </c>
      <c r="F205" s="290">
        <f>+F204*F199</f>
        <v>7.4999999999999997E-2</v>
      </c>
      <c r="G205" s="224">
        <f>+G204*G199</f>
        <v>0.30184331797235026</v>
      </c>
      <c r="H205" s="326">
        <f>+H204*H199</f>
        <v>0.26301663982823403</v>
      </c>
      <c r="I205" s="289">
        <f t="shared" ref="I205:T205" si="32">+I204*I199</f>
        <v>0.20338983050847459</v>
      </c>
      <c r="J205" s="290">
        <f t="shared" si="32"/>
        <v>0.15441176470588236</v>
      </c>
      <c r="K205" s="289">
        <f t="shared" si="32"/>
        <v>0.43633049817739977</v>
      </c>
      <c r="L205" s="290">
        <f t="shared" si="32"/>
        <v>2.5416666666666667E-2</v>
      </c>
      <c r="M205" s="289">
        <f t="shared" si="32"/>
        <v>1.2320916905444127E-2</v>
      </c>
      <c r="N205" s="290">
        <f t="shared" si="32"/>
        <v>0.63037974683544307</v>
      </c>
      <c r="O205" s="289">
        <f t="shared" si="32"/>
        <v>0.12266666666666666</v>
      </c>
      <c r="P205" s="290">
        <f t="shared" si="32"/>
        <v>0.11475409836065574</v>
      </c>
      <c r="Q205" s="289">
        <f t="shared" si="32"/>
        <v>0.1583471465782619</v>
      </c>
      <c r="R205" s="290">
        <f t="shared" si="32"/>
        <v>2.3076923076923078E-2</v>
      </c>
      <c r="S205" s="289">
        <f t="shared" si="32"/>
        <v>3.2650862068965519E-3</v>
      </c>
      <c r="T205" s="425">
        <f t="shared" si="32"/>
        <v>0.43235294117647055</v>
      </c>
      <c r="U205" s="425">
        <f t="shared" ref="U205" si="33">+U204*U199</f>
        <v>3.4362139917695472E-3</v>
      </c>
      <c r="V205" s="289">
        <f t="shared" ref="V205:AV205" si="34">+V204*V199</f>
        <v>0.16391092129347162</v>
      </c>
      <c r="W205" s="425">
        <f t="shared" si="34"/>
        <v>4.2965779467680612E-2</v>
      </c>
      <c r="X205" s="326">
        <f t="shared" si="34"/>
        <v>0.39002770083102495</v>
      </c>
      <c r="Y205" s="289">
        <f t="shared" si="34"/>
        <v>4.19921875E-2</v>
      </c>
      <c r="Z205" s="290">
        <f t="shared" si="34"/>
        <v>8.1132075471698109E-2</v>
      </c>
      <c r="AA205" s="289">
        <f t="shared" si="34"/>
        <v>0.59199324324324332</v>
      </c>
      <c r="AB205" s="290">
        <f t="shared" si="34"/>
        <v>3.0350194552529182E-3</v>
      </c>
      <c r="AC205" s="289">
        <f t="shared" si="34"/>
        <v>0</v>
      </c>
      <c r="AD205" s="290">
        <f t="shared" si="34"/>
        <v>0.4</v>
      </c>
      <c r="AE205" s="289">
        <f t="shared" si="34"/>
        <v>5.3955375253549702E-3</v>
      </c>
      <c r="AF205" s="290">
        <f t="shared" si="34"/>
        <v>0.89833333333333332</v>
      </c>
      <c r="AG205" s="289">
        <f t="shared" si="34"/>
        <v>3.1111111111111114E-3</v>
      </c>
      <c r="AH205" s="290">
        <f t="shared" si="34"/>
        <v>0.79200000000000004</v>
      </c>
      <c r="AI205" s="289">
        <f t="shared" si="34"/>
        <v>0.19520884520884521</v>
      </c>
      <c r="AJ205" s="290">
        <f t="shared" si="34"/>
        <v>6.5438247011952194E-2</v>
      </c>
      <c r="AK205" s="289">
        <f t="shared" si="34"/>
        <v>9.2920353982300891E-2</v>
      </c>
      <c r="AL205" s="290">
        <f t="shared" si="34"/>
        <v>0.30184331797235026</v>
      </c>
      <c r="AM205" s="289">
        <f t="shared" si="34"/>
        <v>0.64516853932584273</v>
      </c>
      <c r="AN205" s="290">
        <f t="shared" si="34"/>
        <v>1.2853107344632769E-3</v>
      </c>
      <c r="AO205" s="326">
        <f t="shared" si="34"/>
        <v>0.23332327195894959</v>
      </c>
      <c r="AP205" s="289">
        <f t="shared" si="34"/>
        <v>0.29153089887640454</v>
      </c>
      <c r="AQ205" s="290">
        <f t="shared" si="34"/>
        <v>2.7272727272727271E-3</v>
      </c>
      <c r="AR205" s="289">
        <f t="shared" si="34"/>
        <v>6.515896427400851E-2</v>
      </c>
      <c r="AS205" s="129">
        <f t="shared" si="34"/>
        <v>0.11316306483300589</v>
      </c>
      <c r="AT205" s="290">
        <f t="shared" si="34"/>
        <v>5.9322033898305086E-2</v>
      </c>
      <c r="AU205" s="289">
        <f t="shared" si="34"/>
        <v>0.27211973546815177</v>
      </c>
      <c r="AV205" s="290">
        <f t="shared" si="34"/>
        <v>1.7615176151761516E-2</v>
      </c>
      <c r="AW205" s="684">
        <f>+AW204</f>
        <v>0.30019685039370081</v>
      </c>
      <c r="AX205" s="289">
        <f t="shared" ref="AX205:BD205" si="35">+AX204*AX199</f>
        <v>4.2030134813639972E-2</v>
      </c>
      <c r="AY205" s="290">
        <f t="shared" si="35"/>
        <v>0.13500000000000001</v>
      </c>
      <c r="AZ205" s="289">
        <f t="shared" si="35"/>
        <v>0.10930279284709664</v>
      </c>
      <c r="BA205" s="290">
        <f t="shared" si="35"/>
        <v>0.2148936170212766</v>
      </c>
      <c r="BB205" s="290">
        <f t="shared" si="35"/>
        <v>0.2177742193755004</v>
      </c>
      <c r="BC205" s="289">
        <f t="shared" si="35"/>
        <v>0</v>
      </c>
      <c r="BD205" s="290">
        <f t="shared" si="35"/>
        <v>0.27551020408163268</v>
      </c>
      <c r="JS205" s="427"/>
    </row>
    <row r="206" spans="1:279" s="414" customFormat="1" ht="30.75" customHeight="1">
      <c r="A206" s="1112"/>
      <c r="B206" s="1115"/>
      <c r="C206" s="413" t="s">
        <v>307</v>
      </c>
      <c r="D206" s="225">
        <f>+D205</f>
        <v>0.2245353159851301</v>
      </c>
      <c r="E206" s="959">
        <f>+E205+F205</f>
        <v>0.27068181818181819</v>
      </c>
      <c r="F206" s="961"/>
      <c r="G206" s="225">
        <f>+G205</f>
        <v>0.30184331797235026</v>
      </c>
      <c r="H206" s="341">
        <f>+H204</f>
        <v>0.26301663982823403</v>
      </c>
      <c r="I206" s="959">
        <f>+I205+J205</f>
        <v>0.35780159521435695</v>
      </c>
      <c r="J206" s="961"/>
      <c r="K206" s="959">
        <f>+K205+L205</f>
        <v>0.46174716484406642</v>
      </c>
      <c r="L206" s="961"/>
      <c r="M206" s="959">
        <f>+M205+N205</f>
        <v>0.64270066374088719</v>
      </c>
      <c r="N206" s="961"/>
      <c r="O206" s="959">
        <f>+O205+P205</f>
        <v>0.2374207650273224</v>
      </c>
      <c r="P206" s="961"/>
      <c r="Q206" s="959">
        <f>+Q205+R205</f>
        <v>0.18142406965518498</v>
      </c>
      <c r="R206" s="961"/>
      <c r="S206" s="959">
        <f>+S205+T205+U205</f>
        <v>0.4390542413751366</v>
      </c>
      <c r="T206" s="960"/>
      <c r="U206" s="961"/>
      <c r="V206" s="959">
        <f>+V205+W205</f>
        <v>0.20687670076115222</v>
      </c>
      <c r="W206" s="960"/>
      <c r="X206" s="341">
        <f>+X205</f>
        <v>0.39002770083102495</v>
      </c>
      <c r="Y206" s="959">
        <f>+Y205+Z205</f>
        <v>0.12312426297169811</v>
      </c>
      <c r="Z206" s="961"/>
      <c r="AA206" s="959">
        <f>+AA205+AB205</f>
        <v>0.59502826269849618</v>
      </c>
      <c r="AB206" s="961"/>
      <c r="AC206" s="959">
        <f>+AC205+AD205</f>
        <v>0.4</v>
      </c>
      <c r="AD206" s="961"/>
      <c r="AE206" s="959">
        <f>+AE205+AF205</f>
        <v>0.90372887085868825</v>
      </c>
      <c r="AF206" s="961"/>
      <c r="AG206" s="959">
        <f>+AG205+AH205</f>
        <v>0.7951111111111111</v>
      </c>
      <c r="AH206" s="961"/>
      <c r="AI206" s="959">
        <f>+AI205+AJ205</f>
        <v>0.26064709222079741</v>
      </c>
      <c r="AJ206" s="961"/>
      <c r="AK206" s="959">
        <f>+AK205+AL205</f>
        <v>0.39476367195465112</v>
      </c>
      <c r="AL206" s="961"/>
      <c r="AM206" s="959">
        <f>+AM205+AN205</f>
        <v>0.64645385006030598</v>
      </c>
      <c r="AN206" s="961"/>
      <c r="AO206" s="341">
        <f>+AO205</f>
        <v>0.23332327195894959</v>
      </c>
      <c r="AP206" s="959">
        <f>+AP205+AQ205</f>
        <v>0.29425817160367729</v>
      </c>
      <c r="AQ206" s="961"/>
      <c r="AR206" s="959">
        <f>+AR205+AS205+AT205</f>
        <v>0.23764406300531948</v>
      </c>
      <c r="AS206" s="960"/>
      <c r="AT206" s="961"/>
      <c r="AU206" s="959">
        <f>+AU205+AV205</f>
        <v>0.28973491161991327</v>
      </c>
      <c r="AV206" s="961"/>
      <c r="AW206" s="341">
        <f>AW204</f>
        <v>0.30019685039370081</v>
      </c>
      <c r="AX206" s="959">
        <f>+AX205+AY205</f>
        <v>0.17703013481363999</v>
      </c>
      <c r="AY206" s="961"/>
      <c r="AZ206" s="959">
        <f>+AZ205+BA205</f>
        <v>0.32419640986837323</v>
      </c>
      <c r="BA206" s="961"/>
      <c r="BB206" s="571">
        <f>+BB205</f>
        <v>0.2177742193755004</v>
      </c>
      <c r="BC206" s="959">
        <f>+BC205+BD205</f>
        <v>0.27551020408163268</v>
      </c>
      <c r="BD206" s="961"/>
      <c r="JS206" s="415"/>
    </row>
    <row r="207" spans="1:279" s="1" customFormat="1" ht="59.25" customHeight="1">
      <c r="A207" s="1110" t="s">
        <v>310</v>
      </c>
      <c r="B207" s="1113" t="s">
        <v>313</v>
      </c>
      <c r="C207" s="130" t="s">
        <v>1625</v>
      </c>
      <c r="D207" s="218">
        <v>1</v>
      </c>
      <c r="E207" s="280">
        <f>+E199</f>
        <v>0.7</v>
      </c>
      <c r="F207" s="281">
        <f>+F199</f>
        <v>0.3</v>
      </c>
      <c r="G207" s="218">
        <v>1</v>
      </c>
      <c r="H207" s="165">
        <v>1</v>
      </c>
      <c r="I207" s="280">
        <f t="shared" ref="I207:T207" si="36">+I199</f>
        <v>0.5</v>
      </c>
      <c r="J207" s="281">
        <f t="shared" si="36"/>
        <v>0.5</v>
      </c>
      <c r="K207" s="280">
        <f t="shared" si="36"/>
        <v>0.9</v>
      </c>
      <c r="L207" s="281">
        <f t="shared" si="36"/>
        <v>0.1</v>
      </c>
      <c r="M207" s="280">
        <f t="shared" si="36"/>
        <v>0.1</v>
      </c>
      <c r="N207" s="281">
        <f t="shared" si="36"/>
        <v>0.9</v>
      </c>
      <c r="O207" s="280">
        <f t="shared" si="36"/>
        <v>0.5</v>
      </c>
      <c r="P207" s="281">
        <f t="shared" si="36"/>
        <v>0.5</v>
      </c>
      <c r="Q207" s="280">
        <f t="shared" si="36"/>
        <v>0.9</v>
      </c>
      <c r="R207" s="281">
        <f t="shared" si="36"/>
        <v>0.1</v>
      </c>
      <c r="S207" s="280">
        <f t="shared" si="36"/>
        <v>0.01</v>
      </c>
      <c r="T207" s="115">
        <f t="shared" si="36"/>
        <v>0.98</v>
      </c>
      <c r="U207" s="115">
        <f t="shared" ref="U207" si="37">+U199</f>
        <v>0.01</v>
      </c>
      <c r="V207" s="280">
        <f t="shared" ref="V207:BA207" si="38">+V199</f>
        <v>0.9</v>
      </c>
      <c r="W207" s="115">
        <f t="shared" si="38"/>
        <v>0.1</v>
      </c>
      <c r="X207" s="165">
        <f t="shared" si="38"/>
        <v>1</v>
      </c>
      <c r="Y207" s="280">
        <f t="shared" si="38"/>
        <v>0.5</v>
      </c>
      <c r="Z207" s="281">
        <f t="shared" si="38"/>
        <v>0.5</v>
      </c>
      <c r="AA207" s="280">
        <f t="shared" si="38"/>
        <v>0.99</v>
      </c>
      <c r="AB207" s="281">
        <f t="shared" si="38"/>
        <v>0.01</v>
      </c>
      <c r="AC207" s="280">
        <f t="shared" si="38"/>
        <v>0.6</v>
      </c>
      <c r="AD207" s="281">
        <f t="shared" si="38"/>
        <v>0.4</v>
      </c>
      <c r="AE207" s="280">
        <f t="shared" si="38"/>
        <v>0.02</v>
      </c>
      <c r="AF207" s="281">
        <f t="shared" si="38"/>
        <v>0.98</v>
      </c>
      <c r="AG207" s="280">
        <f t="shared" si="38"/>
        <v>0.01</v>
      </c>
      <c r="AH207" s="281">
        <f t="shared" si="38"/>
        <v>0.99</v>
      </c>
      <c r="AI207" s="280">
        <f t="shared" si="38"/>
        <v>0.7</v>
      </c>
      <c r="AJ207" s="281">
        <f t="shared" si="38"/>
        <v>0.3</v>
      </c>
      <c r="AK207" s="280">
        <f t="shared" si="38"/>
        <v>0.5</v>
      </c>
      <c r="AL207" s="281">
        <f t="shared" si="38"/>
        <v>0.5</v>
      </c>
      <c r="AM207" s="280">
        <f t="shared" si="38"/>
        <v>0.99</v>
      </c>
      <c r="AN207" s="281">
        <f t="shared" si="38"/>
        <v>0.01</v>
      </c>
      <c r="AO207" s="165">
        <f t="shared" si="38"/>
        <v>1</v>
      </c>
      <c r="AP207" s="280">
        <f t="shared" si="38"/>
        <v>0.99</v>
      </c>
      <c r="AQ207" s="281">
        <f t="shared" si="38"/>
        <v>0.01</v>
      </c>
      <c r="AR207" s="280">
        <f t="shared" si="38"/>
        <v>0.35</v>
      </c>
      <c r="AS207" s="8">
        <f t="shared" si="38"/>
        <v>0.4</v>
      </c>
      <c r="AT207" s="281">
        <f t="shared" si="38"/>
        <v>0.25</v>
      </c>
      <c r="AU207" s="280">
        <f t="shared" si="38"/>
        <v>0.9</v>
      </c>
      <c r="AV207" s="281">
        <f t="shared" si="38"/>
        <v>0.1</v>
      </c>
      <c r="AW207" s="592">
        <f t="shared" si="38"/>
        <v>1</v>
      </c>
      <c r="AX207" s="280">
        <f t="shared" si="38"/>
        <v>0.4</v>
      </c>
      <c r="AY207" s="281">
        <f t="shared" si="38"/>
        <v>0.6</v>
      </c>
      <c r="AZ207" s="280">
        <f t="shared" si="38"/>
        <v>0.5</v>
      </c>
      <c r="BA207" s="281">
        <f t="shared" si="38"/>
        <v>0.5</v>
      </c>
      <c r="BB207" s="691">
        <f>+BB199</f>
        <v>1</v>
      </c>
      <c r="BC207" s="280">
        <f>+BC199</f>
        <v>0.1</v>
      </c>
      <c r="BD207" s="281">
        <f>+BD199</f>
        <v>0.9</v>
      </c>
      <c r="JS207" s="5"/>
    </row>
    <row r="208" spans="1:279" s="1" customFormat="1" ht="59.25" customHeight="1">
      <c r="A208" s="1111"/>
      <c r="B208" s="1114"/>
      <c r="C208" s="130" t="s">
        <v>301</v>
      </c>
      <c r="D208" s="73">
        <f>+D200</f>
        <v>1345</v>
      </c>
      <c r="E208" s="245">
        <f>+E200</f>
        <v>440</v>
      </c>
      <c r="F208" s="250">
        <f>+F200</f>
        <v>76</v>
      </c>
      <c r="G208" s="251">
        <f>+G200</f>
        <v>434</v>
      </c>
      <c r="H208" s="143">
        <f>+H200</f>
        <v>1863</v>
      </c>
      <c r="I208" s="253">
        <f t="shared" ref="I208:T208" si="39">+I200</f>
        <v>413</v>
      </c>
      <c r="J208" s="254">
        <f t="shared" si="39"/>
        <v>476</v>
      </c>
      <c r="K208" s="253">
        <f t="shared" si="39"/>
        <v>823</v>
      </c>
      <c r="L208" s="254">
        <f t="shared" si="39"/>
        <v>240</v>
      </c>
      <c r="M208" s="253">
        <f t="shared" si="39"/>
        <v>349</v>
      </c>
      <c r="N208" s="254">
        <f t="shared" si="39"/>
        <v>237</v>
      </c>
      <c r="O208" s="253">
        <f t="shared" si="39"/>
        <v>1125</v>
      </c>
      <c r="P208" s="254">
        <f t="shared" si="39"/>
        <v>366</v>
      </c>
      <c r="Q208" s="253">
        <f t="shared" si="39"/>
        <v>8446</v>
      </c>
      <c r="R208" s="254">
        <f t="shared" si="39"/>
        <v>390</v>
      </c>
      <c r="S208" s="253">
        <f t="shared" si="39"/>
        <v>1856</v>
      </c>
      <c r="T208" s="113">
        <f t="shared" si="39"/>
        <v>272</v>
      </c>
      <c r="U208" s="708">
        <f t="shared" ref="U208" si="40">+U200</f>
        <v>972</v>
      </c>
      <c r="V208" s="253">
        <f t="shared" ref="V208:AW208" si="41">+V200</f>
        <v>3278</v>
      </c>
      <c r="W208" s="113">
        <f t="shared" si="41"/>
        <v>263</v>
      </c>
      <c r="X208" s="143">
        <f t="shared" si="41"/>
        <v>1805</v>
      </c>
      <c r="Y208" s="253">
        <f t="shared" si="41"/>
        <v>1024</v>
      </c>
      <c r="Z208" s="254">
        <f t="shared" si="41"/>
        <v>530</v>
      </c>
      <c r="AA208" s="253">
        <f t="shared" si="41"/>
        <v>296</v>
      </c>
      <c r="AB208" s="254">
        <f t="shared" si="41"/>
        <v>771</v>
      </c>
      <c r="AC208" s="253">
        <f t="shared" si="41"/>
        <v>727</v>
      </c>
      <c r="AD208" s="254">
        <f t="shared" si="41"/>
        <v>5</v>
      </c>
      <c r="AE208" s="253">
        <f t="shared" si="41"/>
        <v>1479</v>
      </c>
      <c r="AF208" s="254">
        <f t="shared" si="41"/>
        <v>12</v>
      </c>
      <c r="AG208" s="253">
        <f t="shared" si="41"/>
        <v>405</v>
      </c>
      <c r="AH208" s="254">
        <f t="shared" si="41"/>
        <v>25</v>
      </c>
      <c r="AI208" s="253">
        <f t="shared" si="41"/>
        <v>814</v>
      </c>
      <c r="AJ208" s="254">
        <f t="shared" si="41"/>
        <v>1004</v>
      </c>
      <c r="AK208" s="253">
        <f t="shared" si="41"/>
        <v>791</v>
      </c>
      <c r="AL208" s="254">
        <f t="shared" si="41"/>
        <v>217</v>
      </c>
      <c r="AM208" s="253">
        <f t="shared" si="41"/>
        <v>89</v>
      </c>
      <c r="AN208" s="254">
        <f t="shared" si="41"/>
        <v>708</v>
      </c>
      <c r="AO208" s="143">
        <f t="shared" si="41"/>
        <v>6626</v>
      </c>
      <c r="AP208" s="253">
        <f t="shared" si="41"/>
        <v>2136</v>
      </c>
      <c r="AQ208" s="254">
        <f t="shared" si="41"/>
        <v>495</v>
      </c>
      <c r="AR208" s="253">
        <f t="shared" si="41"/>
        <v>3051</v>
      </c>
      <c r="AS208" s="117">
        <f t="shared" si="41"/>
        <v>1527</v>
      </c>
      <c r="AT208" s="254">
        <f t="shared" si="41"/>
        <v>59</v>
      </c>
      <c r="AU208" s="253">
        <f t="shared" si="41"/>
        <v>8619</v>
      </c>
      <c r="AV208" s="254">
        <f t="shared" si="41"/>
        <v>738</v>
      </c>
      <c r="AW208" s="686">
        <f t="shared" si="41"/>
        <v>1016</v>
      </c>
      <c r="AX208" s="253">
        <f>+AX200</f>
        <v>2522</v>
      </c>
      <c r="AY208" s="254">
        <f>+AY200</f>
        <v>40</v>
      </c>
      <c r="AZ208" s="253">
        <f>+AZ200</f>
        <v>4977</v>
      </c>
      <c r="BA208" s="254">
        <f>+BA200</f>
        <v>235</v>
      </c>
      <c r="BB208" s="252">
        <v>1249</v>
      </c>
      <c r="BC208" s="253">
        <f>+BC200</f>
        <v>1</v>
      </c>
      <c r="BD208" s="254">
        <f>+BD200</f>
        <v>196</v>
      </c>
      <c r="JS208" s="5"/>
    </row>
    <row r="209" spans="1:279" s="51" customFormat="1" ht="59.25" customHeight="1">
      <c r="A209" s="1111"/>
      <c r="B209" s="1114"/>
      <c r="C209" s="135" t="s">
        <v>311</v>
      </c>
      <c r="D209" s="219">
        <v>311</v>
      </c>
      <c r="E209" s="282">
        <v>56</v>
      </c>
      <c r="F209" s="283">
        <v>23</v>
      </c>
      <c r="G209" s="219">
        <v>160</v>
      </c>
      <c r="H209" s="166">
        <v>447</v>
      </c>
      <c r="I209" s="282">
        <v>101</v>
      </c>
      <c r="J209" s="283">
        <v>107</v>
      </c>
      <c r="K209" s="282">
        <v>392</v>
      </c>
      <c r="L209" s="283">
        <v>29</v>
      </c>
      <c r="M209" s="282">
        <v>76</v>
      </c>
      <c r="N209" s="283">
        <v>85</v>
      </c>
      <c r="O209" s="282">
        <v>263</v>
      </c>
      <c r="P209" s="283">
        <v>16</v>
      </c>
      <c r="Q209" s="282">
        <v>1747</v>
      </c>
      <c r="R209" s="283">
        <v>68</v>
      </c>
      <c r="S209" s="379">
        <v>617</v>
      </c>
      <c r="T209" s="116">
        <v>151</v>
      </c>
      <c r="U209" s="403">
        <v>364</v>
      </c>
      <c r="V209" s="282">
        <v>636</v>
      </c>
      <c r="W209" s="422">
        <v>60</v>
      </c>
      <c r="X209" s="143">
        <v>661</v>
      </c>
      <c r="Y209" s="282">
        <v>345</v>
      </c>
      <c r="Z209" s="283">
        <v>157</v>
      </c>
      <c r="AA209" s="282">
        <v>145</v>
      </c>
      <c r="AB209" s="283">
        <v>177</v>
      </c>
      <c r="AC209" s="282">
        <v>0</v>
      </c>
      <c r="AD209" s="283">
        <v>5</v>
      </c>
      <c r="AE209" s="478">
        <v>378</v>
      </c>
      <c r="AF209" s="479">
        <v>10</v>
      </c>
      <c r="AG209" s="478">
        <v>113</v>
      </c>
      <c r="AH209" s="479">
        <v>16</v>
      </c>
      <c r="AI209" s="478">
        <v>178</v>
      </c>
      <c r="AJ209" s="479">
        <v>133</v>
      </c>
      <c r="AK209" s="478">
        <v>400</v>
      </c>
      <c r="AL209" s="479">
        <v>81</v>
      </c>
      <c r="AM209" s="478">
        <v>36</v>
      </c>
      <c r="AN209" s="479">
        <v>26</v>
      </c>
      <c r="AO209" s="514">
        <v>937</v>
      </c>
      <c r="AP209" s="478">
        <v>305</v>
      </c>
      <c r="AQ209" s="479">
        <v>98</v>
      </c>
      <c r="AR209" s="282">
        <v>489</v>
      </c>
      <c r="AS209" s="52">
        <v>437</v>
      </c>
      <c r="AT209" s="283">
        <v>16</v>
      </c>
      <c r="AU209" s="282">
        <v>761</v>
      </c>
      <c r="AV209" s="283">
        <v>131</v>
      </c>
      <c r="AW209" s="166">
        <v>238</v>
      </c>
      <c r="AX209" s="282">
        <v>530</v>
      </c>
      <c r="AY209" s="283">
        <v>3</v>
      </c>
      <c r="AZ209" s="478">
        <v>759</v>
      </c>
      <c r="BA209" s="479">
        <v>56</v>
      </c>
      <c r="BB209" s="569">
        <v>263</v>
      </c>
      <c r="BC209" s="379">
        <v>0</v>
      </c>
      <c r="BD209" s="479">
        <v>17</v>
      </c>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JS209" s="53"/>
    </row>
    <row r="210" spans="1:279" s="420" customFormat="1" ht="59.25" customHeight="1">
      <c r="A210" s="1111"/>
      <c r="B210" s="1114"/>
      <c r="C210" s="416" t="s">
        <v>303</v>
      </c>
      <c r="D210" s="417">
        <f t="shared" ref="D210:H210" si="42">+D209*D207</f>
        <v>311</v>
      </c>
      <c r="E210" s="385">
        <f t="shared" si="42"/>
        <v>39.199999999999996</v>
      </c>
      <c r="F210" s="418">
        <f t="shared" si="42"/>
        <v>6.8999999999999995</v>
      </c>
      <c r="G210" s="417">
        <f t="shared" si="42"/>
        <v>160</v>
      </c>
      <c r="H210" s="158">
        <f t="shared" si="42"/>
        <v>447</v>
      </c>
      <c r="I210" s="385">
        <f t="shared" ref="I210:P210" si="43">+I209*I207</f>
        <v>50.5</v>
      </c>
      <c r="J210" s="418">
        <f t="shared" si="43"/>
        <v>53.5</v>
      </c>
      <c r="K210" s="385">
        <f t="shared" si="43"/>
        <v>352.8</v>
      </c>
      <c r="L210" s="418">
        <f t="shared" si="43"/>
        <v>2.9000000000000004</v>
      </c>
      <c r="M210" s="385">
        <f t="shared" si="43"/>
        <v>7.6000000000000005</v>
      </c>
      <c r="N210" s="418">
        <f t="shared" si="43"/>
        <v>76.5</v>
      </c>
      <c r="O210" s="385">
        <f t="shared" si="43"/>
        <v>131.5</v>
      </c>
      <c r="P210" s="418">
        <f t="shared" si="43"/>
        <v>8</v>
      </c>
      <c r="Q210" s="385">
        <f t="shared" ref="Q210:U210" si="44">+Q209*Q207</f>
        <v>1572.3</v>
      </c>
      <c r="R210" s="418">
        <f t="shared" si="44"/>
        <v>6.8000000000000007</v>
      </c>
      <c r="S210" s="385">
        <f t="shared" si="44"/>
        <v>6.17</v>
      </c>
      <c r="T210" s="419">
        <f t="shared" si="44"/>
        <v>147.97999999999999</v>
      </c>
      <c r="U210" s="419">
        <f t="shared" si="44"/>
        <v>3.64</v>
      </c>
      <c r="V210" s="385">
        <f t="shared" ref="V210:W210" si="45">+V209*V207</f>
        <v>572.4</v>
      </c>
      <c r="W210" s="419">
        <f t="shared" si="45"/>
        <v>6</v>
      </c>
      <c r="X210" s="158">
        <f>+X209*X207</f>
        <v>661</v>
      </c>
      <c r="Y210" s="385">
        <f t="shared" ref="Y210:Z210" si="46">+Y209*Y207</f>
        <v>172.5</v>
      </c>
      <c r="Z210" s="418">
        <f t="shared" si="46"/>
        <v>78.5</v>
      </c>
      <c r="AA210" s="385">
        <f>+AA209*AA207</f>
        <v>143.55000000000001</v>
      </c>
      <c r="AB210" s="418">
        <f>+AB209*AB207</f>
        <v>1.77</v>
      </c>
      <c r="AC210" s="385">
        <f t="shared" ref="AC210:AD210" si="47">+AC209*AC207</f>
        <v>0</v>
      </c>
      <c r="AD210" s="418">
        <f t="shared" si="47"/>
        <v>2</v>
      </c>
      <c r="AE210" s="385">
        <f t="shared" ref="AE210:AJ210" si="48">+AE209*AE207</f>
        <v>7.5600000000000005</v>
      </c>
      <c r="AF210" s="418">
        <f t="shared" si="48"/>
        <v>9.8000000000000007</v>
      </c>
      <c r="AG210" s="385">
        <f t="shared" si="48"/>
        <v>1.1300000000000001</v>
      </c>
      <c r="AH210" s="418">
        <f t="shared" si="48"/>
        <v>15.84</v>
      </c>
      <c r="AI210" s="385">
        <f t="shared" si="48"/>
        <v>124.6</v>
      </c>
      <c r="AJ210" s="418">
        <f t="shared" si="48"/>
        <v>39.9</v>
      </c>
      <c r="AK210" s="385">
        <f t="shared" ref="AK210" si="49">+AK209*AK207</f>
        <v>200</v>
      </c>
      <c r="AL210" s="418">
        <f t="shared" ref="AL210" si="50">+AL209*AL207</f>
        <v>40.5</v>
      </c>
      <c r="AM210" s="385">
        <f t="shared" ref="AM210:AP210" si="51">+AM209*AM207</f>
        <v>35.64</v>
      </c>
      <c r="AN210" s="418">
        <f t="shared" ref="AN210:AZ210" si="52">+AN209*AN207</f>
        <v>0.26</v>
      </c>
      <c r="AO210" s="158">
        <f t="shared" ref="AO210" si="53">+AO209*AO207</f>
        <v>937</v>
      </c>
      <c r="AP210" s="385">
        <f t="shared" si="51"/>
        <v>301.95</v>
      </c>
      <c r="AQ210" s="418">
        <f t="shared" si="52"/>
        <v>0.98</v>
      </c>
      <c r="AR210" s="385">
        <f t="shared" si="52"/>
        <v>171.14999999999998</v>
      </c>
      <c r="AS210" s="30">
        <f t="shared" si="52"/>
        <v>174.8</v>
      </c>
      <c r="AT210" s="418">
        <f t="shared" si="52"/>
        <v>4</v>
      </c>
      <c r="AU210" s="385">
        <f t="shared" si="52"/>
        <v>684.9</v>
      </c>
      <c r="AV210" s="418">
        <f t="shared" si="52"/>
        <v>13.100000000000001</v>
      </c>
      <c r="AW210" s="158">
        <f>+AW209*AW207</f>
        <v>238</v>
      </c>
      <c r="AX210" s="385">
        <f t="shared" ref="AX210:AY210" si="54">+AX209*AX207</f>
        <v>212</v>
      </c>
      <c r="AY210" s="418">
        <f t="shared" si="54"/>
        <v>1.7999999999999998</v>
      </c>
      <c r="AZ210" s="385">
        <f t="shared" si="52"/>
        <v>379.5</v>
      </c>
      <c r="BA210" s="418">
        <f t="shared" ref="BA210:BC210" si="55">+BA209*BA207</f>
        <v>28</v>
      </c>
      <c r="BB210" s="688">
        <f t="shared" si="55"/>
        <v>263</v>
      </c>
      <c r="BC210" s="385">
        <f t="shared" si="55"/>
        <v>0</v>
      </c>
      <c r="BD210" s="418">
        <f t="shared" ref="BD210" si="56">+BD209*BD207</f>
        <v>15.3</v>
      </c>
      <c r="JS210" s="421"/>
    </row>
    <row r="211" spans="1:279" s="56" customFormat="1" ht="59.25" customHeight="1">
      <c r="A211" s="1111"/>
      <c r="B211" s="1114"/>
      <c r="C211" s="183" t="s">
        <v>304</v>
      </c>
      <c r="D211" s="284">
        <f>+D210</f>
        <v>311</v>
      </c>
      <c r="E211" s="953">
        <f>+E210+F210</f>
        <v>46.099999999999994</v>
      </c>
      <c r="F211" s="955"/>
      <c r="G211" s="284">
        <f>+G210</f>
        <v>160</v>
      </c>
      <c r="H211" s="184">
        <f>+H209</f>
        <v>447</v>
      </c>
      <c r="I211" s="953">
        <f>+I210+J210</f>
        <v>104</v>
      </c>
      <c r="J211" s="955"/>
      <c r="K211" s="953">
        <f>+K210+L210</f>
        <v>355.7</v>
      </c>
      <c r="L211" s="955"/>
      <c r="M211" s="953">
        <f>+M210+N210</f>
        <v>84.1</v>
      </c>
      <c r="N211" s="955"/>
      <c r="O211" s="953">
        <f>+O210+P210</f>
        <v>139.5</v>
      </c>
      <c r="P211" s="955"/>
      <c r="Q211" s="953">
        <f>+Q210+R210</f>
        <v>1579.1</v>
      </c>
      <c r="R211" s="955"/>
      <c r="S211" s="953">
        <f>+S210+T210+U210</f>
        <v>157.78999999999996</v>
      </c>
      <c r="T211" s="954"/>
      <c r="U211" s="955"/>
      <c r="V211" s="953">
        <f>+V210+W210</f>
        <v>578.4</v>
      </c>
      <c r="W211" s="954"/>
      <c r="X211" s="184">
        <f>+X210</f>
        <v>661</v>
      </c>
      <c r="Y211" s="953">
        <f>+Y210+Z210</f>
        <v>251</v>
      </c>
      <c r="Z211" s="955"/>
      <c r="AA211" s="953">
        <f>+AA210+AB210</f>
        <v>145.32000000000002</v>
      </c>
      <c r="AB211" s="955"/>
      <c r="AC211" s="953">
        <f>+AC210+AD210</f>
        <v>2</v>
      </c>
      <c r="AD211" s="955"/>
      <c r="AE211" s="953">
        <f>+AE210+AF210</f>
        <v>17.36</v>
      </c>
      <c r="AF211" s="955"/>
      <c r="AG211" s="953">
        <f>+AG210+AH210</f>
        <v>16.97</v>
      </c>
      <c r="AH211" s="955"/>
      <c r="AI211" s="953">
        <f>+AI210+AJ210</f>
        <v>164.5</v>
      </c>
      <c r="AJ211" s="955"/>
      <c r="AK211" s="953">
        <f>+AK210+AL210</f>
        <v>240.5</v>
      </c>
      <c r="AL211" s="955"/>
      <c r="AM211" s="953">
        <f>+AM210+AN210</f>
        <v>35.9</v>
      </c>
      <c r="AN211" s="955"/>
      <c r="AO211" s="184">
        <f>+AO210</f>
        <v>937</v>
      </c>
      <c r="AP211" s="953">
        <f>+AP210+AQ210</f>
        <v>302.93</v>
      </c>
      <c r="AQ211" s="955"/>
      <c r="AR211" s="953">
        <f>+AR210+AS210+AT210</f>
        <v>349.95</v>
      </c>
      <c r="AS211" s="954"/>
      <c r="AT211" s="955"/>
      <c r="AU211" s="953">
        <f>+AU210+AV210</f>
        <v>698</v>
      </c>
      <c r="AV211" s="955"/>
      <c r="AW211" s="184">
        <f>+AW210</f>
        <v>238</v>
      </c>
      <c r="AX211" s="953">
        <f>+AX210+AY210</f>
        <v>213.8</v>
      </c>
      <c r="AY211" s="955"/>
      <c r="AZ211" s="953">
        <f>+AZ210+BA210</f>
        <v>407.5</v>
      </c>
      <c r="BA211" s="955"/>
      <c r="BB211" s="285">
        <f>+BB210</f>
        <v>263</v>
      </c>
      <c r="BC211" s="953">
        <f>+BC210+BD210</f>
        <v>15.3</v>
      </c>
      <c r="BD211" s="955"/>
      <c r="JS211" s="185"/>
    </row>
    <row r="212" spans="1:279" s="1" customFormat="1" ht="59.25" customHeight="1">
      <c r="A212" s="1111"/>
      <c r="B212" s="1114"/>
      <c r="C212" s="130" t="s">
        <v>312</v>
      </c>
      <c r="D212" s="221">
        <f t="shared" ref="D212:G212" si="57">+D209/D208</f>
        <v>0.2312267657992565</v>
      </c>
      <c r="E212" s="286">
        <f t="shared" si="57"/>
        <v>0.12727272727272726</v>
      </c>
      <c r="F212" s="287">
        <f t="shared" si="57"/>
        <v>0.30263157894736842</v>
      </c>
      <c r="G212" s="221">
        <f t="shared" si="57"/>
        <v>0.3686635944700461</v>
      </c>
      <c r="H212" s="339">
        <f>+H211/H208</f>
        <v>0.23993558776167473</v>
      </c>
      <c r="I212" s="286">
        <f t="shared" ref="I212:U212" si="58">+I209/I208</f>
        <v>0.24455205811138014</v>
      </c>
      <c r="J212" s="287">
        <f t="shared" si="58"/>
        <v>0.22478991596638656</v>
      </c>
      <c r="K212" s="286">
        <f t="shared" si="58"/>
        <v>0.47630619684082626</v>
      </c>
      <c r="L212" s="287">
        <f t="shared" si="58"/>
        <v>0.12083333333333333</v>
      </c>
      <c r="M212" s="286">
        <f t="shared" si="58"/>
        <v>0.2177650429799427</v>
      </c>
      <c r="N212" s="287">
        <f t="shared" si="58"/>
        <v>0.35864978902953587</v>
      </c>
      <c r="O212" s="286">
        <f t="shared" si="58"/>
        <v>0.23377777777777778</v>
      </c>
      <c r="P212" s="287">
        <f t="shared" si="58"/>
        <v>4.3715846994535519E-2</v>
      </c>
      <c r="Q212" s="286">
        <f t="shared" si="58"/>
        <v>0.20684347620175231</v>
      </c>
      <c r="R212" s="287">
        <v>0.68</v>
      </c>
      <c r="S212" s="287">
        <f t="shared" si="58"/>
        <v>0.33243534482758619</v>
      </c>
      <c r="T212" s="287">
        <f t="shared" si="58"/>
        <v>0.55514705882352944</v>
      </c>
      <c r="U212" s="287">
        <f t="shared" si="58"/>
        <v>0.37448559670781895</v>
      </c>
      <c r="V212" s="286">
        <f>+V209/V208</f>
        <v>0.19402074435631483</v>
      </c>
      <c r="W212" s="105">
        <f>+W209/W208</f>
        <v>0.22813688212927757</v>
      </c>
      <c r="X212" s="339">
        <f t="shared" ref="X212" si="59">+X209/X208</f>
        <v>0.36620498614958447</v>
      </c>
      <c r="Y212" s="286">
        <f t="shared" ref="Y212:AD212" si="60">+Y209/Y208</f>
        <v>0.3369140625</v>
      </c>
      <c r="Z212" s="287">
        <f t="shared" si="60"/>
        <v>0.29622641509433961</v>
      </c>
      <c r="AA212" s="286">
        <f t="shared" si="60"/>
        <v>0.48986486486486486</v>
      </c>
      <c r="AB212" s="287">
        <f t="shared" si="60"/>
        <v>0.22957198443579765</v>
      </c>
      <c r="AC212" s="286">
        <f t="shared" si="60"/>
        <v>0</v>
      </c>
      <c r="AD212" s="287">
        <f t="shared" si="60"/>
        <v>1</v>
      </c>
      <c r="AE212" s="286">
        <f t="shared" ref="AE212:AJ212" si="61">+AE209/AE208</f>
        <v>0.25557809330628806</v>
      </c>
      <c r="AF212" s="287">
        <f t="shared" si="61"/>
        <v>0.83333333333333337</v>
      </c>
      <c r="AG212" s="286">
        <f t="shared" si="61"/>
        <v>0.27901234567901234</v>
      </c>
      <c r="AH212" s="287">
        <f t="shared" si="61"/>
        <v>0.64</v>
      </c>
      <c r="AI212" s="286">
        <f t="shared" si="61"/>
        <v>0.21867321867321868</v>
      </c>
      <c r="AJ212" s="287">
        <f t="shared" si="61"/>
        <v>0.13247011952191234</v>
      </c>
      <c r="AK212" s="286">
        <f t="shared" ref="AK212:AL212" si="62">+AK209/AK208</f>
        <v>0.50568900126422245</v>
      </c>
      <c r="AL212" s="287">
        <f t="shared" si="62"/>
        <v>0.37327188940092165</v>
      </c>
      <c r="AM212" s="286">
        <f t="shared" ref="AM212:AN212" si="63">+AM209/AM208</f>
        <v>0.4044943820224719</v>
      </c>
      <c r="AN212" s="287">
        <f t="shared" si="63"/>
        <v>3.6723163841807911E-2</v>
      </c>
      <c r="AO212" s="339">
        <f t="shared" ref="AO212" si="64">+AO209/AO208</f>
        <v>0.14141261696347721</v>
      </c>
      <c r="AP212" s="286">
        <f t="shared" ref="AP212:AX212" si="65">+AP209/AP208</f>
        <v>0.14279026217228463</v>
      </c>
      <c r="AQ212" s="287">
        <f t="shared" si="65"/>
        <v>0.19797979797979798</v>
      </c>
      <c r="AR212" s="286">
        <f t="shared" si="65"/>
        <v>0.16027531956735497</v>
      </c>
      <c r="AS212" s="50">
        <f t="shared" si="65"/>
        <v>0.28618205631958088</v>
      </c>
      <c r="AT212" s="287">
        <f t="shared" si="65"/>
        <v>0.2711864406779661</v>
      </c>
      <c r="AU212" s="286">
        <f t="shared" si="65"/>
        <v>8.8293305487875617E-2</v>
      </c>
      <c r="AV212" s="287">
        <f t="shared" si="65"/>
        <v>0.17750677506775067</v>
      </c>
      <c r="AW212" s="593">
        <f>AW209*1/1016</f>
        <v>0.23425196850393701</v>
      </c>
      <c r="AX212" s="286">
        <f t="shared" si="65"/>
        <v>0.21015067406819984</v>
      </c>
      <c r="AY212" s="287">
        <v>0.68</v>
      </c>
      <c r="AZ212" s="286">
        <f t="shared" ref="AZ212:BB212" si="66">+AZ209/AZ208</f>
        <v>0.15250150693188669</v>
      </c>
      <c r="BA212" s="287">
        <f t="shared" si="66"/>
        <v>0.23829787234042554</v>
      </c>
      <c r="BB212" s="287">
        <f t="shared" si="66"/>
        <v>0.21056845476381106</v>
      </c>
      <c r="BC212" s="286">
        <f t="shared" ref="BC212:BD212" si="67">+BC209/BC208</f>
        <v>0</v>
      </c>
      <c r="BD212" s="287">
        <f t="shared" si="67"/>
        <v>8.673469387755102E-2</v>
      </c>
      <c r="JS212" s="5"/>
    </row>
    <row r="213" spans="1:279" s="1" customFormat="1" ht="59.25" customHeight="1">
      <c r="A213" s="1111"/>
      <c r="B213" s="1114"/>
      <c r="C213" s="130" t="s">
        <v>306</v>
      </c>
      <c r="D213" s="221">
        <f t="shared" ref="D213:H213" si="68">+D212*D207</f>
        <v>0.2312267657992565</v>
      </c>
      <c r="E213" s="286">
        <f t="shared" si="68"/>
        <v>8.9090909090909082E-2</v>
      </c>
      <c r="F213" s="287">
        <f t="shared" si="68"/>
        <v>9.0789473684210517E-2</v>
      </c>
      <c r="G213" s="221">
        <f t="shared" si="68"/>
        <v>0.3686635944700461</v>
      </c>
      <c r="H213" s="339">
        <f t="shared" si="68"/>
        <v>0.23993558776167473</v>
      </c>
      <c r="I213" s="286">
        <f t="shared" ref="I213:Q213" si="69">+I212*I207</f>
        <v>0.12227602905569007</v>
      </c>
      <c r="J213" s="287">
        <f t="shared" si="69"/>
        <v>0.11239495798319328</v>
      </c>
      <c r="K213" s="286">
        <f t="shared" si="69"/>
        <v>0.42867557715674365</v>
      </c>
      <c r="L213" s="287">
        <f t="shared" si="69"/>
        <v>1.2083333333333335E-2</v>
      </c>
      <c r="M213" s="286">
        <f t="shared" si="69"/>
        <v>2.177650429799427E-2</v>
      </c>
      <c r="N213" s="287">
        <f t="shared" si="69"/>
        <v>0.32278481012658228</v>
      </c>
      <c r="O213" s="286">
        <f t="shared" si="69"/>
        <v>0.11688888888888889</v>
      </c>
      <c r="P213" s="287">
        <f t="shared" si="69"/>
        <v>2.185792349726776E-2</v>
      </c>
      <c r="Q213" s="286">
        <f t="shared" si="69"/>
        <v>0.18615912858157707</v>
      </c>
      <c r="R213" s="287">
        <f t="shared" ref="R213:T213" si="70">+R212*R207</f>
        <v>6.8000000000000005E-2</v>
      </c>
      <c r="S213" s="286">
        <f t="shared" si="70"/>
        <v>3.3243534482758621E-3</v>
      </c>
      <c r="T213" s="105">
        <f t="shared" si="70"/>
        <v>0.54404411764705884</v>
      </c>
      <c r="U213" s="105">
        <f t="shared" ref="U213" si="71">+U212*U207</f>
        <v>3.7448559670781897E-3</v>
      </c>
      <c r="V213" s="286">
        <f t="shared" ref="V213:W213" si="72">+V212*V207</f>
        <v>0.17461866992068337</v>
      </c>
      <c r="W213" s="105">
        <f t="shared" si="72"/>
        <v>2.2813688212927757E-2</v>
      </c>
      <c r="X213" s="339">
        <f>+X212*X207</f>
        <v>0.36620498614958447</v>
      </c>
      <c r="Y213" s="286">
        <f t="shared" ref="Y213:Z213" si="73">+Y212*Y207</f>
        <v>0.16845703125</v>
      </c>
      <c r="Z213" s="287">
        <f t="shared" si="73"/>
        <v>0.14811320754716981</v>
      </c>
      <c r="AA213" s="286">
        <f>+AA212*AA207</f>
        <v>0.48496621621621622</v>
      </c>
      <c r="AB213" s="287">
        <f>+AB212*AB207</f>
        <v>2.2957198443579767E-3</v>
      </c>
      <c r="AC213" s="286">
        <f t="shared" ref="AC213:AD213" si="74">+AC212*AC207</f>
        <v>0</v>
      </c>
      <c r="AD213" s="287">
        <f t="shared" si="74"/>
        <v>0.4</v>
      </c>
      <c r="AE213" s="286">
        <f t="shared" ref="AE213:AJ213" si="75">+AE212*AE207</f>
        <v>5.1115618661257611E-3</v>
      </c>
      <c r="AF213" s="287">
        <f t="shared" si="75"/>
        <v>0.81666666666666665</v>
      </c>
      <c r="AG213" s="286">
        <f t="shared" si="75"/>
        <v>2.7901234567901233E-3</v>
      </c>
      <c r="AH213" s="287">
        <f t="shared" si="75"/>
        <v>0.63360000000000005</v>
      </c>
      <c r="AI213" s="286">
        <f t="shared" si="75"/>
        <v>0.15307125307125308</v>
      </c>
      <c r="AJ213" s="287">
        <f t="shared" si="75"/>
        <v>3.9741035856573702E-2</v>
      </c>
      <c r="AK213" s="286">
        <f t="shared" ref="AK213" si="76">+AK212*AK207</f>
        <v>0.25284450063211122</v>
      </c>
      <c r="AL213" s="287">
        <f t="shared" ref="AL213" si="77">+AL212*AL207</f>
        <v>0.18663594470046083</v>
      </c>
      <c r="AM213" s="286">
        <f t="shared" ref="AM213:AP213" si="78">+AM212*AM207</f>
        <v>0.40044943820224715</v>
      </c>
      <c r="AN213" s="287">
        <f t="shared" ref="AN213:AZ213" si="79">+AN212*AN207</f>
        <v>3.6723163841807913E-4</v>
      </c>
      <c r="AO213" s="339">
        <f t="shared" ref="AO213" si="80">+AO212*AO207</f>
        <v>0.14141261696347721</v>
      </c>
      <c r="AP213" s="286">
        <f t="shared" si="78"/>
        <v>0.14136235955056178</v>
      </c>
      <c r="AQ213" s="287">
        <f t="shared" si="79"/>
        <v>1.9797979797979799E-3</v>
      </c>
      <c r="AR213" s="286">
        <f t="shared" si="79"/>
        <v>5.6096361848574236E-2</v>
      </c>
      <c r="AS213" s="50">
        <f t="shared" si="79"/>
        <v>0.11447282252783236</v>
      </c>
      <c r="AT213" s="287">
        <f t="shared" si="79"/>
        <v>6.7796610169491525E-2</v>
      </c>
      <c r="AU213" s="286">
        <f t="shared" si="79"/>
        <v>7.9463974939088064E-2</v>
      </c>
      <c r="AV213" s="287">
        <f t="shared" si="79"/>
        <v>1.7750677506775069E-2</v>
      </c>
      <c r="AW213" s="339">
        <f>+AW212*AW207</f>
        <v>0.23425196850393701</v>
      </c>
      <c r="AX213" s="286">
        <f t="shared" ref="AX213:AY213" si="81">+AX212*AX207</f>
        <v>8.4060269627279943E-2</v>
      </c>
      <c r="AY213" s="287">
        <f t="shared" si="81"/>
        <v>0.40800000000000003</v>
      </c>
      <c r="AZ213" s="286">
        <f t="shared" si="79"/>
        <v>7.6250753465943344E-2</v>
      </c>
      <c r="BA213" s="287">
        <f t="shared" ref="BA213:BC213" si="82">+BA212*BA207</f>
        <v>0.11914893617021277</v>
      </c>
      <c r="BB213" s="287">
        <f t="shared" si="82"/>
        <v>0.21056845476381106</v>
      </c>
      <c r="BC213" s="286">
        <f t="shared" si="82"/>
        <v>0</v>
      </c>
      <c r="BD213" s="287">
        <f t="shared" ref="BD213" si="83">+BD212*BD207</f>
        <v>7.8061224489795925E-2</v>
      </c>
      <c r="JS213" s="5"/>
    </row>
    <row r="214" spans="1:279" s="56" customFormat="1" ht="59.25" customHeight="1">
      <c r="A214" s="1112"/>
      <c r="B214" s="1115"/>
      <c r="C214" s="183" t="s">
        <v>1628</v>
      </c>
      <c r="D214" s="222">
        <f>+D213</f>
        <v>0.2312267657992565</v>
      </c>
      <c r="E214" s="956">
        <f>+E213+F213</f>
        <v>0.17988038277511958</v>
      </c>
      <c r="F214" s="955"/>
      <c r="G214" s="288">
        <f>+G213</f>
        <v>0.3686635944700461</v>
      </c>
      <c r="H214" s="340">
        <f>+H212</f>
        <v>0.23993558776167473</v>
      </c>
      <c r="I214" s="956">
        <f>+I213+J213</f>
        <v>0.23467098703888334</v>
      </c>
      <c r="J214" s="955"/>
      <c r="K214" s="956">
        <f>+K213+L213</f>
        <v>0.44075891049007698</v>
      </c>
      <c r="L214" s="955"/>
      <c r="M214" s="956">
        <f>+M213+N213</f>
        <v>0.34456131442457655</v>
      </c>
      <c r="N214" s="955"/>
      <c r="O214" s="956">
        <f>+O213+P213</f>
        <v>0.13874681238615666</v>
      </c>
      <c r="P214" s="955"/>
      <c r="Q214" s="956">
        <f>+Q213+R213</f>
        <v>0.25415912858157708</v>
      </c>
      <c r="R214" s="958"/>
      <c r="S214" s="956">
        <f>+S213+T213+U213</f>
        <v>0.55111332706241289</v>
      </c>
      <c r="T214" s="957"/>
      <c r="U214" s="958"/>
      <c r="V214" s="956">
        <f>+V213+W213</f>
        <v>0.19743235813361112</v>
      </c>
      <c r="W214" s="954"/>
      <c r="X214" s="340">
        <f>+X213</f>
        <v>0.36620498614958447</v>
      </c>
      <c r="Y214" s="956">
        <f>+Y213+Z213</f>
        <v>0.31657023879716983</v>
      </c>
      <c r="Z214" s="955"/>
      <c r="AA214" s="956">
        <f>+AA213+AB213</f>
        <v>0.48726193606057422</v>
      </c>
      <c r="AB214" s="955"/>
      <c r="AC214" s="956">
        <f>+AC213+AD213</f>
        <v>0.4</v>
      </c>
      <c r="AD214" s="955"/>
      <c r="AE214" s="956">
        <f>+AE213+AF213</f>
        <v>0.82177822853279237</v>
      </c>
      <c r="AF214" s="955"/>
      <c r="AG214" s="956">
        <f>+AG213+AH213</f>
        <v>0.63639012345679014</v>
      </c>
      <c r="AH214" s="955"/>
      <c r="AI214" s="956">
        <f>+AI213+AJ213</f>
        <v>0.19281228892782679</v>
      </c>
      <c r="AJ214" s="955"/>
      <c r="AK214" s="956">
        <f>+AK213+AL213</f>
        <v>0.43948044533257202</v>
      </c>
      <c r="AL214" s="955"/>
      <c r="AM214" s="956">
        <f>+AM213+AN213</f>
        <v>0.40081666984066522</v>
      </c>
      <c r="AN214" s="955"/>
      <c r="AO214" s="340">
        <f>+AO213</f>
        <v>0.14141261696347721</v>
      </c>
      <c r="AP214" s="956">
        <f>+AP213+AQ213</f>
        <v>0.14334215753035975</v>
      </c>
      <c r="AQ214" s="955"/>
      <c r="AR214" s="956">
        <f>+AR213+AS213+AT213</f>
        <v>0.23836579454589812</v>
      </c>
      <c r="AS214" s="957"/>
      <c r="AT214" s="958"/>
      <c r="AU214" s="956">
        <f>+AU213+AV213</f>
        <v>9.7214652445863137E-2</v>
      </c>
      <c r="AV214" s="955"/>
      <c r="AW214" s="340">
        <f>AW212</f>
        <v>0.23425196850393701</v>
      </c>
      <c r="AX214" s="956">
        <f>+AX213+AY213</f>
        <v>0.49206026962728</v>
      </c>
      <c r="AY214" s="955"/>
      <c r="AZ214" s="956">
        <f>+AZ213+BA213</f>
        <v>0.19539968963615612</v>
      </c>
      <c r="BA214" s="955"/>
      <c r="BB214" s="685">
        <f>+BB213</f>
        <v>0.21056845476381106</v>
      </c>
      <c r="BC214" s="956">
        <f>+BC213+BD213</f>
        <v>7.8061224489795925E-2</v>
      </c>
      <c r="BD214" s="955"/>
      <c r="JS214" s="185"/>
    </row>
    <row r="215" spans="1:279" s="1" customFormat="1" ht="59.25" customHeight="1">
      <c r="A215" s="1110" t="s">
        <v>316</v>
      </c>
      <c r="B215" s="1113" t="s">
        <v>317</v>
      </c>
      <c r="C215" s="130" t="s">
        <v>1625</v>
      </c>
      <c r="D215" s="218">
        <v>1</v>
      </c>
      <c r="E215" s="280">
        <f t="shared" ref="E215:F216" si="84">+E207</f>
        <v>0.7</v>
      </c>
      <c r="F215" s="281">
        <f t="shared" si="84"/>
        <v>0.3</v>
      </c>
      <c r="G215" s="218">
        <v>1</v>
      </c>
      <c r="H215" s="165">
        <v>1</v>
      </c>
      <c r="I215" s="280">
        <f t="shared" ref="I215:Q216" si="85">+I207</f>
        <v>0.5</v>
      </c>
      <c r="J215" s="281">
        <f t="shared" si="85"/>
        <v>0.5</v>
      </c>
      <c r="K215" s="280">
        <f t="shared" si="85"/>
        <v>0.9</v>
      </c>
      <c r="L215" s="281">
        <f t="shared" si="85"/>
        <v>0.1</v>
      </c>
      <c r="M215" s="280">
        <f t="shared" si="85"/>
        <v>0.1</v>
      </c>
      <c r="N215" s="281">
        <f t="shared" si="85"/>
        <v>0.9</v>
      </c>
      <c r="O215" s="280">
        <f t="shared" si="85"/>
        <v>0.5</v>
      </c>
      <c r="P215" s="281">
        <f t="shared" si="85"/>
        <v>0.5</v>
      </c>
      <c r="Q215" s="280">
        <f t="shared" ref="Q215:U215" si="86">+Q207</f>
        <v>0.9</v>
      </c>
      <c r="R215" s="281">
        <f t="shared" si="86"/>
        <v>0.1</v>
      </c>
      <c r="S215" s="280">
        <f t="shared" si="86"/>
        <v>0.01</v>
      </c>
      <c r="T215" s="115">
        <f t="shared" si="86"/>
        <v>0.98</v>
      </c>
      <c r="U215" s="115">
        <f t="shared" si="86"/>
        <v>0.01</v>
      </c>
      <c r="V215" s="280">
        <f t="shared" ref="V215:W215" si="87">+V207</f>
        <v>0.9</v>
      </c>
      <c r="W215" s="115">
        <f t="shared" si="87"/>
        <v>0.1</v>
      </c>
      <c r="X215" s="165">
        <f>+X207</f>
        <v>1</v>
      </c>
      <c r="Y215" s="280">
        <f t="shared" ref="Y215:Z215" si="88">+Y207</f>
        <v>0.5</v>
      </c>
      <c r="Z215" s="281">
        <f t="shared" si="88"/>
        <v>0.5</v>
      </c>
      <c r="AA215" s="280">
        <f>+AA207</f>
        <v>0.99</v>
      </c>
      <c r="AB215" s="281">
        <f>+AB207</f>
        <v>0.01</v>
      </c>
      <c r="AC215" s="280">
        <f t="shared" ref="AC215:AD215" si="89">+AC207</f>
        <v>0.6</v>
      </c>
      <c r="AD215" s="281">
        <f t="shared" si="89"/>
        <v>0.4</v>
      </c>
      <c r="AE215" s="280">
        <f t="shared" ref="AE215:AJ216" si="90">+AE207</f>
        <v>0.02</v>
      </c>
      <c r="AF215" s="281">
        <f t="shared" si="90"/>
        <v>0.98</v>
      </c>
      <c r="AG215" s="280">
        <f t="shared" si="90"/>
        <v>0.01</v>
      </c>
      <c r="AH215" s="281">
        <f t="shared" si="90"/>
        <v>0.99</v>
      </c>
      <c r="AI215" s="280">
        <f t="shared" si="90"/>
        <v>0.7</v>
      </c>
      <c r="AJ215" s="281">
        <f t="shared" si="90"/>
        <v>0.3</v>
      </c>
      <c r="AK215" s="280">
        <f t="shared" ref="AK215:AL215" si="91">+AK207</f>
        <v>0.5</v>
      </c>
      <c r="AL215" s="281">
        <f t="shared" si="91"/>
        <v>0.5</v>
      </c>
      <c r="AM215" s="280">
        <f t="shared" ref="AM215:AN215" si="92">+AM207</f>
        <v>0.99</v>
      </c>
      <c r="AN215" s="281">
        <f t="shared" si="92"/>
        <v>0.01</v>
      </c>
      <c r="AO215" s="165">
        <f t="shared" ref="AO215:AO216" si="93">+AO207</f>
        <v>1</v>
      </c>
      <c r="AP215" s="280">
        <f t="shared" ref="AP215:AX216" si="94">+AP207</f>
        <v>0.99</v>
      </c>
      <c r="AQ215" s="281">
        <f t="shared" si="94"/>
        <v>0.01</v>
      </c>
      <c r="AR215" s="280">
        <f t="shared" si="94"/>
        <v>0.35</v>
      </c>
      <c r="AS215" s="8">
        <f t="shared" si="94"/>
        <v>0.4</v>
      </c>
      <c r="AT215" s="281">
        <f t="shared" si="94"/>
        <v>0.25</v>
      </c>
      <c r="AU215" s="280">
        <f t="shared" si="94"/>
        <v>0.9</v>
      </c>
      <c r="AV215" s="281">
        <f t="shared" si="94"/>
        <v>0.1</v>
      </c>
      <c r="AW215" s="165">
        <f>+AW207</f>
        <v>1</v>
      </c>
      <c r="AX215" s="280">
        <f t="shared" ref="AX215:AY215" si="95">+AX207</f>
        <v>0.4</v>
      </c>
      <c r="AY215" s="281">
        <f t="shared" si="95"/>
        <v>0.6</v>
      </c>
      <c r="AZ215" s="280">
        <f t="shared" ref="AZ215:BB215" si="96">+AZ207</f>
        <v>0.5</v>
      </c>
      <c r="BA215" s="281">
        <f t="shared" si="96"/>
        <v>0.5</v>
      </c>
      <c r="BB215" s="281">
        <f t="shared" si="96"/>
        <v>1</v>
      </c>
      <c r="BC215" s="280">
        <f t="shared" ref="BC215:BD215" si="97">+BC207</f>
        <v>0.1</v>
      </c>
      <c r="BD215" s="281">
        <f t="shared" si="97"/>
        <v>0.9</v>
      </c>
      <c r="JS215" s="5"/>
    </row>
    <row r="216" spans="1:279" s="1" customFormat="1" ht="59.25" customHeight="1">
      <c r="A216" s="1111"/>
      <c r="B216" s="1114"/>
      <c r="C216" s="130" t="s">
        <v>301</v>
      </c>
      <c r="D216" s="189">
        <f>+D200</f>
        <v>1345</v>
      </c>
      <c r="E216" s="245">
        <f t="shared" si="84"/>
        <v>440</v>
      </c>
      <c r="F216" s="250">
        <f t="shared" si="84"/>
        <v>76</v>
      </c>
      <c r="G216" s="251">
        <f>+G200</f>
        <v>434</v>
      </c>
      <c r="H216" s="143">
        <f>+H200</f>
        <v>1863</v>
      </c>
      <c r="I216" s="253">
        <f t="shared" si="85"/>
        <v>413</v>
      </c>
      <c r="J216" s="254">
        <f t="shared" si="85"/>
        <v>476</v>
      </c>
      <c r="K216" s="253">
        <f t="shared" si="85"/>
        <v>823</v>
      </c>
      <c r="L216" s="254">
        <f t="shared" si="85"/>
        <v>240</v>
      </c>
      <c r="M216" s="253">
        <f t="shared" si="85"/>
        <v>349</v>
      </c>
      <c r="N216" s="254">
        <f t="shared" si="85"/>
        <v>237</v>
      </c>
      <c r="O216" s="253">
        <f t="shared" si="85"/>
        <v>1125</v>
      </c>
      <c r="P216" s="254">
        <f t="shared" si="85"/>
        <v>366</v>
      </c>
      <c r="Q216" s="253">
        <f t="shared" si="85"/>
        <v>8446</v>
      </c>
      <c r="R216" s="254">
        <f>+R208</f>
        <v>390</v>
      </c>
      <c r="S216" s="253">
        <f>+S200</f>
        <v>1856</v>
      </c>
      <c r="T216" s="113">
        <f>+T208</f>
        <v>272</v>
      </c>
      <c r="U216" s="708">
        <f>+U208</f>
        <v>972</v>
      </c>
      <c r="V216" s="253">
        <v>3347</v>
      </c>
      <c r="W216" s="113">
        <f>+W208</f>
        <v>263</v>
      </c>
      <c r="X216" s="143">
        <f t="shared" ref="X216" si="98">+X208</f>
        <v>1805</v>
      </c>
      <c r="Y216" s="253">
        <v>1024</v>
      </c>
      <c r="Z216" s="254">
        <f>+Z208</f>
        <v>530</v>
      </c>
      <c r="AA216" s="253">
        <v>296</v>
      </c>
      <c r="AB216" s="254">
        <f>+AB208</f>
        <v>771</v>
      </c>
      <c r="AC216" s="253">
        <v>0</v>
      </c>
      <c r="AD216" s="254">
        <f>+AD208</f>
        <v>5</v>
      </c>
      <c r="AE216" s="253">
        <f t="shared" si="90"/>
        <v>1479</v>
      </c>
      <c r="AF216" s="254">
        <f t="shared" si="90"/>
        <v>12</v>
      </c>
      <c r="AG216" s="253">
        <f t="shared" si="90"/>
        <v>405</v>
      </c>
      <c r="AH216" s="254">
        <f t="shared" si="90"/>
        <v>25</v>
      </c>
      <c r="AI216" s="253">
        <f t="shared" si="90"/>
        <v>814</v>
      </c>
      <c r="AJ216" s="254">
        <f t="shared" si="90"/>
        <v>1004</v>
      </c>
      <c r="AK216" s="253">
        <f t="shared" ref="AK216:AL216" si="99">+AK208</f>
        <v>791</v>
      </c>
      <c r="AL216" s="254">
        <f t="shared" si="99"/>
        <v>217</v>
      </c>
      <c r="AM216" s="253">
        <f t="shared" ref="AM216:AN216" si="100">+AM208</f>
        <v>89</v>
      </c>
      <c r="AN216" s="254">
        <f t="shared" si="100"/>
        <v>708</v>
      </c>
      <c r="AO216" s="143">
        <f t="shared" si="93"/>
        <v>6626</v>
      </c>
      <c r="AP216" s="253">
        <f t="shared" ref="AP216:AQ216" si="101">+AP208</f>
        <v>2136</v>
      </c>
      <c r="AQ216" s="254">
        <f t="shared" si="101"/>
        <v>495</v>
      </c>
      <c r="AR216" s="253">
        <f t="shared" si="94"/>
        <v>3051</v>
      </c>
      <c r="AS216" s="117">
        <f t="shared" si="94"/>
        <v>1527</v>
      </c>
      <c r="AT216" s="254">
        <f t="shared" si="94"/>
        <v>59</v>
      </c>
      <c r="AU216" s="253">
        <f t="shared" si="94"/>
        <v>8619</v>
      </c>
      <c r="AV216" s="254">
        <f t="shared" si="94"/>
        <v>738</v>
      </c>
      <c r="AW216" s="143">
        <v>1016</v>
      </c>
      <c r="AX216" s="686">
        <f t="shared" si="94"/>
        <v>2522</v>
      </c>
      <c r="AY216" s="254">
        <f>+AY208</f>
        <v>40</v>
      </c>
      <c r="AZ216" s="253">
        <f t="shared" ref="AZ216:BA216" si="102">+AZ208</f>
        <v>4977</v>
      </c>
      <c r="BA216" s="254">
        <f t="shared" si="102"/>
        <v>235</v>
      </c>
      <c r="BB216" s="252">
        <v>1249</v>
      </c>
      <c r="BC216" s="253">
        <f t="shared" ref="BC216:BD216" si="103">+BC208</f>
        <v>1</v>
      </c>
      <c r="BD216" s="254">
        <f t="shared" si="103"/>
        <v>196</v>
      </c>
      <c r="JS216" s="5"/>
    </row>
    <row r="217" spans="1:279" s="51" customFormat="1" ht="59.25" customHeight="1">
      <c r="A217" s="1111"/>
      <c r="B217" s="1114"/>
      <c r="C217" s="136" t="s">
        <v>314</v>
      </c>
      <c r="D217" s="219">
        <v>5</v>
      </c>
      <c r="E217" s="282">
        <v>5</v>
      </c>
      <c r="F217" s="283">
        <v>2</v>
      </c>
      <c r="G217" s="219">
        <v>3</v>
      </c>
      <c r="H217" s="166">
        <v>7</v>
      </c>
      <c r="I217" s="282">
        <v>6</v>
      </c>
      <c r="J217" s="283">
        <v>5</v>
      </c>
      <c r="K217" s="282">
        <v>19</v>
      </c>
      <c r="L217" s="283">
        <v>6</v>
      </c>
      <c r="M217" s="282">
        <v>2</v>
      </c>
      <c r="N217" s="283">
        <v>18</v>
      </c>
      <c r="O217" s="282">
        <v>7</v>
      </c>
      <c r="P217" s="283">
        <v>5</v>
      </c>
      <c r="Q217" s="282">
        <v>43</v>
      </c>
      <c r="R217" s="283">
        <v>3</v>
      </c>
      <c r="S217" s="282">
        <v>40</v>
      </c>
      <c r="T217" s="422">
        <v>52</v>
      </c>
      <c r="U217" s="932">
        <v>4</v>
      </c>
      <c r="V217" s="282">
        <v>31</v>
      </c>
      <c r="W217" s="422">
        <v>1</v>
      </c>
      <c r="X217" s="331">
        <v>22</v>
      </c>
      <c r="Y217" s="282">
        <v>1</v>
      </c>
      <c r="Z217" s="282">
        <v>1</v>
      </c>
      <c r="AA217" s="282">
        <v>59</v>
      </c>
      <c r="AB217" s="283">
        <v>13</v>
      </c>
      <c r="AC217" s="282">
        <v>0</v>
      </c>
      <c r="AD217" s="283">
        <v>4</v>
      </c>
      <c r="AE217" s="478">
        <v>14</v>
      </c>
      <c r="AF217" s="479">
        <v>3</v>
      </c>
      <c r="AG217" s="478">
        <v>6</v>
      </c>
      <c r="AH217" s="479">
        <v>6</v>
      </c>
      <c r="AI217" s="478">
        <v>5</v>
      </c>
      <c r="AJ217" s="479">
        <v>6</v>
      </c>
      <c r="AK217" s="478">
        <v>3</v>
      </c>
      <c r="AL217" s="479">
        <v>1</v>
      </c>
      <c r="AM217" s="478">
        <v>8</v>
      </c>
      <c r="AN217" s="479">
        <v>7</v>
      </c>
      <c r="AO217" s="514">
        <v>46</v>
      </c>
      <c r="AP217" s="478">
        <v>14</v>
      </c>
      <c r="AQ217" s="479">
        <v>3</v>
      </c>
      <c r="AR217" s="282">
        <v>19</v>
      </c>
      <c r="AS217" s="52">
        <v>23</v>
      </c>
      <c r="AT217" s="283">
        <v>12</v>
      </c>
      <c r="AU217" s="282">
        <v>58</v>
      </c>
      <c r="AV217" s="283">
        <v>25</v>
      </c>
      <c r="AW217" s="166">
        <v>4</v>
      </c>
      <c r="AX217" s="282">
        <v>6</v>
      </c>
      <c r="AY217" s="283">
        <v>5</v>
      </c>
      <c r="AZ217" s="478">
        <v>7</v>
      </c>
      <c r="BA217" s="479">
        <v>4</v>
      </c>
      <c r="BB217" s="569">
        <v>13</v>
      </c>
      <c r="BC217" s="379">
        <v>0</v>
      </c>
      <c r="BD217" s="479">
        <v>5</v>
      </c>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JS217" s="53"/>
    </row>
    <row r="218" spans="1:279" s="1" customFormat="1" ht="59.25" customHeight="1">
      <c r="A218" s="1111"/>
      <c r="B218" s="1114"/>
      <c r="C218" s="130" t="s">
        <v>303</v>
      </c>
      <c r="D218" s="73">
        <f t="shared" ref="D218:G218" si="104">+D217*D215</f>
        <v>5</v>
      </c>
      <c r="E218" s="245">
        <f t="shared" si="104"/>
        <v>3.5</v>
      </c>
      <c r="F218" s="250">
        <f t="shared" si="104"/>
        <v>0.6</v>
      </c>
      <c r="G218" s="114">
        <f t="shared" si="104"/>
        <v>3</v>
      </c>
      <c r="H218" s="143">
        <f>+H217</f>
        <v>7</v>
      </c>
      <c r="I218" s="253">
        <f t="shared" ref="I218:P218" si="105">+I217*I215</f>
        <v>3</v>
      </c>
      <c r="J218" s="254">
        <f t="shared" si="105"/>
        <v>2.5</v>
      </c>
      <c r="K218" s="253">
        <f t="shared" si="105"/>
        <v>17.100000000000001</v>
      </c>
      <c r="L218" s="254">
        <f t="shared" si="105"/>
        <v>0.60000000000000009</v>
      </c>
      <c r="M218" s="253">
        <f t="shared" si="105"/>
        <v>0.2</v>
      </c>
      <c r="N218" s="254">
        <f t="shared" si="105"/>
        <v>16.2</v>
      </c>
      <c r="O218" s="253">
        <f t="shared" si="105"/>
        <v>3.5</v>
      </c>
      <c r="P218" s="254">
        <f t="shared" si="105"/>
        <v>2.5</v>
      </c>
      <c r="Q218" s="253">
        <f t="shared" ref="Q218:U218" si="106">+Q217*Q215</f>
        <v>38.700000000000003</v>
      </c>
      <c r="R218" s="254">
        <f t="shared" si="106"/>
        <v>0.30000000000000004</v>
      </c>
      <c r="S218" s="385">
        <f t="shared" si="106"/>
        <v>0.4</v>
      </c>
      <c r="T218" s="419">
        <f t="shared" si="106"/>
        <v>50.96</v>
      </c>
      <c r="U218" s="419">
        <f t="shared" si="106"/>
        <v>0.04</v>
      </c>
      <c r="V218" s="253">
        <f t="shared" ref="V218:W218" si="107">+V217*V215</f>
        <v>27.900000000000002</v>
      </c>
      <c r="W218" s="113">
        <f t="shared" si="107"/>
        <v>0.1</v>
      </c>
      <c r="X218" s="143">
        <f>+X217*X215</f>
        <v>22</v>
      </c>
      <c r="Y218" s="253">
        <f t="shared" ref="Y218:Z218" si="108">+Y217*Y215</f>
        <v>0.5</v>
      </c>
      <c r="Z218" s="254">
        <f t="shared" si="108"/>
        <v>0.5</v>
      </c>
      <c r="AA218" s="253">
        <f>+AA217*AA215</f>
        <v>58.41</v>
      </c>
      <c r="AB218" s="254">
        <f>+AB217*AB215</f>
        <v>0.13</v>
      </c>
      <c r="AC218" s="253">
        <f t="shared" ref="AC218:AD218" si="109">+AC217*AC215</f>
        <v>0</v>
      </c>
      <c r="AD218" s="254">
        <f t="shared" si="109"/>
        <v>1.6</v>
      </c>
      <c r="AE218" s="253">
        <f t="shared" ref="AE218:AJ218" si="110">+AE217*AE215</f>
        <v>0.28000000000000003</v>
      </c>
      <c r="AF218" s="254">
        <f t="shared" si="110"/>
        <v>2.94</v>
      </c>
      <c r="AG218" s="253">
        <f t="shared" si="110"/>
        <v>0.06</v>
      </c>
      <c r="AH218" s="254">
        <f t="shared" si="110"/>
        <v>5.9399999999999995</v>
      </c>
      <c r="AI218" s="253">
        <f t="shared" si="110"/>
        <v>3.5</v>
      </c>
      <c r="AJ218" s="254">
        <f t="shared" si="110"/>
        <v>1.7999999999999998</v>
      </c>
      <c r="AK218" s="253">
        <f t="shared" ref="AK218" si="111">+AK217*AK215</f>
        <v>1.5</v>
      </c>
      <c r="AL218" s="254">
        <f t="shared" ref="AL218" si="112">+AL217*AL215</f>
        <v>0.5</v>
      </c>
      <c r="AM218" s="253">
        <f t="shared" ref="AM218:AP218" si="113">+AM217*AM215</f>
        <v>7.92</v>
      </c>
      <c r="AN218" s="254">
        <f t="shared" ref="AN218:AZ218" si="114">+AN217*AN215</f>
        <v>7.0000000000000007E-2</v>
      </c>
      <c r="AO218" s="143">
        <f t="shared" ref="AO218" si="115">+AO217*AO215</f>
        <v>46</v>
      </c>
      <c r="AP218" s="253">
        <f t="shared" si="113"/>
        <v>13.86</v>
      </c>
      <c r="AQ218" s="254">
        <f t="shared" si="114"/>
        <v>0.03</v>
      </c>
      <c r="AR218" s="253">
        <f t="shared" si="114"/>
        <v>6.6499999999999995</v>
      </c>
      <c r="AS218" s="117">
        <f t="shared" si="114"/>
        <v>9.2000000000000011</v>
      </c>
      <c r="AT218" s="254">
        <f t="shared" si="114"/>
        <v>3</v>
      </c>
      <c r="AU218" s="253">
        <f t="shared" si="114"/>
        <v>52.2</v>
      </c>
      <c r="AV218" s="254">
        <f t="shared" si="114"/>
        <v>2.5</v>
      </c>
      <c r="AW218" s="143">
        <f>+AW217*AW215</f>
        <v>4</v>
      </c>
      <c r="AX218" s="253">
        <f t="shared" ref="AX218:AY218" si="116">+AX217*AX215</f>
        <v>2.4000000000000004</v>
      </c>
      <c r="AY218" s="254">
        <f t="shared" si="116"/>
        <v>3</v>
      </c>
      <c r="AZ218" s="253">
        <f t="shared" si="114"/>
        <v>3.5</v>
      </c>
      <c r="BA218" s="254">
        <f t="shared" ref="BA218:BC218" si="117">+BA217*BA215</f>
        <v>2</v>
      </c>
      <c r="BB218" s="686">
        <f t="shared" si="117"/>
        <v>13</v>
      </c>
      <c r="BC218" s="253">
        <f t="shared" si="117"/>
        <v>0</v>
      </c>
      <c r="BD218" s="254">
        <f t="shared" ref="BD218" si="118">+BD217*BD215</f>
        <v>4.5</v>
      </c>
      <c r="JS218" s="5"/>
    </row>
    <row r="219" spans="1:279" s="56" customFormat="1" ht="59.25" customHeight="1">
      <c r="A219" s="1111"/>
      <c r="B219" s="1114"/>
      <c r="C219" s="183" t="s">
        <v>1627</v>
      </c>
      <c r="D219" s="223">
        <f>+D218</f>
        <v>5</v>
      </c>
      <c r="E219" s="953">
        <f>+E218+F218</f>
        <v>4.0999999999999996</v>
      </c>
      <c r="F219" s="955"/>
      <c r="G219" s="284">
        <f>+G218</f>
        <v>3</v>
      </c>
      <c r="H219" s="184">
        <f>+H218</f>
        <v>7</v>
      </c>
      <c r="I219" s="953">
        <f>+I218+J218</f>
        <v>5.5</v>
      </c>
      <c r="J219" s="955"/>
      <c r="K219" s="953">
        <f>+K218+L218</f>
        <v>17.700000000000003</v>
      </c>
      <c r="L219" s="955"/>
      <c r="M219" s="953">
        <f>+M218+N218</f>
        <v>16.399999999999999</v>
      </c>
      <c r="N219" s="955"/>
      <c r="O219" s="953">
        <f>+O218+P218</f>
        <v>6</v>
      </c>
      <c r="P219" s="955"/>
      <c r="Q219" s="953">
        <f>+Q218+R218</f>
        <v>39</v>
      </c>
      <c r="R219" s="955"/>
      <c r="S219" s="953">
        <f>+S218+T218+U218</f>
        <v>51.4</v>
      </c>
      <c r="T219" s="954"/>
      <c r="U219" s="955"/>
      <c r="V219" s="953">
        <f>+V218+W218</f>
        <v>28.000000000000004</v>
      </c>
      <c r="W219" s="954"/>
      <c r="X219" s="184">
        <f>+X218</f>
        <v>22</v>
      </c>
      <c r="Y219" s="953">
        <f>+Y218+Z218</f>
        <v>1</v>
      </c>
      <c r="Z219" s="955"/>
      <c r="AA219" s="953">
        <f>+AA218+AB218</f>
        <v>58.54</v>
      </c>
      <c r="AB219" s="955"/>
      <c r="AC219" s="953">
        <f>+AC218+AD218</f>
        <v>1.6</v>
      </c>
      <c r="AD219" s="955"/>
      <c r="AE219" s="953">
        <f>+AE218+AF218</f>
        <v>3.2199999999999998</v>
      </c>
      <c r="AF219" s="955"/>
      <c r="AG219" s="953">
        <f>+AG218+AH218</f>
        <v>5.9999999999999991</v>
      </c>
      <c r="AH219" s="955"/>
      <c r="AI219" s="953">
        <f>+AI218+AJ218</f>
        <v>5.3</v>
      </c>
      <c r="AJ219" s="955"/>
      <c r="AK219" s="953">
        <f>+AK218+AL218</f>
        <v>2</v>
      </c>
      <c r="AL219" s="955"/>
      <c r="AM219" s="953">
        <f>+AM218+AN218</f>
        <v>7.99</v>
      </c>
      <c r="AN219" s="955"/>
      <c r="AO219" s="184">
        <f>+AO218</f>
        <v>46</v>
      </c>
      <c r="AP219" s="953">
        <f>+AP218+AQ218</f>
        <v>13.889999999999999</v>
      </c>
      <c r="AQ219" s="955"/>
      <c r="AR219" s="953">
        <f>+AR218+AS218+AT218</f>
        <v>18.850000000000001</v>
      </c>
      <c r="AS219" s="954"/>
      <c r="AT219" s="955"/>
      <c r="AU219" s="953">
        <f>+AU218+AV218</f>
        <v>54.7</v>
      </c>
      <c r="AV219" s="955"/>
      <c r="AW219" s="184">
        <f>+AW218</f>
        <v>4</v>
      </c>
      <c r="AX219" s="953">
        <f>+AX218+AY218</f>
        <v>5.4</v>
      </c>
      <c r="AY219" s="955"/>
      <c r="AZ219" s="953">
        <f>+AZ218+BA218</f>
        <v>5.5</v>
      </c>
      <c r="BA219" s="955"/>
      <c r="BB219" s="285">
        <f>+BB218</f>
        <v>13</v>
      </c>
      <c r="BC219" s="953">
        <f>+BC218+BD218</f>
        <v>4.5</v>
      </c>
      <c r="BD219" s="955"/>
      <c r="JS219" s="185"/>
    </row>
    <row r="220" spans="1:279" s="181" customFormat="1" ht="59.25" customHeight="1">
      <c r="A220" s="1111"/>
      <c r="B220" s="1114"/>
      <c r="C220" s="180" t="s">
        <v>315</v>
      </c>
      <c r="D220" s="224">
        <f t="shared" ref="D220:G220" si="119">+D217/D216</f>
        <v>3.7174721189591076E-3</v>
      </c>
      <c r="E220" s="289">
        <f t="shared" si="119"/>
        <v>1.1363636363636364E-2</v>
      </c>
      <c r="F220" s="290">
        <f t="shared" si="119"/>
        <v>2.6315789473684209E-2</v>
      </c>
      <c r="G220" s="224">
        <f t="shared" si="119"/>
        <v>6.9124423963133645E-3</v>
      </c>
      <c r="H220" s="326">
        <f>+H218/H216</f>
        <v>3.7573805689747721E-3</v>
      </c>
      <c r="I220" s="289">
        <f t="shared" ref="I220:P220" si="120">+I217/I216</f>
        <v>1.4527845036319613E-2</v>
      </c>
      <c r="J220" s="290">
        <f t="shared" si="120"/>
        <v>1.050420168067227E-2</v>
      </c>
      <c r="K220" s="289">
        <f t="shared" si="120"/>
        <v>2.3086269744835967E-2</v>
      </c>
      <c r="L220" s="290">
        <f t="shared" si="120"/>
        <v>2.5000000000000001E-2</v>
      </c>
      <c r="M220" s="289">
        <f t="shared" si="120"/>
        <v>5.7306590257879654E-3</v>
      </c>
      <c r="N220" s="290">
        <f t="shared" si="120"/>
        <v>7.5949367088607597E-2</v>
      </c>
      <c r="O220" s="289">
        <f t="shared" si="120"/>
        <v>6.2222222222222219E-3</v>
      </c>
      <c r="P220" s="290">
        <f t="shared" si="120"/>
        <v>1.3661202185792349E-2</v>
      </c>
      <c r="Q220" s="289">
        <f t="shared" ref="Q220:T220" si="121">+Q217/Q216</f>
        <v>5.0911674165285345E-3</v>
      </c>
      <c r="R220" s="290">
        <f t="shared" si="121"/>
        <v>7.6923076923076927E-3</v>
      </c>
      <c r="S220" s="428">
        <f t="shared" si="121"/>
        <v>2.1551724137931036E-2</v>
      </c>
      <c r="T220" s="429">
        <f t="shared" si="121"/>
        <v>0.19117647058823528</v>
      </c>
      <c r="U220" s="429">
        <f t="shared" ref="U220" si="122">+U217/U216</f>
        <v>4.11522633744856E-3</v>
      </c>
      <c r="V220" s="410">
        <f t="shared" ref="V220:W220" si="123">+V217/V216</f>
        <v>9.2620256946519264E-3</v>
      </c>
      <c r="W220" s="435">
        <f t="shared" si="123"/>
        <v>3.8022813688212928E-3</v>
      </c>
      <c r="X220" s="326">
        <f>+X217/X216</f>
        <v>1.218836565096953E-2</v>
      </c>
      <c r="Y220" s="464">
        <f t="shared" ref="Y220:Z220" si="124">+Y217/Y216</f>
        <v>9.765625E-4</v>
      </c>
      <c r="Z220" s="465">
        <f t="shared" si="124"/>
        <v>1.8867924528301887E-3</v>
      </c>
      <c r="AA220" s="289">
        <f>+AA217/AA216</f>
        <v>0.19932432432432431</v>
      </c>
      <c r="AB220" s="290">
        <f>+AB217/AB216</f>
        <v>1.6861219195849545E-2</v>
      </c>
      <c r="AC220" s="289">
        <v>0</v>
      </c>
      <c r="AD220" s="290">
        <f t="shared" ref="AD220" si="125">+AD217/AD216</f>
        <v>0.8</v>
      </c>
      <c r="AE220" s="289">
        <f t="shared" ref="AE220:AJ220" si="126">+AE217/AE216</f>
        <v>9.4658553076402974E-3</v>
      </c>
      <c r="AF220" s="290">
        <f t="shared" si="126"/>
        <v>0.25</v>
      </c>
      <c r="AG220" s="289">
        <f t="shared" si="126"/>
        <v>1.4814814814814815E-2</v>
      </c>
      <c r="AH220" s="290">
        <f t="shared" si="126"/>
        <v>0.24</v>
      </c>
      <c r="AI220" s="289">
        <f t="shared" si="126"/>
        <v>6.1425061425061421E-3</v>
      </c>
      <c r="AJ220" s="290">
        <f t="shared" si="126"/>
        <v>5.9760956175298804E-3</v>
      </c>
      <c r="AK220" s="289">
        <f t="shared" ref="AK220:AL220" si="127">+AK217/AK216</f>
        <v>3.7926675094816687E-3</v>
      </c>
      <c r="AL220" s="290">
        <f t="shared" si="127"/>
        <v>4.608294930875576E-3</v>
      </c>
      <c r="AM220" s="289">
        <f t="shared" ref="AM220:AN220" si="128">+AM217/AM216</f>
        <v>8.98876404494382E-2</v>
      </c>
      <c r="AN220" s="290">
        <f t="shared" si="128"/>
        <v>9.887005649717515E-3</v>
      </c>
      <c r="AO220" s="326">
        <f t="shared" ref="AO220" si="129">+AO217/AO216</f>
        <v>6.9423483247811647E-3</v>
      </c>
      <c r="AP220" s="289">
        <f t="shared" ref="AP220:AV220" si="130">+AP217/AP216</f>
        <v>6.5543071161048693E-3</v>
      </c>
      <c r="AQ220" s="290">
        <f t="shared" si="130"/>
        <v>6.0606060606060606E-3</v>
      </c>
      <c r="AR220" s="289">
        <f t="shared" si="130"/>
        <v>6.2274664044575552E-3</v>
      </c>
      <c r="AS220" s="129">
        <f t="shared" si="130"/>
        <v>1.5062213490504257E-2</v>
      </c>
      <c r="AT220" s="290">
        <f t="shared" si="130"/>
        <v>0.20338983050847459</v>
      </c>
      <c r="AU220" s="289">
        <f t="shared" si="130"/>
        <v>6.7293189465135166E-3</v>
      </c>
      <c r="AV220" s="290">
        <f t="shared" si="130"/>
        <v>3.3875338753387531E-2</v>
      </c>
      <c r="AW220" s="326">
        <f>+AW217/AW216</f>
        <v>3.937007874015748E-3</v>
      </c>
      <c r="AX220" s="692">
        <f t="shared" ref="AX220:AZ220" si="131">+AX217/AX216</f>
        <v>2.3790642347343376E-3</v>
      </c>
      <c r="AY220" s="290">
        <f t="shared" ref="AY220" si="132">+AY217/AY216</f>
        <v>0.125</v>
      </c>
      <c r="AZ220" s="289">
        <f t="shared" si="131"/>
        <v>1.4064697609001407E-3</v>
      </c>
      <c r="BA220" s="290">
        <f>+BA217/BA216</f>
        <v>1.7021276595744681E-2</v>
      </c>
      <c r="BB220" s="290">
        <f>+BB217/BB216</f>
        <v>1.0408326661329063E-2</v>
      </c>
      <c r="BC220" s="692">
        <f t="shared" ref="BC220" si="133">+BC217/BC216</f>
        <v>0</v>
      </c>
      <c r="BD220" s="290">
        <f t="shared" ref="BD220" si="134">+BD217/BD216</f>
        <v>2.5510204081632654E-2</v>
      </c>
      <c r="JS220" s="182"/>
    </row>
    <row r="221" spans="1:279" s="181" customFormat="1" ht="59.25" customHeight="1">
      <c r="A221" s="1111"/>
      <c r="B221" s="1114"/>
      <c r="C221" s="180" t="s">
        <v>306</v>
      </c>
      <c r="D221" s="224">
        <f t="shared" ref="D221:G221" si="135">+D220*D215</f>
        <v>3.7174721189591076E-3</v>
      </c>
      <c r="E221" s="289">
        <f t="shared" si="135"/>
        <v>7.9545454545454537E-3</v>
      </c>
      <c r="F221" s="290">
        <f t="shared" si="135"/>
        <v>7.8947368421052617E-3</v>
      </c>
      <c r="G221" s="224">
        <f t="shared" si="135"/>
        <v>6.9124423963133645E-3</v>
      </c>
      <c r="H221" s="326">
        <f>+H220</f>
        <v>3.7573805689747721E-3</v>
      </c>
      <c r="I221" s="289">
        <f t="shared" ref="I221:P221" si="136">+I220*I215</f>
        <v>7.2639225181598066E-3</v>
      </c>
      <c r="J221" s="290">
        <f t="shared" si="136"/>
        <v>5.2521008403361349E-3</v>
      </c>
      <c r="K221" s="289">
        <f t="shared" si="136"/>
        <v>2.0777642770352371E-2</v>
      </c>
      <c r="L221" s="290">
        <f t="shared" si="136"/>
        <v>2.5000000000000005E-3</v>
      </c>
      <c r="M221" s="289">
        <f t="shared" si="136"/>
        <v>5.7306590257879652E-4</v>
      </c>
      <c r="N221" s="290">
        <f t="shared" si="136"/>
        <v>6.8354430379746839E-2</v>
      </c>
      <c r="O221" s="289">
        <f t="shared" si="136"/>
        <v>3.1111111111111109E-3</v>
      </c>
      <c r="P221" s="290">
        <f t="shared" si="136"/>
        <v>6.8306010928961746E-3</v>
      </c>
      <c r="Q221" s="289">
        <f t="shared" ref="Q221:T221" si="137">+Q220*Q215</f>
        <v>4.5820506748756812E-3</v>
      </c>
      <c r="R221" s="290">
        <f t="shared" si="137"/>
        <v>7.6923076923076934E-4</v>
      </c>
      <c r="S221" s="428">
        <f t="shared" si="137"/>
        <v>2.1551724137931037E-4</v>
      </c>
      <c r="T221" s="429">
        <f t="shared" si="137"/>
        <v>0.18735294117647058</v>
      </c>
      <c r="U221" s="429">
        <f t="shared" ref="U221" si="138">+U220*U215</f>
        <v>4.11522633744856E-5</v>
      </c>
      <c r="V221" s="410">
        <f t="shared" ref="V221:W221" si="139">+V220*V215</f>
        <v>8.3358231251867334E-3</v>
      </c>
      <c r="W221" s="435">
        <f t="shared" si="139"/>
        <v>3.8022813688212931E-4</v>
      </c>
      <c r="X221" s="326">
        <f>+X220*X215</f>
        <v>1.218836565096953E-2</v>
      </c>
      <c r="Y221" s="464">
        <f t="shared" ref="Y221:Z221" si="140">+Y220*Y215</f>
        <v>4.8828125E-4</v>
      </c>
      <c r="Z221" s="465">
        <f t="shared" si="140"/>
        <v>9.4339622641509435E-4</v>
      </c>
      <c r="AA221" s="289">
        <f>+AA220*AA215</f>
        <v>0.19733108108108108</v>
      </c>
      <c r="AB221" s="290">
        <f>+AB220*AB215</f>
        <v>1.6861219195849546E-4</v>
      </c>
      <c r="AC221" s="289">
        <f>+AC220*AC215</f>
        <v>0</v>
      </c>
      <c r="AD221" s="290">
        <f t="shared" ref="AD221" si="141">+AD220*AD215</f>
        <v>0.32000000000000006</v>
      </c>
      <c r="AE221" s="289">
        <f t="shared" ref="AE221:AJ221" si="142">+AE220*AE215</f>
        <v>1.8931710615280596E-4</v>
      </c>
      <c r="AF221" s="290">
        <f t="shared" si="142"/>
        <v>0.245</v>
      </c>
      <c r="AG221" s="289">
        <f t="shared" si="142"/>
        <v>1.4814814814814815E-4</v>
      </c>
      <c r="AH221" s="290">
        <f t="shared" si="142"/>
        <v>0.23759999999999998</v>
      </c>
      <c r="AI221" s="289">
        <f t="shared" si="142"/>
        <v>4.2997542997542989E-3</v>
      </c>
      <c r="AJ221" s="290">
        <f t="shared" si="142"/>
        <v>1.7928286852589639E-3</v>
      </c>
      <c r="AK221" s="289">
        <f t="shared" ref="AK221" si="143">+AK220*AK215</f>
        <v>1.8963337547408343E-3</v>
      </c>
      <c r="AL221" s="290">
        <f t="shared" ref="AL221" si="144">+AL220*AL215</f>
        <v>2.304147465437788E-3</v>
      </c>
      <c r="AM221" s="289">
        <f t="shared" ref="AM221:AP221" si="145">+AM220*AM215</f>
        <v>8.8988764044943811E-2</v>
      </c>
      <c r="AN221" s="290">
        <f t="shared" ref="AN221:AZ221" si="146">+AN220*AN215</f>
        <v>9.887005649717515E-5</v>
      </c>
      <c r="AO221" s="326">
        <f t="shared" ref="AO221" si="147">+AO220*AO215</f>
        <v>6.9423483247811647E-3</v>
      </c>
      <c r="AP221" s="289">
        <f t="shared" si="145"/>
        <v>6.4887640449438205E-3</v>
      </c>
      <c r="AQ221" s="290">
        <f t="shared" si="146"/>
        <v>6.0606060606060605E-5</v>
      </c>
      <c r="AR221" s="289">
        <f t="shared" si="146"/>
        <v>2.1796132415601442E-3</v>
      </c>
      <c r="AS221" s="129">
        <f t="shared" si="146"/>
        <v>6.0248853962017032E-3</v>
      </c>
      <c r="AT221" s="290">
        <f t="shared" si="146"/>
        <v>5.0847457627118647E-2</v>
      </c>
      <c r="AU221" s="289">
        <f t="shared" si="146"/>
        <v>6.0563870518621655E-3</v>
      </c>
      <c r="AV221" s="290">
        <f t="shared" si="146"/>
        <v>3.3875338753387532E-3</v>
      </c>
      <c r="AW221" s="326">
        <f>+AW218/AW217</f>
        <v>1</v>
      </c>
      <c r="AX221" s="692">
        <f t="shared" ref="AX221:AY221" si="148">+AX220*AX215</f>
        <v>9.5162569389373511E-4</v>
      </c>
      <c r="AY221" s="290">
        <f t="shared" si="148"/>
        <v>7.4999999999999997E-2</v>
      </c>
      <c r="AZ221" s="289">
        <f t="shared" si="146"/>
        <v>7.0323488045007034E-4</v>
      </c>
      <c r="BA221" s="290">
        <f t="shared" ref="BA221:BB221" si="149">+BA220*BA215</f>
        <v>8.5106382978723406E-3</v>
      </c>
      <c r="BB221" s="290">
        <f t="shared" si="149"/>
        <v>1.0408326661329063E-2</v>
      </c>
      <c r="BC221" s="692">
        <f t="shared" ref="BC221" si="150">+BC220*BC215</f>
        <v>0</v>
      </c>
      <c r="BD221" s="290">
        <f t="shared" ref="BD221" si="151">+BD220*BD215</f>
        <v>2.2959183673469389E-2</v>
      </c>
      <c r="JS221" s="182"/>
    </row>
    <row r="222" spans="1:279" s="602" customFormat="1" ht="59.25" customHeight="1">
      <c r="A222" s="1112"/>
      <c r="B222" s="1115"/>
      <c r="C222" s="598" t="s">
        <v>1626</v>
      </c>
      <c r="D222" s="599">
        <f>+D221</f>
        <v>3.7174721189591076E-3</v>
      </c>
      <c r="E222" s="950">
        <f>+E221+F221</f>
        <v>1.5849282296650717E-2</v>
      </c>
      <c r="F222" s="952"/>
      <c r="G222" s="599">
        <f>+G221</f>
        <v>6.9124423963133645E-3</v>
      </c>
      <c r="H222" s="600">
        <f>+H221</f>
        <v>3.7573805689747721E-3</v>
      </c>
      <c r="I222" s="950">
        <f>+I221+J221</f>
        <v>1.2516023358495942E-2</v>
      </c>
      <c r="J222" s="952"/>
      <c r="K222" s="950">
        <f>+K221+L221</f>
        <v>2.3277642770352373E-2</v>
      </c>
      <c r="L222" s="952"/>
      <c r="M222" s="950">
        <f>+M221+N221</f>
        <v>6.892749628232564E-2</v>
      </c>
      <c r="N222" s="952"/>
      <c r="O222" s="950">
        <f>+O221+P221</f>
        <v>9.9417122040072851E-3</v>
      </c>
      <c r="P222" s="952"/>
      <c r="Q222" s="950">
        <f>+Q221+R221</f>
        <v>5.3512814441064507E-3</v>
      </c>
      <c r="R222" s="952"/>
      <c r="S222" s="950">
        <f>+S221+T221+U221</f>
        <v>0.18760961068122436</v>
      </c>
      <c r="T222" s="951"/>
      <c r="U222" s="952"/>
      <c r="V222" s="950">
        <f>+V221+W221</f>
        <v>8.7160512620688621E-3</v>
      </c>
      <c r="W222" s="951"/>
      <c r="X222" s="600">
        <f>+X221</f>
        <v>1.218836565096953E-2</v>
      </c>
      <c r="Y222" s="950">
        <f>+Y221+Z221</f>
        <v>1.4316774764150943E-3</v>
      </c>
      <c r="Z222" s="952"/>
      <c r="AA222" s="950">
        <f>+AA221+AB221</f>
        <v>0.19749969327303957</v>
      </c>
      <c r="AB222" s="952"/>
      <c r="AC222" s="950">
        <f>+AD221</f>
        <v>0.32000000000000006</v>
      </c>
      <c r="AD222" s="952"/>
      <c r="AE222" s="950">
        <f>+AE221+AF221</f>
        <v>0.2451893171061528</v>
      </c>
      <c r="AF222" s="952"/>
      <c r="AG222" s="950">
        <f>+AG221+AH221</f>
        <v>0.23774814814814813</v>
      </c>
      <c r="AH222" s="952"/>
      <c r="AI222" s="950">
        <f>+AI221+AJ221</f>
        <v>6.0925829850132628E-3</v>
      </c>
      <c r="AJ222" s="952"/>
      <c r="AK222" s="950">
        <f>+AK221+AL221</f>
        <v>4.2004812201786226E-3</v>
      </c>
      <c r="AL222" s="952"/>
      <c r="AM222" s="950">
        <f>+AM221+AN221</f>
        <v>8.9087634101440979E-2</v>
      </c>
      <c r="AN222" s="952"/>
      <c r="AO222" s="600">
        <f>+AO221</f>
        <v>6.9423483247811647E-3</v>
      </c>
      <c r="AP222" s="950">
        <f>+AP221+AQ221</f>
        <v>6.549370105549881E-3</v>
      </c>
      <c r="AQ222" s="952"/>
      <c r="AR222" s="950">
        <f>+AR221+AS221+AT221</f>
        <v>5.9051956264880495E-2</v>
      </c>
      <c r="AS222" s="951"/>
      <c r="AT222" s="952"/>
      <c r="AU222" s="950">
        <f>+AU221+AV221</f>
        <v>9.4439209272009182E-3</v>
      </c>
      <c r="AV222" s="952"/>
      <c r="AW222" s="600">
        <f>AW220</f>
        <v>3.937007874015748E-3</v>
      </c>
      <c r="AX222" s="950">
        <f>+AX221+AY221</f>
        <v>7.5951625693893729E-2</v>
      </c>
      <c r="AY222" s="952"/>
      <c r="AZ222" s="950">
        <f>+AZ221+BA221</f>
        <v>9.2138731783224116E-3</v>
      </c>
      <c r="BA222" s="952"/>
      <c r="BB222" s="601">
        <f>+BB221</f>
        <v>1.0408326661329063E-2</v>
      </c>
      <c r="BC222" s="1170">
        <f>+BC221+BD221</f>
        <v>2.2959183673469389E-2</v>
      </c>
      <c r="BD222" s="1171"/>
      <c r="JS222" s="603"/>
    </row>
    <row r="223" spans="1:279" s="1" customFormat="1" ht="59.25" customHeight="1">
      <c r="A223" s="1110" t="s">
        <v>228</v>
      </c>
      <c r="B223" s="1113" t="s">
        <v>322</v>
      </c>
      <c r="C223" s="130" t="s">
        <v>318</v>
      </c>
      <c r="D223" s="189" t="s">
        <v>175</v>
      </c>
      <c r="E223" s="245"/>
      <c r="F223" s="250"/>
      <c r="G223" s="251" t="s">
        <v>177</v>
      </c>
      <c r="H223" s="143"/>
      <c r="I223" s="253"/>
      <c r="J223" s="254"/>
      <c r="K223" s="253"/>
      <c r="L223" s="254" t="s">
        <v>1514</v>
      </c>
      <c r="M223" s="253" t="s">
        <v>1515</v>
      </c>
      <c r="N223" s="254"/>
      <c r="O223" s="253"/>
      <c r="P223" s="254"/>
      <c r="Q223" s="253" t="s">
        <v>863</v>
      </c>
      <c r="R223" s="254" t="s">
        <v>943</v>
      </c>
      <c r="S223" s="253"/>
      <c r="T223" s="113"/>
      <c r="U223" s="400"/>
      <c r="V223" s="253"/>
      <c r="W223" s="113" t="s">
        <v>943</v>
      </c>
      <c r="X223" s="143" t="s">
        <v>1629</v>
      </c>
      <c r="Y223" s="253" t="s">
        <v>863</v>
      </c>
      <c r="Z223" s="254" t="s">
        <v>863</v>
      </c>
      <c r="AA223" s="253" t="s">
        <v>863</v>
      </c>
      <c r="AB223" s="254" t="s">
        <v>943</v>
      </c>
      <c r="AC223" s="253" t="s">
        <v>943</v>
      </c>
      <c r="AD223" s="254" t="s">
        <v>943</v>
      </c>
      <c r="AE223" s="253"/>
      <c r="AF223" s="254" t="s">
        <v>1631</v>
      </c>
      <c r="AG223" s="253"/>
      <c r="AH223" s="254" t="s">
        <v>1632</v>
      </c>
      <c r="AI223" s="254" t="s">
        <v>1633</v>
      </c>
      <c r="AJ223" s="254"/>
      <c r="AK223" s="253"/>
      <c r="AL223" s="254"/>
      <c r="AM223" s="253"/>
      <c r="AN223" s="254" t="s">
        <v>1635</v>
      </c>
      <c r="AO223" s="254" t="s">
        <v>1636</v>
      </c>
      <c r="AP223" s="659" t="s">
        <v>1640</v>
      </c>
      <c r="AQ223" s="659" t="s">
        <v>1641</v>
      </c>
      <c r="AR223" s="253"/>
      <c r="AS223" s="117"/>
      <c r="AT223" s="254"/>
      <c r="AU223" s="253"/>
      <c r="AV223" s="254" t="s">
        <v>1654</v>
      </c>
      <c r="AW223" s="143" t="s">
        <v>567</v>
      </c>
      <c r="AX223" s="253" t="s">
        <v>959</v>
      </c>
      <c r="AY223" s="254" t="s">
        <v>959</v>
      </c>
      <c r="AZ223" s="253"/>
      <c r="BA223" s="254"/>
      <c r="BB223" s="252" t="s">
        <v>943</v>
      </c>
      <c r="BC223" s="254" t="s">
        <v>1637</v>
      </c>
      <c r="BD223" s="254"/>
      <c r="JS223" s="5"/>
    </row>
    <row r="224" spans="1:279" s="1" customFormat="1" ht="96" customHeight="1">
      <c r="A224" s="1111"/>
      <c r="B224" s="1114"/>
      <c r="C224" s="130" t="s">
        <v>319</v>
      </c>
      <c r="D224" s="189" t="s">
        <v>175</v>
      </c>
      <c r="E224" s="245"/>
      <c r="F224" s="250" t="s">
        <v>1397</v>
      </c>
      <c r="G224" s="251" t="s">
        <v>177</v>
      </c>
      <c r="H224" s="143" t="s">
        <v>1429</v>
      </c>
      <c r="I224" s="253" t="s">
        <v>1516</v>
      </c>
      <c r="J224" s="254"/>
      <c r="K224" s="253"/>
      <c r="L224" s="254"/>
      <c r="M224" s="253"/>
      <c r="N224" s="254"/>
      <c r="O224" s="253"/>
      <c r="P224" s="254" t="s">
        <v>1650</v>
      </c>
      <c r="Q224" s="253" t="s">
        <v>1651</v>
      </c>
      <c r="R224" s="254" t="s">
        <v>567</v>
      </c>
      <c r="S224" s="253" t="s">
        <v>943</v>
      </c>
      <c r="T224" s="113" t="s">
        <v>943</v>
      </c>
      <c r="U224" s="118" t="s">
        <v>943</v>
      </c>
      <c r="V224" s="253"/>
      <c r="W224" s="113" t="s">
        <v>863</v>
      </c>
      <c r="X224" s="143"/>
      <c r="Y224" s="253" t="s">
        <v>863</v>
      </c>
      <c r="Z224" s="254" t="s">
        <v>863</v>
      </c>
      <c r="AA224" s="253" t="s">
        <v>943</v>
      </c>
      <c r="AB224" s="254" t="s">
        <v>943</v>
      </c>
      <c r="AC224" s="253" t="s">
        <v>863</v>
      </c>
      <c r="AD224" s="254" t="s">
        <v>863</v>
      </c>
      <c r="AE224" s="253"/>
      <c r="AF224" s="254"/>
      <c r="AG224" s="253"/>
      <c r="AH224" s="254"/>
      <c r="AI224" s="253"/>
      <c r="AJ224" s="254"/>
      <c r="AK224" s="253"/>
      <c r="AL224" s="254" t="s">
        <v>1634</v>
      </c>
      <c r="AM224" s="253"/>
      <c r="AN224" s="254"/>
      <c r="AO224" s="143"/>
      <c r="AP224" s="253"/>
      <c r="AQ224" s="254"/>
      <c r="AR224" s="253"/>
      <c r="AS224" s="117" t="s">
        <v>1620</v>
      </c>
      <c r="AT224" s="254"/>
      <c r="AU224" s="253"/>
      <c r="AV224" s="254"/>
      <c r="AW224" s="143" t="s">
        <v>567</v>
      </c>
      <c r="AX224" s="253" t="s">
        <v>863</v>
      </c>
      <c r="AY224" s="254" t="s">
        <v>863</v>
      </c>
      <c r="AZ224" s="253"/>
      <c r="BA224" s="254"/>
      <c r="BB224" s="570" t="s">
        <v>863</v>
      </c>
      <c r="BC224" s="253"/>
      <c r="BD224" s="254"/>
      <c r="JS224" s="5"/>
    </row>
    <row r="225" spans="1:279" s="1" customFormat="1" ht="59.25" customHeight="1">
      <c r="A225" s="1111"/>
      <c r="B225" s="1114"/>
      <c r="C225" s="130" t="s">
        <v>320</v>
      </c>
      <c r="D225" s="189" t="s">
        <v>175</v>
      </c>
      <c r="E225" s="245"/>
      <c r="F225" s="250" t="s">
        <v>1398</v>
      </c>
      <c r="G225" s="251" t="s">
        <v>177</v>
      </c>
      <c r="H225" s="143"/>
      <c r="I225" s="253"/>
      <c r="J225" s="254"/>
      <c r="K225" s="253"/>
      <c r="L225" s="254"/>
      <c r="M225" s="253"/>
      <c r="N225" s="254"/>
      <c r="O225" s="253"/>
      <c r="P225" s="254"/>
      <c r="Q225" s="253" t="s">
        <v>943</v>
      </c>
      <c r="R225" s="254" t="s">
        <v>943</v>
      </c>
      <c r="S225" s="253"/>
      <c r="T225" s="113"/>
      <c r="U225" s="400"/>
      <c r="V225" s="253"/>
      <c r="W225" s="113" t="s">
        <v>943</v>
      </c>
      <c r="X225" s="143"/>
      <c r="Y225" s="253" t="s">
        <v>943</v>
      </c>
      <c r="Z225" s="254" t="s">
        <v>943</v>
      </c>
      <c r="AA225" s="253" t="s">
        <v>943</v>
      </c>
      <c r="AB225" s="254" t="s">
        <v>943</v>
      </c>
      <c r="AC225" s="253" t="s">
        <v>863</v>
      </c>
      <c r="AD225" s="254" t="s">
        <v>863</v>
      </c>
      <c r="AE225" s="253"/>
      <c r="AF225" s="254"/>
      <c r="AG225" s="253"/>
      <c r="AH225" s="254"/>
      <c r="AI225" s="253"/>
      <c r="AJ225" s="254"/>
      <c r="AK225" s="253"/>
      <c r="AL225" s="254"/>
      <c r="AM225" s="253"/>
      <c r="AN225" s="254"/>
      <c r="AO225" s="143"/>
      <c r="AP225" s="253"/>
      <c r="AQ225" s="254"/>
      <c r="AR225" s="253"/>
      <c r="AS225" s="117"/>
      <c r="AT225" s="254"/>
      <c r="AU225" s="253"/>
      <c r="AV225" s="254"/>
      <c r="AW225" s="143" t="s">
        <v>567</v>
      </c>
      <c r="AX225" s="253" t="s">
        <v>959</v>
      </c>
      <c r="AY225" s="254" t="s">
        <v>959</v>
      </c>
      <c r="AZ225" s="253"/>
      <c r="BA225" s="254"/>
      <c r="BB225" s="252" t="s">
        <v>943</v>
      </c>
      <c r="BC225" s="253"/>
      <c r="BD225" s="254"/>
      <c r="JS225" s="5"/>
    </row>
    <row r="226" spans="1:279" s="56" customFormat="1" ht="59.25" customHeight="1">
      <c r="A226" s="1112"/>
      <c r="B226" s="1115"/>
      <c r="C226" s="183" t="s">
        <v>321</v>
      </c>
      <c r="D226" s="284">
        <v>2</v>
      </c>
      <c r="E226" s="953">
        <v>2</v>
      </c>
      <c r="F226" s="955"/>
      <c r="G226" s="284">
        <v>0</v>
      </c>
      <c r="H226" s="184">
        <v>2</v>
      </c>
      <c r="I226" s="953">
        <v>2</v>
      </c>
      <c r="J226" s="955"/>
      <c r="K226" s="953">
        <v>2</v>
      </c>
      <c r="L226" s="955"/>
      <c r="M226" s="953">
        <v>2</v>
      </c>
      <c r="N226" s="955"/>
      <c r="O226" s="953">
        <v>2</v>
      </c>
      <c r="P226" s="955"/>
      <c r="Q226" s="953">
        <v>2</v>
      </c>
      <c r="R226" s="955"/>
      <c r="S226" s="953">
        <v>0</v>
      </c>
      <c r="T226" s="954"/>
      <c r="U226" s="955"/>
      <c r="V226" s="953">
        <v>2</v>
      </c>
      <c r="W226" s="954"/>
      <c r="X226" s="184">
        <v>2</v>
      </c>
      <c r="Y226" s="953">
        <v>2</v>
      </c>
      <c r="Z226" s="955"/>
      <c r="AA226" s="953">
        <v>2</v>
      </c>
      <c r="AB226" s="955"/>
      <c r="AC226" s="953">
        <v>2</v>
      </c>
      <c r="AD226" s="955"/>
      <c r="AE226" s="953">
        <v>2</v>
      </c>
      <c r="AF226" s="955"/>
      <c r="AG226" s="953">
        <v>2</v>
      </c>
      <c r="AH226" s="955"/>
      <c r="AI226" s="953">
        <v>2</v>
      </c>
      <c r="AJ226" s="955"/>
      <c r="AK226" s="953">
        <v>2</v>
      </c>
      <c r="AL226" s="955"/>
      <c r="AM226" s="953">
        <v>2</v>
      </c>
      <c r="AN226" s="955"/>
      <c r="AO226" s="451">
        <v>2</v>
      </c>
      <c r="AP226" s="953">
        <v>2</v>
      </c>
      <c r="AQ226" s="955"/>
      <c r="AR226" s="953">
        <v>2</v>
      </c>
      <c r="AS226" s="954"/>
      <c r="AT226" s="955"/>
      <c r="AU226" s="953">
        <v>2</v>
      </c>
      <c r="AV226" s="955"/>
      <c r="AW226" s="184">
        <v>0</v>
      </c>
      <c r="AX226" s="953">
        <v>2</v>
      </c>
      <c r="AY226" s="955"/>
      <c r="AZ226" s="953"/>
      <c r="BA226" s="955"/>
      <c r="BB226" s="285">
        <v>2</v>
      </c>
      <c r="BC226" s="953">
        <v>2</v>
      </c>
      <c r="BD226" s="955"/>
      <c r="JS226" s="185"/>
    </row>
    <row r="227" spans="1:279" s="1" customFormat="1" ht="59.25" customHeight="1">
      <c r="A227" s="1110" t="s">
        <v>229</v>
      </c>
      <c r="B227" s="1113" t="s">
        <v>326</v>
      </c>
      <c r="C227" s="130" t="s">
        <v>323</v>
      </c>
      <c r="D227" s="189" t="s">
        <v>177</v>
      </c>
      <c r="E227" s="245" t="s">
        <v>1399</v>
      </c>
      <c r="F227" s="250" t="s">
        <v>1399</v>
      </c>
      <c r="G227" s="251" t="s">
        <v>888</v>
      </c>
      <c r="H227" s="143"/>
      <c r="I227" s="253"/>
      <c r="J227" s="254" t="s">
        <v>1517</v>
      </c>
      <c r="K227" s="253"/>
      <c r="L227" s="254" t="s">
        <v>1517</v>
      </c>
      <c r="M227" s="253" t="s">
        <v>243</v>
      </c>
      <c r="N227" s="254"/>
      <c r="O227" s="253"/>
      <c r="P227" s="254" t="s">
        <v>243</v>
      </c>
      <c r="Q227" s="253"/>
      <c r="R227" s="254" t="s">
        <v>78</v>
      </c>
      <c r="S227" s="253" t="s">
        <v>1008</v>
      </c>
      <c r="T227" s="113" t="s">
        <v>78</v>
      </c>
      <c r="U227" s="118" t="s">
        <v>1011</v>
      </c>
      <c r="V227" s="253"/>
      <c r="W227" s="113" t="s">
        <v>863</v>
      </c>
      <c r="X227" s="143"/>
      <c r="Y227" s="253"/>
      <c r="Z227" s="254" t="s">
        <v>863</v>
      </c>
      <c r="AA227" s="253" t="s">
        <v>863</v>
      </c>
      <c r="AB227" s="254" t="s">
        <v>78</v>
      </c>
      <c r="AC227" s="253" t="s">
        <v>863</v>
      </c>
      <c r="AD227" s="254" t="s">
        <v>78</v>
      </c>
      <c r="AE227" s="253"/>
      <c r="AF227" s="254" t="s">
        <v>78</v>
      </c>
      <c r="AG227" s="253"/>
      <c r="AH227" s="254" t="s">
        <v>78</v>
      </c>
      <c r="AI227" s="253"/>
      <c r="AJ227" s="254"/>
      <c r="AK227" s="253"/>
      <c r="AL227" s="254"/>
      <c r="AM227" s="253" t="s">
        <v>78</v>
      </c>
      <c r="AN227" s="254"/>
      <c r="AO227" s="143"/>
      <c r="AP227" s="253"/>
      <c r="AQ227" s="254" t="s">
        <v>78</v>
      </c>
      <c r="AR227" s="253"/>
      <c r="AS227" s="117"/>
      <c r="AT227" s="254" t="s">
        <v>243</v>
      </c>
      <c r="AU227" s="253"/>
      <c r="AV227" s="254" t="s">
        <v>243</v>
      </c>
      <c r="AW227" s="143" t="s">
        <v>567</v>
      </c>
      <c r="AX227" s="253" t="s">
        <v>863</v>
      </c>
      <c r="AY227" s="254" t="s">
        <v>78</v>
      </c>
      <c r="AZ227" s="253"/>
      <c r="BA227" s="254" t="s">
        <v>78</v>
      </c>
      <c r="BB227" s="252" t="s">
        <v>1020</v>
      </c>
      <c r="BC227" s="253" t="s">
        <v>78</v>
      </c>
      <c r="BD227" s="254"/>
      <c r="JS227" s="5"/>
    </row>
    <row r="228" spans="1:279" s="1" customFormat="1" ht="59.25" customHeight="1">
      <c r="A228" s="1111"/>
      <c r="B228" s="1114"/>
      <c r="C228" s="130" t="s">
        <v>324</v>
      </c>
      <c r="D228" s="189" t="s">
        <v>177</v>
      </c>
      <c r="E228" s="245" t="s">
        <v>983</v>
      </c>
      <c r="F228" s="250" t="s">
        <v>1400</v>
      </c>
      <c r="G228" s="251" t="s">
        <v>889</v>
      </c>
      <c r="H228" s="143"/>
      <c r="I228" s="253"/>
      <c r="J228" s="254" t="s">
        <v>983</v>
      </c>
      <c r="K228" s="253"/>
      <c r="L228" s="254" t="s">
        <v>1148</v>
      </c>
      <c r="M228" s="253" t="s">
        <v>983</v>
      </c>
      <c r="N228" s="254"/>
      <c r="O228" s="253"/>
      <c r="P228" s="254" t="s">
        <v>983</v>
      </c>
      <c r="Q228" s="253"/>
      <c r="R228" s="254" t="s">
        <v>1315</v>
      </c>
      <c r="S228" s="253" t="s">
        <v>1008</v>
      </c>
      <c r="T228" s="113" t="s">
        <v>1374</v>
      </c>
      <c r="U228" s="118" t="s">
        <v>1008</v>
      </c>
      <c r="V228" s="253"/>
      <c r="W228" s="113" t="s">
        <v>983</v>
      </c>
      <c r="X228" s="143"/>
      <c r="Y228" s="253"/>
      <c r="Z228" s="254" t="s">
        <v>983</v>
      </c>
      <c r="AA228" s="253" t="s">
        <v>983</v>
      </c>
      <c r="AB228" s="254"/>
      <c r="AC228" s="253" t="s">
        <v>983</v>
      </c>
      <c r="AD228" s="254" t="s">
        <v>1093</v>
      </c>
      <c r="AE228" s="253"/>
      <c r="AF228" s="254" t="s">
        <v>1148</v>
      </c>
      <c r="AG228" s="253"/>
      <c r="AH228" s="254" t="s">
        <v>1148</v>
      </c>
      <c r="AI228" s="253"/>
      <c r="AJ228" s="254"/>
      <c r="AK228" s="253"/>
      <c r="AL228" s="254" t="s">
        <v>983</v>
      </c>
      <c r="AM228" s="253" t="s">
        <v>983</v>
      </c>
      <c r="AN228" s="254"/>
      <c r="AO228" s="143"/>
      <c r="AP228" s="253"/>
      <c r="AQ228" s="254" t="s">
        <v>983</v>
      </c>
      <c r="AR228" s="253"/>
      <c r="AS228" s="117"/>
      <c r="AT228" s="254" t="s">
        <v>1148</v>
      </c>
      <c r="AU228" s="253"/>
      <c r="AV228" s="254" t="s">
        <v>983</v>
      </c>
      <c r="AW228" s="143" t="s">
        <v>567</v>
      </c>
      <c r="AX228" s="253" t="s">
        <v>943</v>
      </c>
      <c r="AY228" s="254" t="s">
        <v>1148</v>
      </c>
      <c r="AZ228" s="253"/>
      <c r="BA228" s="254" t="s">
        <v>888</v>
      </c>
      <c r="BB228" s="252" t="s">
        <v>1020</v>
      </c>
      <c r="BC228" s="253" t="s">
        <v>888</v>
      </c>
      <c r="BD228" s="254"/>
      <c r="JS228" s="5"/>
    </row>
    <row r="229" spans="1:279" s="1" customFormat="1" ht="59.25" customHeight="1">
      <c r="A229" s="1111"/>
      <c r="B229" s="1114"/>
      <c r="C229" s="130" t="s">
        <v>325</v>
      </c>
      <c r="D229" s="189" t="s">
        <v>177</v>
      </c>
      <c r="E229" s="291">
        <v>13873498000</v>
      </c>
      <c r="F229" s="292">
        <v>3518140000</v>
      </c>
      <c r="G229" s="251" t="s">
        <v>890</v>
      </c>
      <c r="H229" s="150"/>
      <c r="I229" s="291"/>
      <c r="J229" s="292">
        <v>13341874635</v>
      </c>
      <c r="K229" s="291"/>
      <c r="L229" s="292">
        <v>3948030561</v>
      </c>
      <c r="M229" s="291">
        <v>11798874952</v>
      </c>
      <c r="N229" s="292"/>
      <c r="O229" s="291"/>
      <c r="P229" s="292">
        <v>12959304000</v>
      </c>
      <c r="Q229" s="675"/>
      <c r="R229" s="693">
        <v>6561293562</v>
      </c>
      <c r="S229" s="385" t="s">
        <v>1008</v>
      </c>
      <c r="T229" s="395" t="s">
        <v>1375</v>
      </c>
      <c r="U229" s="118" t="s">
        <v>1008</v>
      </c>
      <c r="V229" s="253"/>
      <c r="W229" s="113" t="s">
        <v>1211</v>
      </c>
      <c r="X229" s="143"/>
      <c r="Y229" s="253"/>
      <c r="Z229" s="254" t="s">
        <v>1271</v>
      </c>
      <c r="AA229" s="385" t="s">
        <v>984</v>
      </c>
      <c r="AB229" s="418"/>
      <c r="AC229" s="385" t="s">
        <v>1094</v>
      </c>
      <c r="AD229" s="418" t="s">
        <v>1095</v>
      </c>
      <c r="AE229" s="253"/>
      <c r="AF229" s="292">
        <v>1269932501</v>
      </c>
      <c r="AG229" s="253"/>
      <c r="AH229" s="292">
        <v>1476247715</v>
      </c>
      <c r="AI229" s="253"/>
      <c r="AJ229" s="254"/>
      <c r="AK229" s="253"/>
      <c r="AL229" s="254" t="s">
        <v>1646</v>
      </c>
      <c r="AM229" s="291">
        <v>11606419649</v>
      </c>
      <c r="AN229" s="254"/>
      <c r="AO229" s="143"/>
      <c r="AP229" s="253"/>
      <c r="AQ229" s="292">
        <v>13355994813</v>
      </c>
      <c r="AR229" s="291"/>
      <c r="AS229" s="123"/>
      <c r="AT229" s="292">
        <v>3740789994</v>
      </c>
      <c r="AU229" s="291"/>
      <c r="AV229" s="292">
        <v>11005721622</v>
      </c>
      <c r="AW229" s="143" t="s">
        <v>567</v>
      </c>
      <c r="AX229" s="385" t="s">
        <v>943</v>
      </c>
      <c r="AY229" s="418" t="s">
        <v>1149</v>
      </c>
      <c r="AZ229" s="253"/>
      <c r="BA229" s="292">
        <v>11959723015</v>
      </c>
      <c r="BB229" s="252" t="s">
        <v>1020</v>
      </c>
      <c r="BC229" s="291">
        <v>6958196930</v>
      </c>
      <c r="BD229" s="254"/>
      <c r="JS229" s="5"/>
    </row>
    <row r="230" spans="1:279" s="56" customFormat="1" ht="58.5" customHeight="1">
      <c r="A230" s="1112"/>
      <c r="B230" s="1115"/>
      <c r="C230" s="183" t="s">
        <v>321</v>
      </c>
      <c r="D230" s="284">
        <v>0</v>
      </c>
      <c r="E230" s="953">
        <v>2</v>
      </c>
      <c r="F230" s="955"/>
      <c r="G230" s="284">
        <v>2</v>
      </c>
      <c r="H230" s="184">
        <v>0</v>
      </c>
      <c r="I230" s="953">
        <v>2</v>
      </c>
      <c r="J230" s="955"/>
      <c r="K230" s="953">
        <v>2</v>
      </c>
      <c r="L230" s="955"/>
      <c r="M230" s="953">
        <v>2</v>
      </c>
      <c r="N230" s="955"/>
      <c r="O230" s="953">
        <v>2</v>
      </c>
      <c r="P230" s="955"/>
      <c r="Q230" s="953">
        <v>2</v>
      </c>
      <c r="R230" s="955"/>
      <c r="S230" s="953">
        <v>2</v>
      </c>
      <c r="T230" s="954"/>
      <c r="U230" s="955"/>
      <c r="V230" s="953">
        <v>2</v>
      </c>
      <c r="W230" s="954"/>
      <c r="X230" s="451">
        <v>0</v>
      </c>
      <c r="Y230" s="953">
        <v>2</v>
      </c>
      <c r="Z230" s="955"/>
      <c r="AA230" s="953">
        <v>2</v>
      </c>
      <c r="AB230" s="955"/>
      <c r="AC230" s="953">
        <v>2</v>
      </c>
      <c r="AD230" s="955"/>
      <c r="AE230" s="953">
        <v>2</v>
      </c>
      <c r="AF230" s="955"/>
      <c r="AG230" s="953">
        <v>2</v>
      </c>
      <c r="AH230" s="955"/>
      <c r="AI230" s="953">
        <v>0</v>
      </c>
      <c r="AJ230" s="955"/>
      <c r="AK230" s="953">
        <v>2</v>
      </c>
      <c r="AL230" s="955"/>
      <c r="AM230" s="953">
        <v>2</v>
      </c>
      <c r="AN230" s="955"/>
      <c r="AO230" s="451">
        <v>0</v>
      </c>
      <c r="AP230" s="953">
        <v>2</v>
      </c>
      <c r="AQ230" s="955"/>
      <c r="AR230" s="953">
        <v>2</v>
      </c>
      <c r="AS230" s="954"/>
      <c r="AT230" s="955"/>
      <c r="AU230" s="953">
        <v>2</v>
      </c>
      <c r="AV230" s="955"/>
      <c r="AW230" s="184">
        <v>0</v>
      </c>
      <c r="AX230" s="953">
        <v>2</v>
      </c>
      <c r="AY230" s="955"/>
      <c r="AZ230" s="953">
        <v>2</v>
      </c>
      <c r="BA230" s="955"/>
      <c r="BB230" s="285"/>
      <c r="BC230" s="953">
        <v>2</v>
      </c>
      <c r="BD230" s="955"/>
      <c r="JS230" s="185"/>
    </row>
    <row r="231" spans="1:279" s="1" customFormat="1" ht="36" customHeight="1">
      <c r="A231" s="1086" t="s">
        <v>149</v>
      </c>
      <c r="B231" s="1087"/>
      <c r="C231" s="1088"/>
      <c r="D231" s="673" t="s">
        <v>179</v>
      </c>
      <c r="E231" s="964" t="s">
        <v>179</v>
      </c>
      <c r="F231" s="969"/>
      <c r="G231" s="188" t="s">
        <v>179</v>
      </c>
      <c r="H231" s="142" t="s">
        <v>179</v>
      </c>
      <c r="I231" s="964" t="s">
        <v>179</v>
      </c>
      <c r="J231" s="969"/>
      <c r="K231" s="964" t="s">
        <v>179</v>
      </c>
      <c r="L231" s="969"/>
      <c r="M231" s="964" t="s">
        <v>179</v>
      </c>
      <c r="N231" s="969"/>
      <c r="O231" s="964" t="s">
        <v>179</v>
      </c>
      <c r="P231" s="969"/>
      <c r="Q231" s="948" t="s">
        <v>179</v>
      </c>
      <c r="R231" s="968"/>
      <c r="S231" s="948" t="s">
        <v>179</v>
      </c>
      <c r="T231" s="949"/>
      <c r="U231" s="974"/>
      <c r="V231" s="964" t="s">
        <v>179</v>
      </c>
      <c r="W231" s="965"/>
      <c r="X231" s="142" t="s">
        <v>179</v>
      </c>
      <c r="Y231" s="964" t="s">
        <v>179</v>
      </c>
      <c r="Z231" s="969"/>
      <c r="AA231" s="964" t="s">
        <v>179</v>
      </c>
      <c r="AB231" s="969"/>
      <c r="AC231" s="964" t="s">
        <v>179</v>
      </c>
      <c r="AD231" s="969"/>
      <c r="AE231" s="964" t="s">
        <v>179</v>
      </c>
      <c r="AF231" s="969"/>
      <c r="AG231" s="964" t="s">
        <v>179</v>
      </c>
      <c r="AH231" s="969"/>
      <c r="AI231" s="964" t="s">
        <v>179</v>
      </c>
      <c r="AJ231" s="969"/>
      <c r="AK231" s="964" t="s">
        <v>179</v>
      </c>
      <c r="AL231" s="969"/>
      <c r="AM231" s="964" t="s">
        <v>179</v>
      </c>
      <c r="AN231" s="969"/>
      <c r="AO231" s="142" t="s">
        <v>179</v>
      </c>
      <c r="AP231" s="964" t="s">
        <v>179</v>
      </c>
      <c r="AQ231" s="969"/>
      <c r="AR231" s="1100" t="s">
        <v>179</v>
      </c>
      <c r="AS231" s="1218"/>
      <c r="AT231" s="1101"/>
      <c r="AU231" s="964" t="s">
        <v>179</v>
      </c>
      <c r="AV231" s="969"/>
      <c r="AW231" s="142" t="s">
        <v>179</v>
      </c>
      <c r="AX231" s="964" t="s">
        <v>179</v>
      </c>
      <c r="AY231" s="969"/>
      <c r="AZ231" s="964" t="s">
        <v>179</v>
      </c>
      <c r="BA231" s="969"/>
      <c r="BB231" s="319" t="s">
        <v>179</v>
      </c>
      <c r="BC231" s="964" t="s">
        <v>179</v>
      </c>
      <c r="BD231" s="969"/>
      <c r="JS231" s="5"/>
    </row>
    <row r="232" spans="1:279" s="1" customFormat="1" ht="20.25">
      <c r="A232" s="1086" t="s">
        <v>123</v>
      </c>
      <c r="B232" s="1087"/>
      <c r="C232" s="1088"/>
      <c r="D232" s="226"/>
      <c r="E232" s="294"/>
      <c r="F232" s="295"/>
      <c r="G232" s="226"/>
      <c r="H232" s="342"/>
      <c r="I232" s="294"/>
      <c r="J232" s="295"/>
      <c r="K232" s="294"/>
      <c r="L232" s="295"/>
      <c r="M232" s="294"/>
      <c r="N232" s="295"/>
      <c r="O232" s="294"/>
      <c r="P232" s="295"/>
      <c r="Q232" s="380"/>
      <c r="R232" s="295"/>
      <c r="S232" s="380"/>
      <c r="T232" s="83"/>
      <c r="U232" s="93"/>
      <c r="V232" s="380"/>
      <c r="W232" s="83"/>
      <c r="X232" s="168"/>
      <c r="Y232" s="380"/>
      <c r="Z232" s="295"/>
      <c r="AA232" s="380"/>
      <c r="AB232" s="295"/>
      <c r="AC232" s="380"/>
      <c r="AD232" s="295"/>
      <c r="AE232" s="294"/>
      <c r="AF232" s="295"/>
      <c r="AG232" s="294"/>
      <c r="AH232" s="295"/>
      <c r="AI232" s="294"/>
      <c r="AJ232" s="295"/>
      <c r="AK232" s="294"/>
      <c r="AL232" s="295"/>
      <c r="AM232" s="294"/>
      <c r="AN232" s="295"/>
      <c r="AO232" s="168"/>
      <c r="AP232" s="294"/>
      <c r="AQ232" s="295"/>
      <c r="AR232" s="294"/>
      <c r="AS232" s="35"/>
      <c r="AT232" s="295"/>
      <c r="AU232" s="294"/>
      <c r="AV232" s="295"/>
      <c r="AW232" s="168"/>
      <c r="AX232" s="380"/>
      <c r="AY232" s="295"/>
      <c r="AZ232" s="294"/>
      <c r="BA232" s="295"/>
      <c r="BB232" s="572"/>
      <c r="BC232" s="294"/>
      <c r="BD232" s="295"/>
      <c r="JS232" s="5"/>
    </row>
    <row r="233" spans="1:279" s="1" customFormat="1" ht="18">
      <c r="A233" s="1077" t="s">
        <v>76</v>
      </c>
      <c r="B233" s="1103" t="s">
        <v>22</v>
      </c>
      <c r="C233" s="137" t="s">
        <v>82</v>
      </c>
      <c r="D233" s="206"/>
      <c r="E233" s="261"/>
      <c r="F233" s="244"/>
      <c r="G233" s="206"/>
      <c r="H233" s="330"/>
      <c r="I233" s="261"/>
      <c r="J233" s="244"/>
      <c r="K233" s="261"/>
      <c r="L233" s="244"/>
      <c r="M233" s="261"/>
      <c r="N233" s="244"/>
      <c r="O233" s="261"/>
      <c r="P233" s="244"/>
      <c r="Q233" s="261"/>
      <c r="R233" s="244"/>
      <c r="S233" s="261"/>
      <c r="T233" s="72"/>
      <c r="U233" s="93"/>
      <c r="V233" s="261"/>
      <c r="W233" s="72"/>
      <c r="X233" s="156"/>
      <c r="Y233" s="261"/>
      <c r="Z233" s="244"/>
      <c r="AA233" s="261"/>
      <c r="AB233" s="244"/>
      <c r="AC233" s="261"/>
      <c r="AD233" s="244"/>
      <c r="AE233" s="261"/>
      <c r="AF233" s="244"/>
      <c r="AG233" s="261"/>
      <c r="AH233" s="244"/>
      <c r="AI233" s="261"/>
      <c r="AJ233" s="244"/>
      <c r="AK233" s="261"/>
      <c r="AL233" s="244"/>
      <c r="AM233" s="261"/>
      <c r="AN233" s="244"/>
      <c r="AO233" s="156"/>
      <c r="AP233" s="261"/>
      <c r="AQ233" s="244"/>
      <c r="AR233" s="261"/>
      <c r="AS233" s="32"/>
      <c r="AT233" s="244"/>
      <c r="AU233" s="261"/>
      <c r="AV233" s="244"/>
      <c r="AW233" s="156"/>
      <c r="AX233" s="261"/>
      <c r="AY233" s="244"/>
      <c r="AZ233" s="261"/>
      <c r="BA233" s="244"/>
      <c r="BB233" s="559"/>
      <c r="BC233" s="261"/>
      <c r="BD233" s="244"/>
      <c r="JS233" s="5"/>
    </row>
    <row r="234" spans="1:279" s="1" customFormat="1" ht="48">
      <c r="A234" s="1077"/>
      <c r="B234" s="1103"/>
      <c r="C234" s="138" t="s">
        <v>119</v>
      </c>
      <c r="D234" s="207" t="s">
        <v>836</v>
      </c>
      <c r="E234" s="262" t="s">
        <v>241</v>
      </c>
      <c r="F234" s="255"/>
      <c r="G234" s="207" t="s">
        <v>837</v>
      </c>
      <c r="H234" s="154" t="s">
        <v>1430</v>
      </c>
      <c r="I234" s="262" t="s">
        <v>1518</v>
      </c>
      <c r="J234" s="279"/>
      <c r="K234" s="262"/>
      <c r="L234" s="279" t="s">
        <v>1519</v>
      </c>
      <c r="M234" s="262"/>
      <c r="N234" s="279" t="s">
        <v>1520</v>
      </c>
      <c r="O234" s="262" t="s">
        <v>1526</v>
      </c>
      <c r="P234" s="279"/>
      <c r="Q234" s="1116" t="s">
        <v>1316</v>
      </c>
      <c r="R234" s="1117"/>
      <c r="S234" s="241" t="s">
        <v>1376</v>
      </c>
      <c r="T234" s="84"/>
      <c r="U234" s="400"/>
      <c r="V234" s="411" t="s">
        <v>1212</v>
      </c>
      <c r="W234" s="1039" t="s">
        <v>178</v>
      </c>
      <c r="X234" s="143" t="s">
        <v>786</v>
      </c>
      <c r="Y234" s="262" t="s">
        <v>1272</v>
      </c>
      <c r="Z234" s="979" t="s">
        <v>178</v>
      </c>
      <c r="AA234" s="241" t="s">
        <v>922</v>
      </c>
      <c r="AB234" s="979" t="s">
        <v>178</v>
      </c>
      <c r="AC234" s="241" t="s">
        <v>1096</v>
      </c>
      <c r="AD234" s="979" t="s">
        <v>178</v>
      </c>
      <c r="AE234" s="480" t="s">
        <v>329</v>
      </c>
      <c r="AF234" s="979" t="s">
        <v>178</v>
      </c>
      <c r="AG234" s="982" t="s">
        <v>178</v>
      </c>
      <c r="AH234" s="277" t="s">
        <v>401</v>
      </c>
      <c r="AI234" s="253" t="s">
        <v>501</v>
      </c>
      <c r="AJ234" s="979" t="s">
        <v>394</v>
      </c>
      <c r="AK234" s="253" t="s">
        <v>504</v>
      </c>
      <c r="AL234" s="506" t="s">
        <v>178</v>
      </c>
      <c r="AM234" s="253" t="s">
        <v>602</v>
      </c>
      <c r="AN234" s="979" t="s">
        <v>178</v>
      </c>
      <c r="AO234" s="143" t="s">
        <v>918</v>
      </c>
      <c r="AP234" s="253" t="s">
        <v>605</v>
      </c>
      <c r="AQ234" s="979" t="s">
        <v>178</v>
      </c>
      <c r="AR234" s="262"/>
      <c r="AS234" s="122" t="s">
        <v>1621</v>
      </c>
      <c r="AT234" s="279"/>
      <c r="AU234" s="262" t="s">
        <v>1622</v>
      </c>
      <c r="AV234" s="279"/>
      <c r="AW234" s="172" t="s">
        <v>788</v>
      </c>
      <c r="AX234" s="241" t="s">
        <v>1111</v>
      </c>
      <c r="AY234" s="582"/>
      <c r="AZ234" s="253" t="s">
        <v>649</v>
      </c>
      <c r="BA234" s="979" t="s">
        <v>178</v>
      </c>
      <c r="BB234" s="561" t="s">
        <v>1043</v>
      </c>
      <c r="BC234" s="253" t="s">
        <v>745</v>
      </c>
      <c r="BD234" s="979"/>
      <c r="JS234" s="5"/>
    </row>
    <row r="235" spans="1:279" s="1" customFormat="1" ht="36">
      <c r="A235" s="1077"/>
      <c r="B235" s="1103"/>
      <c r="C235" s="139" t="s">
        <v>24</v>
      </c>
      <c r="D235" s="207" t="s">
        <v>891</v>
      </c>
      <c r="E235" s="262" t="s">
        <v>1401</v>
      </c>
      <c r="F235" s="255"/>
      <c r="G235" s="207" t="s">
        <v>892</v>
      </c>
      <c r="H235" s="154" t="s">
        <v>1431</v>
      </c>
      <c r="I235" s="262" t="s">
        <v>1521</v>
      </c>
      <c r="J235" s="279"/>
      <c r="K235" s="262"/>
      <c r="L235" s="279" t="s">
        <v>1522</v>
      </c>
      <c r="M235" s="262"/>
      <c r="N235" s="279" t="s">
        <v>1523</v>
      </c>
      <c r="O235" s="262" t="s">
        <v>1550</v>
      </c>
      <c r="P235" s="279"/>
      <c r="Q235" s="1116" t="s">
        <v>1317</v>
      </c>
      <c r="R235" s="1117"/>
      <c r="S235" s="241" t="s">
        <v>1377</v>
      </c>
      <c r="T235" s="84"/>
      <c r="U235" s="400"/>
      <c r="V235" s="262" t="s">
        <v>1213</v>
      </c>
      <c r="W235" s="1040"/>
      <c r="X235" s="143" t="s">
        <v>787</v>
      </c>
      <c r="Y235" s="262" t="s">
        <v>1273</v>
      </c>
      <c r="Z235" s="980"/>
      <c r="AA235" s="241" t="s">
        <v>985</v>
      </c>
      <c r="AB235" s="980"/>
      <c r="AC235" s="241" t="s">
        <v>1097</v>
      </c>
      <c r="AD235" s="980"/>
      <c r="AE235" s="480" t="s">
        <v>395</v>
      </c>
      <c r="AF235" s="980"/>
      <c r="AG235" s="983"/>
      <c r="AH235" s="277" t="s">
        <v>454</v>
      </c>
      <c r="AI235" s="276" t="s">
        <v>502</v>
      </c>
      <c r="AJ235" s="980"/>
      <c r="AK235" s="253" t="s">
        <v>543</v>
      </c>
      <c r="AL235" s="246"/>
      <c r="AM235" s="253" t="s">
        <v>601</v>
      </c>
      <c r="AN235" s="980"/>
      <c r="AO235" s="143" t="s">
        <v>919</v>
      </c>
      <c r="AP235" s="253" t="s">
        <v>647</v>
      </c>
      <c r="AQ235" s="980"/>
      <c r="AR235" s="262"/>
      <c r="AS235" s="122" t="s">
        <v>1623</v>
      </c>
      <c r="AT235" s="279"/>
      <c r="AU235" s="262" t="s">
        <v>1624</v>
      </c>
      <c r="AV235" s="279"/>
      <c r="AW235" s="172" t="s">
        <v>824</v>
      </c>
      <c r="AX235" s="241" t="s">
        <v>1150</v>
      </c>
      <c r="AY235" s="582"/>
      <c r="AZ235" s="253" t="s">
        <v>695</v>
      </c>
      <c r="BA235" s="980"/>
      <c r="BB235" s="561" t="s">
        <v>1044</v>
      </c>
      <c r="BC235" s="253" t="s">
        <v>746</v>
      </c>
      <c r="BD235" s="980"/>
      <c r="JS235" s="5"/>
    </row>
    <row r="236" spans="1:279" s="1" customFormat="1">
      <c r="A236" s="1077"/>
      <c r="B236" s="1103"/>
      <c r="C236" s="139" t="s">
        <v>152</v>
      </c>
      <c r="D236" s="218" t="s">
        <v>393</v>
      </c>
      <c r="E236" s="280" t="s">
        <v>1402</v>
      </c>
      <c r="F236" s="255"/>
      <c r="G236" s="218" t="s">
        <v>393</v>
      </c>
      <c r="H236" s="343" t="s">
        <v>396</v>
      </c>
      <c r="I236" s="280" t="s">
        <v>1524</v>
      </c>
      <c r="J236" s="279"/>
      <c r="K236" s="280"/>
      <c r="L236" s="279" t="s">
        <v>393</v>
      </c>
      <c r="M236" s="280"/>
      <c r="N236" s="279" t="s">
        <v>393</v>
      </c>
      <c r="O236" s="280" t="s">
        <v>393</v>
      </c>
      <c r="P236" s="279"/>
      <c r="Q236" s="1203" t="s">
        <v>1318</v>
      </c>
      <c r="R236" s="1204"/>
      <c r="S236" s="280" t="s">
        <v>1217</v>
      </c>
      <c r="T236" s="84"/>
      <c r="U236" s="400"/>
      <c r="V236" s="280" t="s">
        <v>991</v>
      </c>
      <c r="W236" s="1040"/>
      <c r="X236" s="144" t="s">
        <v>393</v>
      </c>
      <c r="Y236" s="280" t="s">
        <v>991</v>
      </c>
      <c r="Z236" s="980"/>
      <c r="AA236" s="280" t="s">
        <v>986</v>
      </c>
      <c r="AB236" s="980"/>
      <c r="AC236" s="280" t="s">
        <v>396</v>
      </c>
      <c r="AD236" s="980"/>
      <c r="AE236" s="280" t="s">
        <v>396</v>
      </c>
      <c r="AF236" s="980"/>
      <c r="AG236" s="983"/>
      <c r="AH236" s="277" t="s">
        <v>393</v>
      </c>
      <c r="AI236" s="276" t="s">
        <v>393</v>
      </c>
      <c r="AJ236" s="980"/>
      <c r="AK236" s="276" t="s">
        <v>393</v>
      </c>
      <c r="AL236" s="246"/>
      <c r="AM236" s="276" t="s">
        <v>393</v>
      </c>
      <c r="AN236" s="980"/>
      <c r="AO236" s="144" t="s">
        <v>393</v>
      </c>
      <c r="AP236" s="276" t="s">
        <v>393</v>
      </c>
      <c r="AQ236" s="980"/>
      <c r="AR236" s="280"/>
      <c r="AS236" s="122" t="s">
        <v>396</v>
      </c>
      <c r="AT236" s="279"/>
      <c r="AU236" s="280" t="s">
        <v>393</v>
      </c>
      <c r="AV236" s="279"/>
      <c r="AW236" s="165" t="s">
        <v>393</v>
      </c>
      <c r="AX236" s="280" t="s">
        <v>393</v>
      </c>
      <c r="AY236" s="582"/>
      <c r="AZ236" s="276" t="s">
        <v>393</v>
      </c>
      <c r="BA236" s="980"/>
      <c r="BB236" s="547" t="s">
        <v>986</v>
      </c>
      <c r="BC236" s="276" t="s">
        <v>393</v>
      </c>
      <c r="BD236" s="980"/>
      <c r="JS236" s="5"/>
    </row>
    <row r="237" spans="1:279" s="1" customFormat="1">
      <c r="A237" s="1077"/>
      <c r="B237" s="1103"/>
      <c r="C237" s="139" t="s">
        <v>153</v>
      </c>
      <c r="D237" s="218">
        <v>1</v>
      </c>
      <c r="E237" s="280">
        <v>1</v>
      </c>
      <c r="F237" s="296"/>
      <c r="G237" s="218">
        <v>1</v>
      </c>
      <c r="H237" s="343">
        <v>0.5</v>
      </c>
      <c r="I237" s="280">
        <v>0.34</v>
      </c>
      <c r="J237" s="296"/>
      <c r="K237" s="280"/>
      <c r="L237" s="296">
        <v>1</v>
      </c>
      <c r="M237" s="280"/>
      <c r="N237" s="296">
        <v>1</v>
      </c>
      <c r="O237" s="280">
        <v>1</v>
      </c>
      <c r="P237" s="296"/>
      <c r="Q237" s="280">
        <v>0.7</v>
      </c>
      <c r="R237" s="296">
        <v>0.3</v>
      </c>
      <c r="S237" s="280">
        <v>0.5</v>
      </c>
      <c r="T237" s="85"/>
      <c r="U237" s="400"/>
      <c r="V237" s="280">
        <v>1</v>
      </c>
      <c r="W237" s="1040"/>
      <c r="X237" s="343">
        <v>1</v>
      </c>
      <c r="Y237" s="280">
        <v>1</v>
      </c>
      <c r="Z237" s="980"/>
      <c r="AA237" s="280">
        <v>1</v>
      </c>
      <c r="AB237" s="980"/>
      <c r="AC237" s="280">
        <v>0.5</v>
      </c>
      <c r="AD237" s="980"/>
      <c r="AE237" s="280">
        <v>0.5</v>
      </c>
      <c r="AF237" s="980"/>
      <c r="AG237" s="983"/>
      <c r="AH237" s="296">
        <v>1</v>
      </c>
      <c r="AI237" s="486">
        <v>1</v>
      </c>
      <c r="AJ237" s="980"/>
      <c r="AK237" s="486">
        <v>1</v>
      </c>
      <c r="AL237" s="246"/>
      <c r="AM237" s="486">
        <v>1</v>
      </c>
      <c r="AN237" s="980"/>
      <c r="AO237" s="343">
        <v>1</v>
      </c>
      <c r="AP237" s="486">
        <v>1</v>
      </c>
      <c r="AQ237" s="980"/>
      <c r="AR237" s="280"/>
      <c r="AS237" s="40">
        <v>0.33</v>
      </c>
      <c r="AT237" s="296"/>
      <c r="AU237" s="280">
        <v>1</v>
      </c>
      <c r="AV237" s="296"/>
      <c r="AW237" s="165">
        <v>1</v>
      </c>
      <c r="AX237" s="280">
        <v>1</v>
      </c>
      <c r="AY237" s="296"/>
      <c r="AZ237" s="486">
        <v>1</v>
      </c>
      <c r="BA237" s="980"/>
      <c r="BB237" s="547">
        <v>1</v>
      </c>
      <c r="BC237" s="486">
        <v>1</v>
      </c>
      <c r="BD237" s="980"/>
      <c r="JS237" s="5"/>
    </row>
    <row r="238" spans="1:279" s="1" customFormat="1" ht="24">
      <c r="A238" s="1077"/>
      <c r="B238" s="1103"/>
      <c r="C238" s="139" t="s">
        <v>154</v>
      </c>
      <c r="D238" s="227">
        <v>17</v>
      </c>
      <c r="E238" s="297">
        <v>58</v>
      </c>
      <c r="F238" s="255"/>
      <c r="G238" s="227">
        <v>37</v>
      </c>
      <c r="H238" s="154">
        <v>87</v>
      </c>
      <c r="I238" s="297">
        <v>39</v>
      </c>
      <c r="J238" s="279"/>
      <c r="K238" s="297"/>
      <c r="L238" s="279">
        <v>77</v>
      </c>
      <c r="M238" s="297"/>
      <c r="N238" s="279">
        <v>3</v>
      </c>
      <c r="O238" s="297">
        <v>110</v>
      </c>
      <c r="P238" s="279"/>
      <c r="Q238" s="297">
        <v>76</v>
      </c>
      <c r="R238" s="279">
        <v>6</v>
      </c>
      <c r="S238" s="297">
        <v>96</v>
      </c>
      <c r="T238" s="109"/>
      <c r="U238" s="400"/>
      <c r="V238" s="297">
        <v>79</v>
      </c>
      <c r="W238" s="1040"/>
      <c r="X238" s="144">
        <v>55</v>
      </c>
      <c r="Y238" s="297">
        <v>57</v>
      </c>
      <c r="Z238" s="980"/>
      <c r="AA238" s="297">
        <v>4</v>
      </c>
      <c r="AB238" s="980"/>
      <c r="AC238" s="297">
        <v>82</v>
      </c>
      <c r="AD238" s="980"/>
      <c r="AE238" s="297">
        <v>20</v>
      </c>
      <c r="AF238" s="980"/>
      <c r="AG238" s="983"/>
      <c r="AH238" s="277">
        <v>4</v>
      </c>
      <c r="AI238" s="276">
        <v>97</v>
      </c>
      <c r="AJ238" s="980"/>
      <c r="AK238" s="276">
        <v>39</v>
      </c>
      <c r="AL238" s="246"/>
      <c r="AM238" s="276">
        <v>28</v>
      </c>
      <c r="AN238" s="980"/>
      <c r="AO238" s="144">
        <v>54</v>
      </c>
      <c r="AP238" s="276">
        <v>63</v>
      </c>
      <c r="AQ238" s="980"/>
      <c r="AR238" s="297"/>
      <c r="AS238" s="122">
        <v>68</v>
      </c>
      <c r="AT238" s="279"/>
      <c r="AU238" s="297">
        <v>226</v>
      </c>
      <c r="AV238" s="279"/>
      <c r="AW238" s="169">
        <v>87</v>
      </c>
      <c r="AX238" s="297">
        <v>105</v>
      </c>
      <c r="AY238" s="279"/>
      <c r="AZ238" s="276">
        <v>52</v>
      </c>
      <c r="BA238" s="980"/>
      <c r="BB238" s="573">
        <v>68</v>
      </c>
      <c r="BC238" s="276">
        <v>62</v>
      </c>
      <c r="BD238" s="980"/>
      <c r="JS238" s="5"/>
    </row>
    <row r="239" spans="1:279" s="1" customFormat="1">
      <c r="A239" s="1077"/>
      <c r="B239" s="1103"/>
      <c r="C239" s="139" t="s">
        <v>232</v>
      </c>
      <c r="D239" s="227" t="s">
        <v>893</v>
      </c>
      <c r="E239" s="291">
        <v>3037923386</v>
      </c>
      <c r="F239" s="255"/>
      <c r="G239" s="227" t="s">
        <v>894</v>
      </c>
      <c r="H239" s="154">
        <v>45506852168</v>
      </c>
      <c r="I239" s="291">
        <v>19500128156</v>
      </c>
      <c r="J239" s="279"/>
      <c r="K239" s="291"/>
      <c r="L239" s="308">
        <v>13466945914</v>
      </c>
      <c r="M239" s="291"/>
      <c r="N239" s="308">
        <v>3476690484</v>
      </c>
      <c r="O239" s="291">
        <v>3171385964</v>
      </c>
      <c r="P239" s="308"/>
      <c r="Q239" s="1009" t="s">
        <v>1319</v>
      </c>
      <c r="R239" s="1202"/>
      <c r="S239" s="396" t="s">
        <v>1378</v>
      </c>
      <c r="T239" s="84"/>
      <c r="U239" s="400"/>
      <c r="V239" s="297" t="s">
        <v>1214</v>
      </c>
      <c r="W239" s="1040"/>
      <c r="X239" s="452">
        <v>6380.59</v>
      </c>
      <c r="Y239" s="297" t="s">
        <v>1274</v>
      </c>
      <c r="Z239" s="980"/>
      <c r="AA239" s="297" t="s">
        <v>987</v>
      </c>
      <c r="AB239" s="980"/>
      <c r="AC239" s="297" t="s">
        <v>1098</v>
      </c>
      <c r="AD239" s="980"/>
      <c r="AE239" s="291">
        <v>2906715341</v>
      </c>
      <c r="AF239" s="980"/>
      <c r="AG239" s="983"/>
      <c r="AH239" s="279">
        <v>2163.9699999999998</v>
      </c>
      <c r="AI239" s="495">
        <v>3283442193.3899999</v>
      </c>
      <c r="AJ239" s="980"/>
      <c r="AK239" s="495">
        <v>22417375595</v>
      </c>
      <c r="AL239" s="246"/>
      <c r="AM239" s="495">
        <v>2882998523</v>
      </c>
      <c r="AN239" s="980"/>
      <c r="AO239" s="515">
        <v>6551359540</v>
      </c>
      <c r="AP239" s="495">
        <v>17813863876</v>
      </c>
      <c r="AQ239" s="980"/>
      <c r="AR239" s="291"/>
      <c r="AS239" s="46">
        <v>22209012664</v>
      </c>
      <c r="AT239" s="308"/>
      <c r="AU239" s="291">
        <v>5549768094</v>
      </c>
      <c r="AV239" s="308"/>
      <c r="AW239" s="169" t="s">
        <v>825</v>
      </c>
      <c r="AX239" s="297" t="s">
        <v>1151</v>
      </c>
      <c r="AY239" s="582"/>
      <c r="AZ239" s="495">
        <v>4164.29</v>
      </c>
      <c r="BA239" s="980"/>
      <c r="BB239" s="573" t="s">
        <v>1045</v>
      </c>
      <c r="BC239" s="495">
        <v>4689.8500000000004</v>
      </c>
      <c r="BD239" s="980"/>
      <c r="JS239" s="5"/>
    </row>
    <row r="240" spans="1:279" s="1" customFormat="1" ht="24">
      <c r="A240" s="1077"/>
      <c r="B240" s="1103"/>
      <c r="C240" s="139" t="s">
        <v>155</v>
      </c>
      <c r="D240" s="228" t="s">
        <v>178</v>
      </c>
      <c r="E240" s="298">
        <v>100</v>
      </c>
      <c r="F240" s="255"/>
      <c r="G240" s="228" t="s">
        <v>178</v>
      </c>
      <c r="H240" s="154">
        <f>+H239*H237</f>
        <v>22753426084</v>
      </c>
      <c r="I240" s="298">
        <f>+I239*I237</f>
        <v>6630043573.0400009</v>
      </c>
      <c r="J240" s="279"/>
      <c r="K240" s="298"/>
      <c r="L240" s="354">
        <f>+L239</f>
        <v>13466945914</v>
      </c>
      <c r="M240" s="298"/>
      <c r="N240" s="354">
        <v>100</v>
      </c>
      <c r="O240" s="298">
        <v>100</v>
      </c>
      <c r="P240" s="354"/>
      <c r="Q240" s="298">
        <v>0.7</v>
      </c>
      <c r="R240" s="296">
        <v>0.3</v>
      </c>
      <c r="S240" s="382">
        <v>50</v>
      </c>
      <c r="T240" s="86"/>
      <c r="U240" s="400"/>
      <c r="V240" s="298">
        <v>8806.43</v>
      </c>
      <c r="W240" s="1040"/>
      <c r="X240" s="452">
        <v>6380.59</v>
      </c>
      <c r="Y240" s="298">
        <v>38893.22</v>
      </c>
      <c r="Z240" s="980"/>
      <c r="AA240" s="298">
        <v>3594.85</v>
      </c>
      <c r="AB240" s="980"/>
      <c r="AC240" s="298">
        <v>4215.96</v>
      </c>
      <c r="AD240" s="980"/>
      <c r="AE240" s="481">
        <v>2107.98</v>
      </c>
      <c r="AF240" s="980"/>
      <c r="AG240" s="983"/>
      <c r="AH240" s="279">
        <v>2163.9699999999998</v>
      </c>
      <c r="AI240" s="495">
        <v>4202.84</v>
      </c>
      <c r="AJ240" s="980"/>
      <c r="AK240" s="495">
        <v>24674.44</v>
      </c>
      <c r="AL240" s="246"/>
      <c r="AM240" s="495">
        <v>3173.27</v>
      </c>
      <c r="AN240" s="980"/>
      <c r="AO240" s="452">
        <v>10167.39</v>
      </c>
      <c r="AP240" s="495">
        <v>20293.689999999999</v>
      </c>
      <c r="AQ240" s="980"/>
      <c r="AR240" s="298"/>
      <c r="AS240" s="39">
        <f>+AS239*AS237</f>
        <v>7328974179.1199999</v>
      </c>
      <c r="AT240" s="354"/>
      <c r="AU240" s="298">
        <v>100</v>
      </c>
      <c r="AV240" s="354"/>
      <c r="AW240" s="594" t="s">
        <v>825</v>
      </c>
      <c r="AX240" s="307">
        <v>100018.5</v>
      </c>
      <c r="AY240" s="583"/>
      <c r="AZ240" s="495">
        <v>4164.29</v>
      </c>
      <c r="BA240" s="980"/>
      <c r="BB240" s="574">
        <v>100</v>
      </c>
      <c r="BC240" s="495">
        <v>4689.8500000000004</v>
      </c>
      <c r="BD240" s="980"/>
      <c r="JS240" s="5"/>
    </row>
    <row r="241" spans="1:279" s="1" customFormat="1">
      <c r="A241" s="1077"/>
      <c r="B241" s="1103"/>
      <c r="C241" s="139" t="s">
        <v>23</v>
      </c>
      <c r="D241" s="189" t="s">
        <v>394</v>
      </c>
      <c r="E241" s="245" t="s">
        <v>77</v>
      </c>
      <c r="F241" s="255"/>
      <c r="G241" s="251" t="s">
        <v>394</v>
      </c>
      <c r="H241" s="154" t="s">
        <v>394</v>
      </c>
      <c r="I241" s="253" t="s">
        <v>77</v>
      </c>
      <c r="J241" s="279"/>
      <c r="K241" s="253"/>
      <c r="L241" s="279" t="s">
        <v>394</v>
      </c>
      <c r="M241" s="253"/>
      <c r="N241" s="279" t="s">
        <v>394</v>
      </c>
      <c r="O241" s="253" t="s">
        <v>394</v>
      </c>
      <c r="P241" s="279"/>
      <c r="Q241" s="253" t="s">
        <v>77</v>
      </c>
      <c r="R241" s="279" t="s">
        <v>77</v>
      </c>
      <c r="S241" s="253" t="s">
        <v>77</v>
      </c>
      <c r="T241" s="109"/>
      <c r="U241" s="400"/>
      <c r="V241" s="253" t="s">
        <v>1082</v>
      </c>
      <c r="W241" s="1041"/>
      <c r="X241" s="144" t="s">
        <v>77</v>
      </c>
      <c r="Y241" s="253" t="s">
        <v>1082</v>
      </c>
      <c r="Z241" s="981"/>
      <c r="AA241" s="253" t="s">
        <v>77</v>
      </c>
      <c r="AB241" s="981"/>
      <c r="AC241" s="253" t="s">
        <v>77</v>
      </c>
      <c r="AD241" s="981"/>
      <c r="AE241" s="253" t="s">
        <v>77</v>
      </c>
      <c r="AF241" s="981"/>
      <c r="AG241" s="984"/>
      <c r="AH241" s="246" t="s">
        <v>77</v>
      </c>
      <c r="AI241" s="276" t="s">
        <v>77</v>
      </c>
      <c r="AJ241" s="981"/>
      <c r="AK241" s="276" t="s">
        <v>77</v>
      </c>
      <c r="AL241" s="246"/>
      <c r="AM241" s="276" t="s">
        <v>77</v>
      </c>
      <c r="AN241" s="981"/>
      <c r="AO241" s="144" t="s">
        <v>77</v>
      </c>
      <c r="AP241" s="276" t="s">
        <v>77</v>
      </c>
      <c r="AQ241" s="980"/>
      <c r="AR241" s="253"/>
      <c r="AS241" s="122" t="s">
        <v>394</v>
      </c>
      <c r="AT241" s="279"/>
      <c r="AU241" s="253" t="s">
        <v>394</v>
      </c>
      <c r="AV241" s="279"/>
      <c r="AW241" s="143" t="s">
        <v>394</v>
      </c>
      <c r="AX241" s="253" t="s">
        <v>77</v>
      </c>
      <c r="AY241" s="279"/>
      <c r="AZ241" s="276" t="s">
        <v>77</v>
      </c>
      <c r="BA241" s="981"/>
      <c r="BB241" s="252" t="s">
        <v>77</v>
      </c>
      <c r="BC241" s="276" t="s">
        <v>77</v>
      </c>
      <c r="BD241" s="981"/>
      <c r="JS241" s="5"/>
    </row>
    <row r="242" spans="1:279" s="1" customFormat="1" ht="18">
      <c r="A242" s="1077"/>
      <c r="B242" s="1103"/>
      <c r="C242" s="140" t="s">
        <v>184</v>
      </c>
      <c r="D242" s="206"/>
      <c r="E242" s="261"/>
      <c r="F242" s="299"/>
      <c r="G242" s="206"/>
      <c r="H242" s="344"/>
      <c r="I242" s="261"/>
      <c r="J242" s="299"/>
      <c r="K242" s="261"/>
      <c r="L242" s="299"/>
      <c r="M242" s="261"/>
      <c r="N242" s="299"/>
      <c r="O242" s="261"/>
      <c r="P242" s="299"/>
      <c r="Q242" s="261"/>
      <c r="R242" s="299"/>
      <c r="S242" s="261"/>
      <c r="T242" s="87"/>
      <c r="U242" s="93"/>
      <c r="V242" s="261"/>
      <c r="W242" s="87"/>
      <c r="X242" s="156"/>
      <c r="Y242" s="261"/>
      <c r="Z242" s="299"/>
      <c r="AA242" s="261"/>
      <c r="AB242" s="299"/>
      <c r="AC242" s="261"/>
      <c r="AD242" s="299"/>
      <c r="AE242" s="261"/>
      <c r="AF242" s="299"/>
      <c r="AG242" s="261"/>
      <c r="AH242" s="299"/>
      <c r="AI242" s="261"/>
      <c r="AJ242" s="299"/>
      <c r="AK242" s="261"/>
      <c r="AL242" s="507"/>
      <c r="AM242" s="261"/>
      <c r="AN242" s="507"/>
      <c r="AO242" s="156"/>
      <c r="AP242" s="261"/>
      <c r="AQ242" s="507"/>
      <c r="AR242" s="261"/>
      <c r="AS242" s="48"/>
      <c r="AT242" s="299"/>
      <c r="AU242" s="261"/>
      <c r="AV242" s="299"/>
      <c r="AW242" s="156"/>
      <c r="AX242" s="261"/>
      <c r="AY242" s="299"/>
      <c r="AZ242" s="261"/>
      <c r="BA242" s="507"/>
      <c r="BB242" s="559"/>
      <c r="BC242" s="261"/>
      <c r="BD242" s="507"/>
      <c r="JS242" s="5"/>
    </row>
    <row r="243" spans="1:279" s="1" customFormat="1">
      <c r="A243" s="1077"/>
      <c r="B243" s="1103"/>
      <c r="C243" s="138" t="s">
        <v>119</v>
      </c>
      <c r="D243" s="207"/>
      <c r="E243" s="262"/>
      <c r="F243" s="255"/>
      <c r="G243" s="207"/>
      <c r="H243" s="154"/>
      <c r="I243" s="262"/>
      <c r="J243" s="279"/>
      <c r="K243" s="262"/>
      <c r="L243" s="279"/>
      <c r="M243" s="262"/>
      <c r="N243" s="279"/>
      <c r="O243" s="262"/>
      <c r="P243" s="279"/>
      <c r="Q243" s="381" t="s">
        <v>988</v>
      </c>
      <c r="R243" s="279"/>
      <c r="S243" s="262"/>
      <c r="T243" s="397" t="s">
        <v>1379</v>
      </c>
      <c r="U243" s="400"/>
      <c r="V243" s="262" t="s">
        <v>1215</v>
      </c>
      <c r="W243" s="109"/>
      <c r="X243" s="1056" t="s">
        <v>178</v>
      </c>
      <c r="Y243" s="262" t="s">
        <v>1215</v>
      </c>
      <c r="Z243" s="279" t="s">
        <v>1275</v>
      </c>
      <c r="AA243" s="262" t="s">
        <v>988</v>
      </c>
      <c r="AB243" s="279" t="s">
        <v>923</v>
      </c>
      <c r="AC243" s="982" t="s">
        <v>178</v>
      </c>
      <c r="AD243" s="279" t="s">
        <v>1099</v>
      </c>
      <c r="AE243" s="982" t="s">
        <v>178</v>
      </c>
      <c r="AF243" s="279" t="s">
        <v>330</v>
      </c>
      <c r="AG243" s="982" t="s">
        <v>178</v>
      </c>
      <c r="AH243" s="979" t="s">
        <v>178</v>
      </c>
      <c r="AI243" s="982" t="s">
        <v>178</v>
      </c>
      <c r="AJ243" s="979" t="s">
        <v>178</v>
      </c>
      <c r="AK243" s="982" t="s">
        <v>178</v>
      </c>
      <c r="AL243" s="979" t="s">
        <v>178</v>
      </c>
      <c r="AM243" s="982" t="s">
        <v>178</v>
      </c>
      <c r="AN243" s="979" t="s">
        <v>178</v>
      </c>
      <c r="AO243" s="1056" t="s">
        <v>178</v>
      </c>
      <c r="AP243" s="982" t="s">
        <v>178</v>
      </c>
      <c r="AQ243" s="979" t="s">
        <v>178</v>
      </c>
      <c r="AR243" s="262"/>
      <c r="AS243" s="122"/>
      <c r="AT243" s="279"/>
      <c r="AU243" s="262"/>
      <c r="AV243" s="279"/>
      <c r="AW243" s="172" t="s">
        <v>788</v>
      </c>
      <c r="AX243" s="262"/>
      <c r="AY243" s="279" t="s">
        <v>1152</v>
      </c>
      <c r="AZ243" s="982" t="s">
        <v>178</v>
      </c>
      <c r="BA243" s="979" t="s">
        <v>178</v>
      </c>
      <c r="BB243" s="560" t="s">
        <v>1043</v>
      </c>
      <c r="BC243" s="982" t="s">
        <v>178</v>
      </c>
      <c r="BD243" s="979" t="s">
        <v>178</v>
      </c>
      <c r="JS243" s="5"/>
    </row>
    <row r="244" spans="1:279" s="1" customFormat="1">
      <c r="A244" s="1077"/>
      <c r="B244" s="1103"/>
      <c r="C244" s="139" t="s">
        <v>24</v>
      </c>
      <c r="D244" s="207"/>
      <c r="E244" s="262"/>
      <c r="F244" s="255"/>
      <c r="G244" s="207"/>
      <c r="H244" s="154"/>
      <c r="I244" s="262"/>
      <c r="J244" s="279"/>
      <c r="K244" s="262"/>
      <c r="L244" s="279"/>
      <c r="M244" s="262"/>
      <c r="N244" s="279"/>
      <c r="O244" s="262"/>
      <c r="P244" s="279"/>
      <c r="Q244" s="381" t="s">
        <v>989</v>
      </c>
      <c r="R244" s="279"/>
      <c r="S244" s="262"/>
      <c r="T244" s="109" t="s">
        <v>1380</v>
      </c>
      <c r="U244" s="400"/>
      <c r="V244" s="262" t="s">
        <v>1216</v>
      </c>
      <c r="W244" s="109"/>
      <c r="X244" s="1057"/>
      <c r="Y244" s="262" t="s">
        <v>1216</v>
      </c>
      <c r="Z244" s="279" t="s">
        <v>1276</v>
      </c>
      <c r="AA244" s="262" t="s">
        <v>989</v>
      </c>
      <c r="AB244" s="279" t="s">
        <v>990</v>
      </c>
      <c r="AC244" s="983"/>
      <c r="AD244" s="279" t="s">
        <v>1100</v>
      </c>
      <c r="AE244" s="983"/>
      <c r="AF244" s="279" t="s">
        <v>392</v>
      </c>
      <c r="AG244" s="983"/>
      <c r="AH244" s="980"/>
      <c r="AI244" s="983"/>
      <c r="AJ244" s="980"/>
      <c r="AK244" s="983"/>
      <c r="AL244" s="980"/>
      <c r="AM244" s="983"/>
      <c r="AN244" s="980"/>
      <c r="AO244" s="1057"/>
      <c r="AP244" s="983"/>
      <c r="AQ244" s="980"/>
      <c r="AR244" s="262"/>
      <c r="AS244" s="122"/>
      <c r="AT244" s="279"/>
      <c r="AU244" s="262"/>
      <c r="AV244" s="279"/>
      <c r="AW244" s="157" t="s">
        <v>826</v>
      </c>
      <c r="AX244" s="262"/>
      <c r="AY244" s="279" t="s">
        <v>1153</v>
      </c>
      <c r="AZ244" s="983"/>
      <c r="BA244" s="980"/>
      <c r="BB244" s="560" t="s">
        <v>1046</v>
      </c>
      <c r="BC244" s="983"/>
      <c r="BD244" s="980"/>
      <c r="JS244" s="5"/>
    </row>
    <row r="245" spans="1:279" s="1" customFormat="1">
      <c r="A245" s="1077"/>
      <c r="B245" s="1103"/>
      <c r="C245" s="139" t="s">
        <v>152</v>
      </c>
      <c r="D245" s="218"/>
      <c r="E245" s="280"/>
      <c r="F245" s="255"/>
      <c r="G245" s="218"/>
      <c r="H245" s="154"/>
      <c r="I245" s="280"/>
      <c r="J245" s="279"/>
      <c r="K245" s="280"/>
      <c r="L245" s="279"/>
      <c r="M245" s="280"/>
      <c r="N245" s="279"/>
      <c r="O245" s="280"/>
      <c r="P245" s="279"/>
      <c r="Q245" s="280" t="s">
        <v>991</v>
      </c>
      <c r="R245" s="279"/>
      <c r="S245" s="280"/>
      <c r="T245" s="109" t="s">
        <v>1217</v>
      </c>
      <c r="U245" s="400"/>
      <c r="V245" s="280" t="s">
        <v>1217</v>
      </c>
      <c r="W245" s="109"/>
      <c r="X245" s="1057"/>
      <c r="Y245" s="280" t="s">
        <v>1217</v>
      </c>
      <c r="Z245" s="279" t="s">
        <v>1217</v>
      </c>
      <c r="AA245" s="280" t="s">
        <v>991</v>
      </c>
      <c r="AB245" s="279" t="s">
        <v>986</v>
      </c>
      <c r="AC245" s="983"/>
      <c r="AD245" s="279" t="s">
        <v>986</v>
      </c>
      <c r="AE245" s="983"/>
      <c r="AF245" s="279" t="s">
        <v>393</v>
      </c>
      <c r="AG245" s="983"/>
      <c r="AH245" s="980"/>
      <c r="AI245" s="983"/>
      <c r="AJ245" s="980"/>
      <c r="AK245" s="983"/>
      <c r="AL245" s="980"/>
      <c r="AM245" s="983"/>
      <c r="AN245" s="980"/>
      <c r="AO245" s="1057"/>
      <c r="AP245" s="983"/>
      <c r="AQ245" s="980"/>
      <c r="AR245" s="280"/>
      <c r="AS245" s="122"/>
      <c r="AT245" s="279"/>
      <c r="AU245" s="280"/>
      <c r="AV245" s="279"/>
      <c r="AW245" s="165" t="s">
        <v>393</v>
      </c>
      <c r="AX245" s="280"/>
      <c r="AY245" s="279" t="s">
        <v>986</v>
      </c>
      <c r="AZ245" s="983"/>
      <c r="BA245" s="980"/>
      <c r="BB245" s="547" t="s">
        <v>986</v>
      </c>
      <c r="BC245" s="983"/>
      <c r="BD245" s="980"/>
      <c r="JS245" s="5"/>
    </row>
    <row r="246" spans="1:279" s="1" customFormat="1">
      <c r="A246" s="1077"/>
      <c r="B246" s="1103"/>
      <c r="C246" s="139" t="s">
        <v>153</v>
      </c>
      <c r="D246" s="218"/>
      <c r="E246" s="280"/>
      <c r="F246" s="255"/>
      <c r="G246" s="218"/>
      <c r="H246" s="154"/>
      <c r="I246" s="280"/>
      <c r="J246" s="279"/>
      <c r="K246" s="280"/>
      <c r="L246" s="279"/>
      <c r="M246" s="280"/>
      <c r="N246" s="279"/>
      <c r="O246" s="280"/>
      <c r="P246" s="279"/>
      <c r="Q246" s="280">
        <v>1</v>
      </c>
      <c r="R246" s="279"/>
      <c r="S246" s="280"/>
      <c r="T246" s="85">
        <v>0.5</v>
      </c>
      <c r="U246" s="400"/>
      <c r="V246" s="280">
        <v>0.5</v>
      </c>
      <c r="W246" s="109"/>
      <c r="X246" s="1057"/>
      <c r="Y246" s="280">
        <v>0.5</v>
      </c>
      <c r="Z246" s="296">
        <v>0.5</v>
      </c>
      <c r="AA246" s="280">
        <v>1</v>
      </c>
      <c r="AB246" s="296">
        <v>1</v>
      </c>
      <c r="AC246" s="983"/>
      <c r="AD246" s="296">
        <v>1</v>
      </c>
      <c r="AE246" s="983"/>
      <c r="AF246" s="296">
        <v>1</v>
      </c>
      <c r="AG246" s="983"/>
      <c r="AH246" s="980"/>
      <c r="AI246" s="983"/>
      <c r="AJ246" s="980"/>
      <c r="AK246" s="983"/>
      <c r="AL246" s="980"/>
      <c r="AM246" s="983"/>
      <c r="AN246" s="980"/>
      <c r="AO246" s="1057"/>
      <c r="AP246" s="983"/>
      <c r="AQ246" s="980"/>
      <c r="AR246" s="280"/>
      <c r="AS246" s="122"/>
      <c r="AT246" s="279"/>
      <c r="AU246" s="280"/>
      <c r="AV246" s="279"/>
      <c r="AW246" s="165">
        <v>1</v>
      </c>
      <c r="AX246" s="280"/>
      <c r="AY246" s="296">
        <v>1</v>
      </c>
      <c r="AZ246" s="983"/>
      <c r="BA246" s="980"/>
      <c r="BB246" s="547">
        <v>1</v>
      </c>
      <c r="BC246" s="983"/>
      <c r="BD246" s="980"/>
      <c r="JS246" s="5"/>
    </row>
    <row r="247" spans="1:279" s="1" customFormat="1" ht="24">
      <c r="A247" s="1077"/>
      <c r="B247" s="1103"/>
      <c r="C247" s="139" t="s">
        <v>154</v>
      </c>
      <c r="D247" s="189"/>
      <c r="E247" s="245"/>
      <c r="F247" s="259"/>
      <c r="G247" s="251"/>
      <c r="H247" s="335"/>
      <c r="I247" s="253"/>
      <c r="J247" s="259"/>
      <c r="K247" s="253"/>
      <c r="L247" s="259"/>
      <c r="M247" s="253"/>
      <c r="N247" s="259"/>
      <c r="O247" s="253"/>
      <c r="P247" s="259"/>
      <c r="Q247" s="253">
        <v>100</v>
      </c>
      <c r="R247" s="259"/>
      <c r="S247" s="253"/>
      <c r="T247" s="109">
        <v>11</v>
      </c>
      <c r="U247" s="400"/>
      <c r="V247" s="253">
        <v>77</v>
      </c>
      <c r="W247" s="71"/>
      <c r="X247" s="1057"/>
      <c r="Y247" s="253">
        <v>77</v>
      </c>
      <c r="Z247" s="279">
        <v>19</v>
      </c>
      <c r="AA247" s="253">
        <v>100</v>
      </c>
      <c r="AB247" s="279">
        <v>51</v>
      </c>
      <c r="AC247" s="983"/>
      <c r="AD247" s="279">
        <v>3</v>
      </c>
      <c r="AE247" s="983"/>
      <c r="AF247" s="279">
        <v>3</v>
      </c>
      <c r="AG247" s="983"/>
      <c r="AH247" s="980"/>
      <c r="AI247" s="983"/>
      <c r="AJ247" s="980"/>
      <c r="AK247" s="983"/>
      <c r="AL247" s="980"/>
      <c r="AM247" s="983"/>
      <c r="AN247" s="980"/>
      <c r="AO247" s="1057"/>
      <c r="AP247" s="983"/>
      <c r="AQ247" s="980"/>
      <c r="AR247" s="253"/>
      <c r="AS247" s="41"/>
      <c r="AT247" s="259"/>
      <c r="AU247" s="253"/>
      <c r="AV247" s="259"/>
      <c r="AW247" s="143">
        <v>51</v>
      </c>
      <c r="AX247" s="253"/>
      <c r="AY247" s="279">
        <v>1</v>
      </c>
      <c r="AZ247" s="983"/>
      <c r="BA247" s="980"/>
      <c r="BB247" s="252">
        <v>85</v>
      </c>
      <c r="BC247" s="983"/>
      <c r="BD247" s="980"/>
      <c r="JS247" s="5"/>
    </row>
    <row r="248" spans="1:279" s="1" customFormat="1">
      <c r="A248" s="1077"/>
      <c r="B248" s="1103"/>
      <c r="C248" s="139" t="s">
        <v>232</v>
      </c>
      <c r="D248" s="228"/>
      <c r="E248" s="298"/>
      <c r="F248" s="259"/>
      <c r="G248" s="228"/>
      <c r="H248" s="335"/>
      <c r="I248" s="298"/>
      <c r="J248" s="259"/>
      <c r="K248" s="298"/>
      <c r="L248" s="259"/>
      <c r="M248" s="298"/>
      <c r="N248" s="259"/>
      <c r="O248" s="298"/>
      <c r="P248" s="259"/>
      <c r="Q248" s="382" t="s">
        <v>992</v>
      </c>
      <c r="R248" s="259"/>
      <c r="S248" s="307"/>
      <c r="T248" s="395" t="s">
        <v>1381</v>
      </c>
      <c r="U248" s="400"/>
      <c r="V248" s="383" t="s">
        <v>1218</v>
      </c>
      <c r="W248" s="71"/>
      <c r="X248" s="1057"/>
      <c r="Y248" s="466" t="s">
        <v>1218</v>
      </c>
      <c r="Z248" s="279" t="s">
        <v>1277</v>
      </c>
      <c r="AA248" s="307" t="s">
        <v>992</v>
      </c>
      <c r="AB248" s="279" t="s">
        <v>993</v>
      </c>
      <c r="AC248" s="983"/>
      <c r="AD248" s="279" t="s">
        <v>1101</v>
      </c>
      <c r="AE248" s="983"/>
      <c r="AF248" s="308">
        <v>1243239696</v>
      </c>
      <c r="AG248" s="983"/>
      <c r="AH248" s="980"/>
      <c r="AI248" s="983"/>
      <c r="AJ248" s="980"/>
      <c r="AK248" s="983"/>
      <c r="AL248" s="980"/>
      <c r="AM248" s="983"/>
      <c r="AN248" s="980"/>
      <c r="AO248" s="1057"/>
      <c r="AP248" s="983"/>
      <c r="AQ248" s="980"/>
      <c r="AR248" s="298"/>
      <c r="AS248" s="41"/>
      <c r="AT248" s="259"/>
      <c r="AU248" s="298"/>
      <c r="AV248" s="259"/>
      <c r="AW248" s="174" t="s">
        <v>827</v>
      </c>
      <c r="AX248" s="307"/>
      <c r="AY248" s="279" t="s">
        <v>1154</v>
      </c>
      <c r="AZ248" s="983"/>
      <c r="BA248" s="980"/>
      <c r="BB248" s="575" t="s">
        <v>1047</v>
      </c>
      <c r="BC248" s="983"/>
      <c r="BD248" s="980"/>
      <c r="JS248" s="5"/>
    </row>
    <row r="249" spans="1:279" s="1" customFormat="1" ht="24">
      <c r="A249" s="1077"/>
      <c r="B249" s="1103"/>
      <c r="C249" s="139" t="s">
        <v>155</v>
      </c>
      <c r="D249" s="228"/>
      <c r="E249" s="298"/>
      <c r="F249" s="259"/>
      <c r="G249" s="228"/>
      <c r="H249" s="335"/>
      <c r="I249" s="298"/>
      <c r="J249" s="259"/>
      <c r="K249" s="298"/>
      <c r="L249" s="259"/>
      <c r="M249" s="298"/>
      <c r="N249" s="259"/>
      <c r="O249" s="298"/>
      <c r="P249" s="259"/>
      <c r="Q249" s="382">
        <v>4690.3900000000003</v>
      </c>
      <c r="R249" s="259"/>
      <c r="S249" s="298"/>
      <c r="T249" s="85">
        <v>0.5</v>
      </c>
      <c r="U249" s="400"/>
      <c r="V249" s="298"/>
      <c r="W249" s="71"/>
      <c r="X249" s="1057"/>
      <c r="Y249" s="298"/>
      <c r="Z249" s="279" t="s">
        <v>1278</v>
      </c>
      <c r="AA249" s="298">
        <v>100</v>
      </c>
      <c r="AB249" s="296">
        <v>1</v>
      </c>
      <c r="AC249" s="983"/>
      <c r="AD249" s="468">
        <v>1461.4</v>
      </c>
      <c r="AE249" s="983"/>
      <c r="AF249" s="279">
        <v>1357.29</v>
      </c>
      <c r="AG249" s="983"/>
      <c r="AH249" s="980"/>
      <c r="AI249" s="983"/>
      <c r="AJ249" s="980"/>
      <c r="AK249" s="983"/>
      <c r="AL249" s="980"/>
      <c r="AM249" s="983"/>
      <c r="AN249" s="980"/>
      <c r="AO249" s="1057"/>
      <c r="AP249" s="983"/>
      <c r="AQ249" s="980"/>
      <c r="AR249" s="298"/>
      <c r="AS249" s="41"/>
      <c r="AT249" s="259"/>
      <c r="AU249" s="298"/>
      <c r="AV249" s="259"/>
      <c r="AW249" s="174" t="s">
        <v>827</v>
      </c>
      <c r="AX249" s="298"/>
      <c r="AY249" s="296">
        <v>1</v>
      </c>
      <c r="AZ249" s="983"/>
      <c r="BA249" s="980"/>
      <c r="BB249" s="575">
        <v>1</v>
      </c>
      <c r="BC249" s="983"/>
      <c r="BD249" s="980"/>
      <c r="JS249" s="5"/>
    </row>
    <row r="250" spans="1:279" s="1" customFormat="1">
      <c r="A250" s="1077"/>
      <c r="B250" s="1103"/>
      <c r="C250" s="139" t="s">
        <v>159</v>
      </c>
      <c r="D250" s="189"/>
      <c r="E250" s="245"/>
      <c r="F250" s="259"/>
      <c r="G250" s="251"/>
      <c r="H250" s="335"/>
      <c r="I250" s="253"/>
      <c r="J250" s="259"/>
      <c r="K250" s="253"/>
      <c r="L250" s="259"/>
      <c r="M250" s="253"/>
      <c r="N250" s="259"/>
      <c r="O250" s="253"/>
      <c r="P250" s="259"/>
      <c r="Q250" s="253" t="s">
        <v>77</v>
      </c>
      <c r="R250" s="259"/>
      <c r="S250" s="253"/>
      <c r="T250" s="109" t="s">
        <v>77</v>
      </c>
      <c r="U250" s="400"/>
      <c r="V250" s="253" t="s">
        <v>1082</v>
      </c>
      <c r="W250" s="71"/>
      <c r="X250" s="1058"/>
      <c r="Y250" s="253" t="s">
        <v>1082</v>
      </c>
      <c r="Z250" s="279" t="s">
        <v>1082</v>
      </c>
      <c r="AA250" s="253" t="s">
        <v>77</v>
      </c>
      <c r="AB250" s="279" t="s">
        <v>77</v>
      </c>
      <c r="AC250" s="984"/>
      <c r="AD250" s="279" t="s">
        <v>77</v>
      </c>
      <c r="AE250" s="984"/>
      <c r="AF250" s="279" t="s">
        <v>394</v>
      </c>
      <c r="AG250" s="984"/>
      <c r="AH250" s="981"/>
      <c r="AI250" s="984"/>
      <c r="AJ250" s="981"/>
      <c r="AK250" s="984"/>
      <c r="AL250" s="981"/>
      <c r="AM250" s="984"/>
      <c r="AN250" s="981"/>
      <c r="AO250" s="1058"/>
      <c r="AP250" s="984"/>
      <c r="AQ250" s="981"/>
      <c r="AR250" s="253"/>
      <c r="AS250" s="41"/>
      <c r="AT250" s="259"/>
      <c r="AU250" s="253"/>
      <c r="AV250" s="259"/>
      <c r="AW250" s="143" t="s">
        <v>394</v>
      </c>
      <c r="AX250" s="253"/>
      <c r="AY250" s="279" t="s">
        <v>77</v>
      </c>
      <c r="AZ250" s="984"/>
      <c r="BA250" s="981"/>
      <c r="BB250" s="252" t="s">
        <v>77</v>
      </c>
      <c r="BC250" s="984"/>
      <c r="BD250" s="981"/>
      <c r="JS250" s="5"/>
    </row>
    <row r="251" spans="1:279" s="1" customFormat="1" ht="18">
      <c r="A251" s="1077"/>
      <c r="B251" s="1103"/>
      <c r="C251" s="140" t="s">
        <v>183</v>
      </c>
      <c r="D251" s="206"/>
      <c r="E251" s="261"/>
      <c r="F251" s="244"/>
      <c r="G251" s="206"/>
      <c r="H251" s="330"/>
      <c r="I251" s="261"/>
      <c r="J251" s="244"/>
      <c r="K251" s="261"/>
      <c r="L251" s="244"/>
      <c r="M251" s="261"/>
      <c r="N251" s="244"/>
      <c r="O251" s="261"/>
      <c r="P251" s="244"/>
      <c r="Q251" s="261"/>
      <c r="R251" s="244"/>
      <c r="S251" s="261"/>
      <c r="T251" s="72"/>
      <c r="U251" s="72"/>
      <c r="V251" s="261"/>
      <c r="W251" s="72"/>
      <c r="X251" s="156"/>
      <c r="Y251" s="261"/>
      <c r="Z251" s="244"/>
      <c r="AA251" s="261"/>
      <c r="AB251" s="244"/>
      <c r="AC251" s="261"/>
      <c r="AD251" s="244"/>
      <c r="AE251" s="261"/>
      <c r="AF251" s="244"/>
      <c r="AG251" s="261"/>
      <c r="AH251" s="244"/>
      <c r="AI251" s="261"/>
      <c r="AJ251" s="244"/>
      <c r="AK251" s="261"/>
      <c r="AL251" s="244"/>
      <c r="AM251" s="261"/>
      <c r="AN251" s="244"/>
      <c r="AO251" s="156"/>
      <c r="AP251" s="261"/>
      <c r="AQ251" s="244"/>
      <c r="AR251" s="261"/>
      <c r="AS251" s="32"/>
      <c r="AT251" s="244"/>
      <c r="AU251" s="261"/>
      <c r="AV251" s="244"/>
      <c r="AW251" s="156"/>
      <c r="AX251" s="261"/>
      <c r="AY251" s="244"/>
      <c r="AZ251" s="261"/>
      <c r="BA251" s="244"/>
      <c r="BB251" s="559"/>
      <c r="BC251" s="261"/>
      <c r="BD251" s="244"/>
      <c r="JS251" s="5"/>
    </row>
    <row r="252" spans="1:279" s="1" customFormat="1" ht="24">
      <c r="A252" s="1077"/>
      <c r="B252" s="1103"/>
      <c r="C252" s="138" t="s">
        <v>119</v>
      </c>
      <c r="D252" s="229"/>
      <c r="E252" s="300"/>
      <c r="F252" s="259"/>
      <c r="G252" s="229"/>
      <c r="H252" s="335"/>
      <c r="I252" s="300"/>
      <c r="J252" s="259"/>
      <c r="K252" s="300"/>
      <c r="L252" s="259"/>
      <c r="M252" s="300"/>
      <c r="N252" s="259"/>
      <c r="O252" s="300"/>
      <c r="P252" s="259"/>
      <c r="Q252" s="300"/>
      <c r="R252" s="259"/>
      <c r="S252" s="300"/>
      <c r="T252" s="71"/>
      <c r="U252" s="118" t="s">
        <v>1329</v>
      </c>
      <c r="V252" s="300"/>
      <c r="W252" s="71" t="s">
        <v>1165</v>
      </c>
      <c r="X252" s="1056" t="s">
        <v>178</v>
      </c>
      <c r="Y252" s="982" t="s">
        <v>178</v>
      </c>
      <c r="Z252" s="259" t="s">
        <v>1279</v>
      </c>
      <c r="AA252" s="982" t="s">
        <v>178</v>
      </c>
      <c r="AB252" s="979" t="s">
        <v>178</v>
      </c>
      <c r="AC252" s="982" t="s">
        <v>178</v>
      </c>
      <c r="AD252" s="979" t="s">
        <v>178</v>
      </c>
      <c r="AE252" s="982" t="s">
        <v>178</v>
      </c>
      <c r="AF252" s="979" t="s">
        <v>178</v>
      </c>
      <c r="AG252" s="248" t="s">
        <v>400</v>
      </c>
      <c r="AH252" s="979"/>
      <c r="AI252" s="982" t="s">
        <v>178</v>
      </c>
      <c r="AJ252" s="979" t="s">
        <v>178</v>
      </c>
      <c r="AK252" s="982" t="s">
        <v>178</v>
      </c>
      <c r="AL252" s="979" t="s">
        <v>178</v>
      </c>
      <c r="AM252" s="982" t="s">
        <v>178</v>
      </c>
      <c r="AN252" s="979" t="s">
        <v>178</v>
      </c>
      <c r="AO252" s="1056" t="s">
        <v>178</v>
      </c>
      <c r="AP252" s="982" t="s">
        <v>178</v>
      </c>
      <c r="AQ252" s="979" t="s">
        <v>178</v>
      </c>
      <c r="AR252" s="300"/>
      <c r="AS252" s="41"/>
      <c r="AT252" s="259"/>
      <c r="AU252" s="300"/>
      <c r="AV252" s="259"/>
      <c r="AW252" s="347" t="s">
        <v>788</v>
      </c>
      <c r="AX252" s="300"/>
      <c r="AY252" s="259"/>
      <c r="AZ252" s="982" t="s">
        <v>178</v>
      </c>
      <c r="BA252" s="979" t="s">
        <v>178</v>
      </c>
      <c r="BB252" s="576"/>
      <c r="BC252" s="982" t="s">
        <v>178</v>
      </c>
      <c r="BD252" s="979" t="s">
        <v>178</v>
      </c>
      <c r="JS252" s="5"/>
    </row>
    <row r="253" spans="1:279" s="1" customFormat="1" ht="24">
      <c r="A253" s="1077"/>
      <c r="B253" s="1103"/>
      <c r="C253" s="139" t="s">
        <v>24</v>
      </c>
      <c r="D253" s="229"/>
      <c r="E253" s="300"/>
      <c r="F253" s="259"/>
      <c r="G253" s="229"/>
      <c r="H253" s="335"/>
      <c r="I253" s="300"/>
      <c r="J253" s="259"/>
      <c r="K253" s="300"/>
      <c r="L253" s="259"/>
      <c r="M253" s="300"/>
      <c r="N253" s="259"/>
      <c r="O253" s="300"/>
      <c r="P253" s="259"/>
      <c r="Q253" s="300"/>
      <c r="R253" s="259"/>
      <c r="S253" s="300"/>
      <c r="T253" s="71"/>
      <c r="U253" s="118" t="s">
        <v>1382</v>
      </c>
      <c r="V253" s="300"/>
      <c r="W253" s="71" t="s">
        <v>1219</v>
      </c>
      <c r="X253" s="1057"/>
      <c r="Y253" s="983"/>
      <c r="Z253" s="259" t="s">
        <v>1280</v>
      </c>
      <c r="AA253" s="983"/>
      <c r="AB253" s="980"/>
      <c r="AC253" s="983"/>
      <c r="AD253" s="980"/>
      <c r="AE253" s="983"/>
      <c r="AF253" s="980"/>
      <c r="AG253" s="248" t="s">
        <v>455</v>
      </c>
      <c r="AH253" s="980"/>
      <c r="AI253" s="983"/>
      <c r="AJ253" s="980"/>
      <c r="AK253" s="983"/>
      <c r="AL253" s="980"/>
      <c r="AM253" s="983"/>
      <c r="AN253" s="980"/>
      <c r="AO253" s="1057"/>
      <c r="AP253" s="983"/>
      <c r="AQ253" s="980"/>
      <c r="AR253" s="300"/>
      <c r="AS253" s="41"/>
      <c r="AT253" s="259"/>
      <c r="AU253" s="300"/>
      <c r="AV253" s="259"/>
      <c r="AW253" s="347" t="s">
        <v>828</v>
      </c>
      <c r="AX253" s="300"/>
      <c r="AY253" s="259"/>
      <c r="AZ253" s="983"/>
      <c r="BA253" s="980"/>
      <c r="BB253" s="576"/>
      <c r="BC253" s="983"/>
      <c r="BD253" s="980"/>
      <c r="JS253" s="5"/>
    </row>
    <row r="254" spans="1:279" s="1" customFormat="1">
      <c r="A254" s="1077"/>
      <c r="B254" s="1103"/>
      <c r="C254" s="139" t="s">
        <v>152</v>
      </c>
      <c r="D254" s="229"/>
      <c r="E254" s="300"/>
      <c r="F254" s="259"/>
      <c r="G254" s="229"/>
      <c r="H254" s="335"/>
      <c r="I254" s="300"/>
      <c r="J254" s="259"/>
      <c r="K254" s="300"/>
      <c r="L254" s="259"/>
      <c r="M254" s="300"/>
      <c r="N254" s="259"/>
      <c r="O254" s="300"/>
      <c r="P254" s="259"/>
      <c r="Q254" s="300"/>
      <c r="R254" s="259"/>
      <c r="S254" s="300"/>
      <c r="T254" s="71"/>
      <c r="U254" s="118" t="s">
        <v>986</v>
      </c>
      <c r="V254" s="300"/>
      <c r="W254" s="71" t="s">
        <v>991</v>
      </c>
      <c r="X254" s="1057"/>
      <c r="Y254" s="983"/>
      <c r="Z254" s="279" t="s">
        <v>1217</v>
      </c>
      <c r="AA254" s="983"/>
      <c r="AB254" s="980"/>
      <c r="AC254" s="983"/>
      <c r="AD254" s="980"/>
      <c r="AE254" s="983"/>
      <c r="AF254" s="980"/>
      <c r="AG254" s="278" t="s">
        <v>393</v>
      </c>
      <c r="AH254" s="980"/>
      <c r="AI254" s="983"/>
      <c r="AJ254" s="980"/>
      <c r="AK254" s="983"/>
      <c r="AL254" s="980"/>
      <c r="AM254" s="983"/>
      <c r="AN254" s="980"/>
      <c r="AO254" s="1057"/>
      <c r="AP254" s="983"/>
      <c r="AQ254" s="980"/>
      <c r="AR254" s="300"/>
      <c r="AS254" s="41"/>
      <c r="AT254" s="259"/>
      <c r="AU254" s="300"/>
      <c r="AV254" s="259"/>
      <c r="AW254" s="347" t="s">
        <v>829</v>
      </c>
      <c r="AX254" s="300"/>
      <c r="AY254" s="259"/>
      <c r="AZ254" s="983"/>
      <c r="BA254" s="980"/>
      <c r="BB254" s="576"/>
      <c r="BC254" s="983"/>
      <c r="BD254" s="980"/>
      <c r="JS254" s="5"/>
    </row>
    <row r="255" spans="1:279" s="1" customFormat="1">
      <c r="A255" s="1077"/>
      <c r="B255" s="1103"/>
      <c r="C255" s="139" t="s">
        <v>153</v>
      </c>
      <c r="D255" s="229"/>
      <c r="E255" s="300"/>
      <c r="F255" s="259"/>
      <c r="G255" s="229"/>
      <c r="H255" s="335"/>
      <c r="I255" s="300"/>
      <c r="J255" s="259"/>
      <c r="K255" s="300"/>
      <c r="L255" s="259"/>
      <c r="M255" s="300"/>
      <c r="N255" s="259"/>
      <c r="O255" s="300"/>
      <c r="P255" s="259"/>
      <c r="Q255" s="300"/>
      <c r="R255" s="259"/>
      <c r="S255" s="300"/>
      <c r="T255" s="71"/>
      <c r="U255" s="404">
        <v>1</v>
      </c>
      <c r="V255" s="300"/>
      <c r="W255" s="436">
        <v>1</v>
      </c>
      <c r="X255" s="1057"/>
      <c r="Y255" s="983"/>
      <c r="Z255" s="296">
        <v>0.5</v>
      </c>
      <c r="AA255" s="983"/>
      <c r="AB255" s="980"/>
      <c r="AC255" s="983"/>
      <c r="AD255" s="980"/>
      <c r="AE255" s="983"/>
      <c r="AF255" s="980"/>
      <c r="AG255" s="486">
        <v>1</v>
      </c>
      <c r="AH255" s="980"/>
      <c r="AI255" s="983"/>
      <c r="AJ255" s="980"/>
      <c r="AK255" s="983"/>
      <c r="AL255" s="980"/>
      <c r="AM255" s="983"/>
      <c r="AN255" s="980"/>
      <c r="AO255" s="1057"/>
      <c r="AP255" s="983"/>
      <c r="AQ255" s="980"/>
      <c r="AR255" s="300"/>
      <c r="AS255" s="41"/>
      <c r="AT255" s="259"/>
      <c r="AU255" s="300"/>
      <c r="AV255" s="259"/>
      <c r="AW255" s="595">
        <v>0.75</v>
      </c>
      <c r="AX255" s="300"/>
      <c r="AY255" s="259"/>
      <c r="AZ255" s="983"/>
      <c r="BA255" s="980"/>
      <c r="BB255" s="576"/>
      <c r="BC255" s="983"/>
      <c r="BD255" s="980"/>
      <c r="JS255" s="5"/>
    </row>
    <row r="256" spans="1:279" s="1" customFormat="1" ht="24">
      <c r="A256" s="1077"/>
      <c r="B256" s="1103"/>
      <c r="C256" s="139" t="s">
        <v>154</v>
      </c>
      <c r="D256" s="229"/>
      <c r="E256" s="300"/>
      <c r="F256" s="259"/>
      <c r="G256" s="229"/>
      <c r="H256" s="335"/>
      <c r="I256" s="300"/>
      <c r="J256" s="259"/>
      <c r="K256" s="300"/>
      <c r="L256" s="259"/>
      <c r="M256" s="300"/>
      <c r="N256" s="259"/>
      <c r="O256" s="300"/>
      <c r="P256" s="259"/>
      <c r="Q256" s="300"/>
      <c r="R256" s="259"/>
      <c r="S256" s="300"/>
      <c r="T256" s="71"/>
      <c r="U256" s="118">
        <v>65</v>
      </c>
      <c r="V256" s="300"/>
      <c r="W256" s="71">
        <v>25</v>
      </c>
      <c r="X256" s="1057"/>
      <c r="Y256" s="983"/>
      <c r="Z256" s="279">
        <v>25</v>
      </c>
      <c r="AA256" s="983"/>
      <c r="AB256" s="980"/>
      <c r="AC256" s="983"/>
      <c r="AD256" s="980"/>
      <c r="AE256" s="983"/>
      <c r="AF256" s="980"/>
      <c r="AG256" s="353">
        <v>22</v>
      </c>
      <c r="AH256" s="980"/>
      <c r="AI256" s="983"/>
      <c r="AJ256" s="980"/>
      <c r="AK256" s="983"/>
      <c r="AL256" s="980"/>
      <c r="AM256" s="983"/>
      <c r="AN256" s="980"/>
      <c r="AO256" s="1057"/>
      <c r="AP256" s="983"/>
      <c r="AQ256" s="980"/>
      <c r="AR256" s="300"/>
      <c r="AS256" s="41"/>
      <c r="AT256" s="259"/>
      <c r="AU256" s="300"/>
      <c r="AV256" s="259"/>
      <c r="AW256" s="347">
        <v>49</v>
      </c>
      <c r="AX256" s="300"/>
      <c r="AY256" s="259"/>
      <c r="AZ256" s="983"/>
      <c r="BA256" s="980"/>
      <c r="BB256" s="576"/>
      <c r="BC256" s="983"/>
      <c r="BD256" s="980"/>
      <c r="JS256" s="5"/>
    </row>
    <row r="257" spans="1:279" s="1" customFormat="1">
      <c r="A257" s="1077"/>
      <c r="B257" s="1103"/>
      <c r="C257" s="139" t="s">
        <v>232</v>
      </c>
      <c r="D257" s="229"/>
      <c r="E257" s="300"/>
      <c r="F257" s="259"/>
      <c r="G257" s="229"/>
      <c r="H257" s="335"/>
      <c r="I257" s="300"/>
      <c r="J257" s="259"/>
      <c r="K257" s="300"/>
      <c r="L257" s="259"/>
      <c r="M257" s="300"/>
      <c r="N257" s="259"/>
      <c r="O257" s="300"/>
      <c r="P257" s="259"/>
      <c r="Q257" s="300"/>
      <c r="R257" s="259"/>
      <c r="S257" s="300"/>
      <c r="T257" s="71"/>
      <c r="U257" s="89" t="s">
        <v>1383</v>
      </c>
      <c r="V257" s="300"/>
      <c r="W257" s="118" t="s">
        <v>1220</v>
      </c>
      <c r="X257" s="1057"/>
      <c r="Y257" s="983"/>
      <c r="Z257" s="279" t="s">
        <v>1281</v>
      </c>
      <c r="AA257" s="983"/>
      <c r="AB257" s="980"/>
      <c r="AC257" s="983"/>
      <c r="AD257" s="980"/>
      <c r="AE257" s="983"/>
      <c r="AF257" s="980"/>
      <c r="AG257" s="353">
        <v>258.33</v>
      </c>
      <c r="AH257" s="980"/>
      <c r="AI257" s="983"/>
      <c r="AJ257" s="980"/>
      <c r="AK257" s="983"/>
      <c r="AL257" s="980"/>
      <c r="AM257" s="983"/>
      <c r="AN257" s="980"/>
      <c r="AO257" s="1057"/>
      <c r="AP257" s="983"/>
      <c r="AQ257" s="980"/>
      <c r="AR257" s="300"/>
      <c r="AS257" s="41"/>
      <c r="AT257" s="259"/>
      <c r="AU257" s="300"/>
      <c r="AV257" s="259"/>
      <c r="AW257" s="347">
        <v>4127321.2</v>
      </c>
      <c r="AX257" s="300"/>
      <c r="AY257" s="259"/>
      <c r="AZ257" s="983"/>
      <c r="BA257" s="980"/>
      <c r="BB257" s="576"/>
      <c r="BC257" s="983"/>
      <c r="BD257" s="980"/>
      <c r="JS257" s="5"/>
    </row>
    <row r="258" spans="1:279" s="1" customFormat="1" ht="24">
      <c r="A258" s="1077"/>
      <c r="B258" s="1103"/>
      <c r="C258" s="139" t="s">
        <v>155</v>
      </c>
      <c r="D258" s="229"/>
      <c r="E258" s="300"/>
      <c r="F258" s="259"/>
      <c r="G258" s="229"/>
      <c r="H258" s="335"/>
      <c r="I258" s="300"/>
      <c r="J258" s="259"/>
      <c r="K258" s="300"/>
      <c r="L258" s="259"/>
      <c r="M258" s="300"/>
      <c r="N258" s="259"/>
      <c r="O258" s="300"/>
      <c r="P258" s="259"/>
      <c r="Q258" s="300"/>
      <c r="R258" s="259"/>
      <c r="S258" s="300"/>
      <c r="T258" s="71"/>
      <c r="U258" s="405">
        <v>80.436800000000005</v>
      </c>
      <c r="V258" s="300"/>
      <c r="W258" s="118" t="s">
        <v>1220</v>
      </c>
      <c r="X258" s="1057"/>
      <c r="Y258" s="983"/>
      <c r="Z258" s="279" t="s">
        <v>1282</v>
      </c>
      <c r="AA258" s="983"/>
      <c r="AB258" s="980"/>
      <c r="AC258" s="983"/>
      <c r="AD258" s="980"/>
      <c r="AE258" s="983"/>
      <c r="AF258" s="980"/>
      <c r="AG258" s="353">
        <v>258.33</v>
      </c>
      <c r="AH258" s="980"/>
      <c r="AI258" s="983"/>
      <c r="AJ258" s="980"/>
      <c r="AK258" s="983"/>
      <c r="AL258" s="980"/>
      <c r="AM258" s="983"/>
      <c r="AN258" s="980"/>
      <c r="AO258" s="1057"/>
      <c r="AP258" s="983"/>
      <c r="AQ258" s="980"/>
      <c r="AR258" s="300"/>
      <c r="AS258" s="41"/>
      <c r="AT258" s="259"/>
      <c r="AU258" s="300"/>
      <c r="AV258" s="259"/>
      <c r="AW258" s="347" t="s">
        <v>830</v>
      </c>
      <c r="AX258" s="300"/>
      <c r="AY258" s="259"/>
      <c r="AZ258" s="983"/>
      <c r="BA258" s="980"/>
      <c r="BB258" s="576"/>
      <c r="BC258" s="983"/>
      <c r="BD258" s="980"/>
      <c r="JS258" s="5"/>
    </row>
    <row r="259" spans="1:279" s="1" customFormat="1">
      <c r="A259" s="1077"/>
      <c r="B259" s="1103"/>
      <c r="C259" s="139" t="s">
        <v>187</v>
      </c>
      <c r="D259" s="190" t="s">
        <v>77</v>
      </c>
      <c r="E259" s="300"/>
      <c r="F259" s="259"/>
      <c r="G259" s="190" t="s">
        <v>77</v>
      </c>
      <c r="H259" s="335"/>
      <c r="I259" s="300"/>
      <c r="J259" s="259"/>
      <c r="K259" s="300"/>
      <c r="L259" s="259"/>
      <c r="M259" s="300"/>
      <c r="N259" s="259"/>
      <c r="O259" s="300"/>
      <c r="P259" s="259"/>
      <c r="Q259" s="276" t="s">
        <v>77</v>
      </c>
      <c r="R259" s="277" t="s">
        <v>77</v>
      </c>
      <c r="S259" s="276" t="s">
        <v>77</v>
      </c>
      <c r="T259" s="121" t="s">
        <v>77</v>
      </c>
      <c r="U259" s="118" t="s">
        <v>77</v>
      </c>
      <c r="V259" s="276" t="s">
        <v>77</v>
      </c>
      <c r="W259" s="118" t="s">
        <v>1082</v>
      </c>
      <c r="X259" s="1058"/>
      <c r="Y259" s="984"/>
      <c r="Z259" s="279" t="s">
        <v>1082</v>
      </c>
      <c r="AA259" s="984"/>
      <c r="AB259" s="981"/>
      <c r="AC259" s="984"/>
      <c r="AD259" s="981"/>
      <c r="AE259" s="984"/>
      <c r="AF259" s="981"/>
      <c r="AG259" s="353"/>
      <c r="AH259" s="981"/>
      <c r="AI259" s="984"/>
      <c r="AJ259" s="981"/>
      <c r="AK259" s="984"/>
      <c r="AL259" s="981"/>
      <c r="AM259" s="984"/>
      <c r="AN259" s="981"/>
      <c r="AO259" s="1058"/>
      <c r="AP259" s="984"/>
      <c r="AQ259" s="981"/>
      <c r="AR259" s="300"/>
      <c r="AS259" s="41"/>
      <c r="AT259" s="259"/>
      <c r="AU259" s="300"/>
      <c r="AV259" s="259"/>
      <c r="AW259" s="347" t="s">
        <v>394</v>
      </c>
      <c r="AX259" s="300"/>
      <c r="AY259" s="259"/>
      <c r="AZ259" s="984"/>
      <c r="BA259" s="981"/>
      <c r="BB259" s="576"/>
      <c r="BC259" s="984"/>
      <c r="BD259" s="981"/>
      <c r="JS259" s="5"/>
    </row>
    <row r="260" spans="1:279" s="1" customFormat="1" ht="54.75" customHeight="1">
      <c r="A260" s="1077"/>
      <c r="B260" s="1103"/>
      <c r="C260" s="139" t="s">
        <v>174</v>
      </c>
      <c r="D260" s="200" t="str">
        <f>+D239</f>
        <v>9993 SMLMV</v>
      </c>
      <c r="E260" s="291"/>
      <c r="F260" s="259"/>
      <c r="G260" s="200" t="str">
        <f>+G239</f>
        <v>4038,18 SMLMV</v>
      </c>
      <c r="H260" s="335"/>
      <c r="I260" s="291"/>
      <c r="J260" s="259"/>
      <c r="K260" s="291"/>
      <c r="L260" s="259"/>
      <c r="M260" s="291"/>
      <c r="N260" s="259"/>
      <c r="O260" s="291"/>
      <c r="P260" s="259"/>
      <c r="Q260" s="985">
        <f>+Q249</f>
        <v>4690.3900000000003</v>
      </c>
      <c r="R260" s="986"/>
      <c r="S260" s="1106">
        <v>8043.68</v>
      </c>
      <c r="T260" s="1107"/>
      <c r="U260" s="1107"/>
      <c r="V260" s="985">
        <v>8806.43</v>
      </c>
      <c r="W260" s="1011"/>
      <c r="X260" s="443">
        <f>+X240</f>
        <v>6380.59</v>
      </c>
      <c r="Y260" s="985">
        <v>38893.22</v>
      </c>
      <c r="Z260" s="986"/>
      <c r="AA260" s="985">
        <v>3594.85</v>
      </c>
      <c r="AB260" s="986"/>
      <c r="AC260" s="985">
        <f>+AD249+AC240</f>
        <v>5677.3600000000006</v>
      </c>
      <c r="AD260" s="986"/>
      <c r="AE260" s="985">
        <f>+AF249+AE240</f>
        <v>3465.27</v>
      </c>
      <c r="AF260" s="986"/>
      <c r="AG260" s="985">
        <f>+AG258+AH240</f>
        <v>2422.2999999999997</v>
      </c>
      <c r="AH260" s="986"/>
      <c r="AI260" s="985">
        <f>+AI240</f>
        <v>4202.84</v>
      </c>
      <c r="AJ260" s="986"/>
      <c r="AK260" s="985">
        <f>+AK240</f>
        <v>24674.44</v>
      </c>
      <c r="AL260" s="986"/>
      <c r="AM260" s="985">
        <f>+AM240</f>
        <v>3173.27</v>
      </c>
      <c r="AN260" s="986"/>
      <c r="AO260" s="443">
        <f>+AO240</f>
        <v>10167.39</v>
      </c>
      <c r="AP260" s="985">
        <f>+AP240</f>
        <v>20293.689999999999</v>
      </c>
      <c r="AQ260" s="986"/>
      <c r="AR260" s="291"/>
      <c r="AS260" s="41"/>
      <c r="AT260" s="259"/>
      <c r="AU260" s="291"/>
      <c r="AV260" s="259"/>
      <c r="AW260" s="596" t="s">
        <v>831</v>
      </c>
      <c r="AX260" s="985">
        <f>+AX240</f>
        <v>100018.5</v>
      </c>
      <c r="AY260" s="986"/>
      <c r="AZ260" s="985">
        <f>+AZ240</f>
        <v>4164.29</v>
      </c>
      <c r="BA260" s="986"/>
      <c r="BB260" s="573" t="s">
        <v>1045</v>
      </c>
      <c r="BC260" s="985">
        <f>+BC240</f>
        <v>4689.8500000000004</v>
      </c>
      <c r="BD260" s="986"/>
      <c r="JS260" s="5"/>
    </row>
    <row r="261" spans="1:279" s="1" customFormat="1" ht="20.25">
      <c r="A261" s="1093" t="s">
        <v>150</v>
      </c>
      <c r="B261" s="1104"/>
      <c r="C261" s="1105"/>
      <c r="D261" s="188" t="s">
        <v>179</v>
      </c>
      <c r="E261" s="964" t="s">
        <v>179</v>
      </c>
      <c r="F261" s="969"/>
      <c r="G261" s="188" t="s">
        <v>179</v>
      </c>
      <c r="H261" s="142" t="s">
        <v>179</v>
      </c>
      <c r="I261" s="964" t="s">
        <v>179</v>
      </c>
      <c r="J261" s="969"/>
      <c r="K261" s="964" t="s">
        <v>179</v>
      </c>
      <c r="L261" s="969"/>
      <c r="M261" s="964" t="s">
        <v>179</v>
      </c>
      <c r="N261" s="969"/>
      <c r="O261" s="964" t="s">
        <v>179</v>
      </c>
      <c r="P261" s="969"/>
      <c r="Q261" s="948" t="s">
        <v>179</v>
      </c>
      <c r="R261" s="968"/>
      <c r="S261" s="948" t="s">
        <v>179</v>
      </c>
      <c r="T261" s="949"/>
      <c r="U261" s="949"/>
      <c r="V261" s="948" t="s">
        <v>179</v>
      </c>
      <c r="W261" s="949"/>
      <c r="X261" s="142" t="s">
        <v>179</v>
      </c>
      <c r="Y261" s="964" t="s">
        <v>179</v>
      </c>
      <c r="Z261" s="969"/>
      <c r="AA261" s="964" t="s">
        <v>179</v>
      </c>
      <c r="AB261" s="969"/>
      <c r="AC261" s="964" t="s">
        <v>999</v>
      </c>
      <c r="AD261" s="969"/>
      <c r="AE261" s="964" t="s">
        <v>179</v>
      </c>
      <c r="AF261" s="969"/>
      <c r="AG261" s="964" t="s">
        <v>179</v>
      </c>
      <c r="AH261" s="969"/>
      <c r="AI261" s="964" t="s">
        <v>179</v>
      </c>
      <c r="AJ261" s="969"/>
      <c r="AK261" s="964" t="s">
        <v>179</v>
      </c>
      <c r="AL261" s="969"/>
      <c r="AM261" s="964" t="s">
        <v>179</v>
      </c>
      <c r="AN261" s="969"/>
      <c r="AO261" s="450" t="s">
        <v>179</v>
      </c>
      <c r="AP261" s="964" t="s">
        <v>179</v>
      </c>
      <c r="AQ261" s="969"/>
      <c r="AR261" s="948" t="s">
        <v>179</v>
      </c>
      <c r="AS261" s="949"/>
      <c r="AT261" s="968"/>
      <c r="AU261" s="964" t="s">
        <v>179</v>
      </c>
      <c r="AV261" s="969"/>
      <c r="AW261" s="142" t="s">
        <v>179</v>
      </c>
      <c r="AX261" s="964" t="s">
        <v>179</v>
      </c>
      <c r="AY261" s="969"/>
      <c r="AZ261" s="964" t="s">
        <v>179</v>
      </c>
      <c r="BA261" s="969"/>
      <c r="BB261" s="319" t="s">
        <v>179</v>
      </c>
      <c r="BC261" s="964" t="s">
        <v>179</v>
      </c>
      <c r="BD261" s="969"/>
      <c r="JS261" s="5"/>
    </row>
    <row r="262" spans="1:279" s="1" customFormat="1" ht="20.25">
      <c r="A262" s="1093" t="s">
        <v>124</v>
      </c>
      <c r="B262" s="1104"/>
      <c r="C262" s="1105"/>
      <c r="D262" s="187"/>
      <c r="E262" s="243"/>
      <c r="F262" s="244"/>
      <c r="G262" s="187"/>
      <c r="H262" s="330"/>
      <c r="I262" s="243"/>
      <c r="J262" s="244"/>
      <c r="K262" s="243"/>
      <c r="L262" s="244"/>
      <c r="M262" s="243"/>
      <c r="N262" s="244"/>
      <c r="O262" s="243"/>
      <c r="P262" s="244"/>
      <c r="Q262" s="243"/>
      <c r="R262" s="244"/>
      <c r="S262" s="243"/>
      <c r="T262" s="72"/>
      <c r="U262" s="93"/>
      <c r="V262" s="243"/>
      <c r="W262" s="72"/>
      <c r="X262" s="453"/>
      <c r="Y262" s="243"/>
      <c r="Z262" s="244"/>
      <c r="AA262" s="243"/>
      <c r="AB262" s="244"/>
      <c r="AC262" s="243"/>
      <c r="AD262" s="244"/>
      <c r="AE262" s="243"/>
      <c r="AF262" s="244"/>
      <c r="AG262" s="243"/>
      <c r="AH262" s="244"/>
      <c r="AI262" s="243"/>
      <c r="AJ262" s="244"/>
      <c r="AK262" s="243"/>
      <c r="AL262" s="244"/>
      <c r="AM262" s="243"/>
      <c r="AN262" s="244"/>
      <c r="AO262" s="453"/>
      <c r="AP262" s="243"/>
      <c r="AQ262" s="244"/>
      <c r="AR262" s="243"/>
      <c r="AS262" s="32"/>
      <c r="AT262" s="244"/>
      <c r="AU262" s="243"/>
      <c r="AV262" s="244"/>
      <c r="AW262" s="141"/>
      <c r="AX262" s="243"/>
      <c r="AY262" s="244"/>
      <c r="AZ262" s="243"/>
      <c r="BA262" s="244"/>
      <c r="BB262" s="545"/>
      <c r="BC262" s="539">
        <v>7931523036</v>
      </c>
      <c r="BD262" s="244"/>
      <c r="JS262" s="5"/>
    </row>
    <row r="263" spans="1:279" s="1" customFormat="1">
      <c r="A263" s="1077" t="s">
        <v>26</v>
      </c>
      <c r="B263" s="1084" t="s">
        <v>230</v>
      </c>
      <c r="C263" s="130" t="s">
        <v>18</v>
      </c>
      <c r="D263" s="228">
        <v>8920349898</v>
      </c>
      <c r="E263" s="298">
        <v>3513598221</v>
      </c>
      <c r="F263" s="301">
        <v>511986982</v>
      </c>
      <c r="G263" s="228">
        <v>6824410237</v>
      </c>
      <c r="H263" s="345">
        <v>9459099862</v>
      </c>
      <c r="I263" s="298">
        <v>3632625783</v>
      </c>
      <c r="J263" s="301">
        <v>1617601426</v>
      </c>
      <c r="K263" s="298">
        <v>20056091636</v>
      </c>
      <c r="L263" s="301">
        <v>2378997673</v>
      </c>
      <c r="M263" s="298">
        <v>3338256476</v>
      </c>
      <c r="N263" s="301">
        <v>4292070113</v>
      </c>
      <c r="O263" s="298">
        <v>12362247240</v>
      </c>
      <c r="P263" s="301">
        <v>4944903000</v>
      </c>
      <c r="Q263" s="298">
        <v>49960385595</v>
      </c>
      <c r="R263" s="301">
        <v>1349488716</v>
      </c>
      <c r="S263" s="382">
        <v>15452656000</v>
      </c>
      <c r="T263" s="64">
        <v>943165000</v>
      </c>
      <c r="U263" s="406">
        <v>3934719082</v>
      </c>
      <c r="V263" s="298">
        <v>3182910000000</v>
      </c>
      <c r="W263" s="406">
        <v>236985878500</v>
      </c>
      <c r="X263" s="516">
        <v>27431687763</v>
      </c>
      <c r="Y263" s="298">
        <v>438345097600</v>
      </c>
      <c r="Z263" s="301">
        <v>432037848900</v>
      </c>
      <c r="AA263" s="298">
        <v>268383595200</v>
      </c>
      <c r="AB263" s="301">
        <v>913112832900</v>
      </c>
      <c r="AC263" s="307">
        <v>854607800000</v>
      </c>
      <c r="AD263" s="301">
        <v>521723594</v>
      </c>
      <c r="AE263" s="298">
        <v>12496410311</v>
      </c>
      <c r="AF263" s="301">
        <v>974995741</v>
      </c>
      <c r="AG263" s="298">
        <v>4546033538</v>
      </c>
      <c r="AH263" s="301">
        <v>462445546</v>
      </c>
      <c r="AI263" s="496">
        <v>12331473786</v>
      </c>
      <c r="AJ263" s="497">
        <v>10286346855</v>
      </c>
      <c r="AK263" s="496">
        <v>6793168206</v>
      </c>
      <c r="AL263" s="497">
        <v>5359267000</v>
      </c>
      <c r="AM263" s="496">
        <v>2343380897</v>
      </c>
      <c r="AN263" s="497">
        <v>7422829779</v>
      </c>
      <c r="AO263" s="516">
        <v>36980518950</v>
      </c>
      <c r="AP263" s="496">
        <v>35441560225</v>
      </c>
      <c r="AQ263" s="497">
        <v>4525177318</v>
      </c>
      <c r="AR263" s="298">
        <v>14999454125</v>
      </c>
      <c r="AS263" s="28">
        <v>19728765956</v>
      </c>
      <c r="AT263" s="301">
        <v>1374390623</v>
      </c>
      <c r="AU263" s="298">
        <v>3099173945</v>
      </c>
      <c r="AV263" s="301">
        <v>45987010000</v>
      </c>
      <c r="AW263" s="174" t="s">
        <v>832</v>
      </c>
      <c r="AX263" s="307">
        <v>13943015619.17</v>
      </c>
      <c r="AY263" s="301">
        <v>577695778</v>
      </c>
      <c r="AZ263" s="496">
        <v>55138027242</v>
      </c>
      <c r="BA263" s="497">
        <v>2622942487</v>
      </c>
      <c r="BB263" s="574">
        <v>15538847000</v>
      </c>
      <c r="BC263" s="496">
        <v>7931523036</v>
      </c>
      <c r="BD263" s="497">
        <v>2907022015</v>
      </c>
      <c r="JS263" s="5"/>
    </row>
    <row r="264" spans="1:279" s="1" customFormat="1">
      <c r="A264" s="1077"/>
      <c r="B264" s="1084"/>
      <c r="C264" s="130" t="s">
        <v>185</v>
      </c>
      <c r="D264" s="230"/>
      <c r="E264" s="975">
        <f>+E263+F263</f>
        <v>4025585203</v>
      </c>
      <c r="F264" s="976"/>
      <c r="G264" s="230"/>
      <c r="H264" s="345"/>
      <c r="I264" s="975">
        <f>+I263+J263</f>
        <v>5250227209</v>
      </c>
      <c r="J264" s="976"/>
      <c r="K264" s="975">
        <f>+K263+L263</f>
        <v>22435089309</v>
      </c>
      <c r="L264" s="976"/>
      <c r="M264" s="975">
        <f>+M263+N263</f>
        <v>7630326589</v>
      </c>
      <c r="N264" s="976"/>
      <c r="O264" s="975">
        <f>+O263+P263</f>
        <v>17307150240</v>
      </c>
      <c r="P264" s="976"/>
      <c r="Q264" s="1108">
        <f>+Q263+R263</f>
        <v>51309874311</v>
      </c>
      <c r="R264" s="1201"/>
      <c r="S264" s="1108">
        <f>+S263+T263+U263</f>
        <v>20330540082</v>
      </c>
      <c r="T264" s="1109"/>
      <c r="U264" s="974"/>
      <c r="V264" s="975">
        <f>+V263+W263</f>
        <v>3419895878500</v>
      </c>
      <c r="W264" s="1038"/>
      <c r="X264" s="454">
        <v>27431687763</v>
      </c>
      <c r="Y264" s="975">
        <f>+Y263+Z263</f>
        <v>870382946500</v>
      </c>
      <c r="Z264" s="976"/>
      <c r="AA264" s="975">
        <f>+AA263+AB263</f>
        <v>1181496428100</v>
      </c>
      <c r="AB264" s="976"/>
      <c r="AC264" s="975">
        <f>+AC263+AD263</f>
        <v>855129523594</v>
      </c>
      <c r="AD264" s="976"/>
      <c r="AE264" s="975">
        <f>+AE263+AF263</f>
        <v>13471406052</v>
      </c>
      <c r="AF264" s="976"/>
      <c r="AG264" s="975">
        <f>+AG263+AH263</f>
        <v>5008479084</v>
      </c>
      <c r="AH264" s="976"/>
      <c r="AI264" s="975">
        <f>+AI263+AJ263</f>
        <v>22617820641</v>
      </c>
      <c r="AJ264" s="976"/>
      <c r="AK264" s="975">
        <f>+AK263+AL263</f>
        <v>12152435206</v>
      </c>
      <c r="AL264" s="976"/>
      <c r="AM264" s="975">
        <f>+AM263+AN263</f>
        <v>9766210676</v>
      </c>
      <c r="AN264" s="976"/>
      <c r="AO264" s="454">
        <f>AO263</f>
        <v>36980518950</v>
      </c>
      <c r="AP264" s="975">
        <f>+AP263+AQ263</f>
        <v>39966737543</v>
      </c>
      <c r="AQ264" s="976"/>
      <c r="AR264" s="1108">
        <f>+AR263+AS263+AT263</f>
        <v>36102610704</v>
      </c>
      <c r="AS264" s="1109"/>
      <c r="AT264" s="1201"/>
      <c r="AU264" s="975">
        <f>+AU263+AV263</f>
        <v>49086183945</v>
      </c>
      <c r="AV264" s="976"/>
      <c r="AW264" s="174" t="s">
        <v>832</v>
      </c>
      <c r="AX264" s="975">
        <f>+AX263+AY263</f>
        <v>14520711397.17</v>
      </c>
      <c r="AY264" s="976"/>
      <c r="AZ264" s="975">
        <f>+AZ263+BA263</f>
        <v>57760969729</v>
      </c>
      <c r="BA264" s="976"/>
      <c r="BB264" s="577">
        <v>15538847000</v>
      </c>
      <c r="BC264" s="975">
        <f>+BC263+BD263</f>
        <v>10838545051</v>
      </c>
      <c r="BD264" s="976"/>
      <c r="JS264" s="5"/>
    </row>
    <row r="265" spans="1:279" s="1" customFormat="1">
      <c r="A265" s="1077"/>
      <c r="B265" s="1084"/>
      <c r="C265" s="130" t="s">
        <v>20</v>
      </c>
      <c r="D265" s="231" t="str">
        <f>+IF(D263&gt;2061325700,"cumple","no cumple")</f>
        <v>cumple</v>
      </c>
      <c r="E265" s="977" t="str">
        <f>+IF(E263&gt;2061325700,"cumple","no cumple")</f>
        <v>cumple</v>
      </c>
      <c r="F265" s="978"/>
      <c r="G265" s="231" t="str">
        <f>+IF(G263&gt;2061325700,"cumple","no cumple")</f>
        <v>cumple</v>
      </c>
      <c r="H265" s="170" t="s">
        <v>179</v>
      </c>
      <c r="I265" s="977" t="str">
        <f>+IF(I263&gt;2061325700,"cumple","no cumple")</f>
        <v>cumple</v>
      </c>
      <c r="J265" s="978"/>
      <c r="K265" s="977" t="str">
        <f>+IF(K263&gt;2061325700,"cumple","no cumple")</f>
        <v>cumple</v>
      </c>
      <c r="L265" s="978"/>
      <c r="M265" s="977" t="s">
        <v>179</v>
      </c>
      <c r="N265" s="978"/>
      <c r="O265" s="977" t="s">
        <v>179</v>
      </c>
      <c r="P265" s="978"/>
      <c r="Q265" s="992" t="str">
        <f>+IF(Q263&gt;2061325700,"cumple","no cumple")</f>
        <v>cumple</v>
      </c>
      <c r="R265" s="1200"/>
      <c r="S265" s="992" t="str">
        <f>+IF(S263&gt;2061325700,"cumple","no cumple")</f>
        <v>cumple</v>
      </c>
      <c r="T265" s="993"/>
      <c r="U265" s="974"/>
      <c r="V265" s="977" t="str">
        <f>+IF(V263&gt;2061325700,"cumple","no cumple")</f>
        <v>cumple</v>
      </c>
      <c r="W265" s="1042"/>
      <c r="X265" s="455" t="str">
        <f>+IF(X263&gt;2061325700,"cumple","no cumple")</f>
        <v>cumple</v>
      </c>
      <c r="Y265" s="977" t="str">
        <f>+IF(Y263&gt;2061325700,"cumple","no cumple")</f>
        <v>cumple</v>
      </c>
      <c r="Z265" s="978"/>
      <c r="AA265" s="977" t="str">
        <f>+IF(AA263&gt;2061325700,"cumple","no cumple")</f>
        <v>cumple</v>
      </c>
      <c r="AB265" s="978"/>
      <c r="AC265" s="977" t="str">
        <f>+IF(AC263&gt;2061325700,"cumple","no cumple")</f>
        <v>cumple</v>
      </c>
      <c r="AD265" s="978"/>
      <c r="AE265" s="977" t="str">
        <f>+IF(AE263&gt;2061325700,"cumple","no cumple")</f>
        <v>cumple</v>
      </c>
      <c r="AF265" s="978"/>
      <c r="AG265" s="977" t="str">
        <f>+IF(AG263&gt;2061325700,"cumple","no cumple")</f>
        <v>cumple</v>
      </c>
      <c r="AH265" s="978"/>
      <c r="AI265" s="977" t="str">
        <f>+IF(AI263&gt;2061325700,"cumple","no cumple")</f>
        <v>cumple</v>
      </c>
      <c r="AJ265" s="978"/>
      <c r="AK265" s="977" t="str">
        <f>+IF(AK263&gt;2061325700,"cumple","no cumple")</f>
        <v>cumple</v>
      </c>
      <c r="AL265" s="978"/>
      <c r="AM265" s="977" t="str">
        <f>+IF(AM263&gt;2061325700,"cumple","no cumple")</f>
        <v>cumple</v>
      </c>
      <c r="AN265" s="978"/>
      <c r="AO265" s="455" t="str">
        <f>+IF(AO263&gt;2061325700,"cumple","no cumple")</f>
        <v>cumple</v>
      </c>
      <c r="AP265" s="977" t="str">
        <f>+IF(AP263&gt;2061325700,"cumple","no cumple")</f>
        <v>cumple</v>
      </c>
      <c r="AQ265" s="978"/>
      <c r="AR265" s="992" t="s">
        <v>179</v>
      </c>
      <c r="AS265" s="993"/>
      <c r="AT265" s="1200"/>
      <c r="AU265" s="977" t="s">
        <v>179</v>
      </c>
      <c r="AV265" s="978"/>
      <c r="AW265" s="170" t="str">
        <f>+IF(AW263&gt;2061325700,"cumple","no cumple")</f>
        <v>cumple</v>
      </c>
      <c r="AX265" s="977" t="str">
        <f>+IF(AX263&gt;2061325700,"cumple","no cumple")</f>
        <v>cumple</v>
      </c>
      <c r="AY265" s="978"/>
      <c r="AZ265" s="977" t="str">
        <f>+IF(AZ263&gt;2061325700,"cumple","no cumple")</f>
        <v>cumple</v>
      </c>
      <c r="BA265" s="978"/>
      <c r="BB265" s="578" t="str">
        <f>+IF(BB263&gt;2061325700,"cumple","no cumple")</f>
        <v>cumple</v>
      </c>
      <c r="BC265" s="977" t="str">
        <f>+IF(BC263&gt;2061325700,"cumple","no cumple")</f>
        <v>cumple</v>
      </c>
      <c r="BD265" s="978"/>
      <c r="JS265" s="5"/>
    </row>
    <row r="266" spans="1:279" s="1" customFormat="1">
      <c r="A266" s="1077"/>
      <c r="B266" s="1084"/>
      <c r="C266" s="130" t="s">
        <v>0</v>
      </c>
      <c r="D266" s="232" t="s">
        <v>77</v>
      </c>
      <c r="E266" s="972" t="s">
        <v>77</v>
      </c>
      <c r="F266" s="973"/>
      <c r="G266" s="232" t="s">
        <v>77</v>
      </c>
      <c r="H266" s="171"/>
      <c r="I266" s="972" t="s">
        <v>77</v>
      </c>
      <c r="J266" s="973"/>
      <c r="K266" s="972" t="s">
        <v>77</v>
      </c>
      <c r="L266" s="973"/>
      <c r="M266" s="972" t="s">
        <v>77</v>
      </c>
      <c r="N266" s="973"/>
      <c r="O266" s="972" t="s">
        <v>77</v>
      </c>
      <c r="P266" s="973"/>
      <c r="Q266" s="994" t="s">
        <v>77</v>
      </c>
      <c r="R266" s="1199"/>
      <c r="S266" s="994" t="s">
        <v>77</v>
      </c>
      <c r="T266" s="995"/>
      <c r="U266" s="974"/>
      <c r="V266" s="972" t="s">
        <v>77</v>
      </c>
      <c r="W266" s="987"/>
      <c r="X266" s="456" t="s">
        <v>77</v>
      </c>
      <c r="Y266" s="972" t="s">
        <v>77</v>
      </c>
      <c r="Z266" s="973"/>
      <c r="AA266" s="972" t="s">
        <v>77</v>
      </c>
      <c r="AB266" s="973"/>
      <c r="AC266" s="972" t="s">
        <v>77</v>
      </c>
      <c r="AD266" s="973"/>
      <c r="AE266" s="972" t="s">
        <v>77</v>
      </c>
      <c r="AF266" s="973"/>
      <c r="AG266" s="972" t="s">
        <v>77</v>
      </c>
      <c r="AH266" s="973"/>
      <c r="AI266" s="972" t="s">
        <v>77</v>
      </c>
      <c r="AJ266" s="973"/>
      <c r="AK266" s="972" t="s">
        <v>77</v>
      </c>
      <c r="AL266" s="973"/>
      <c r="AM266" s="972" t="s">
        <v>77</v>
      </c>
      <c r="AN266" s="973"/>
      <c r="AO266" s="456" t="s">
        <v>77</v>
      </c>
      <c r="AP266" s="972" t="s">
        <v>77</v>
      </c>
      <c r="AQ266" s="973"/>
      <c r="AR266" s="994" t="s">
        <v>77</v>
      </c>
      <c r="AS266" s="995"/>
      <c r="AT266" s="1199"/>
      <c r="AU266" s="972" t="s">
        <v>77</v>
      </c>
      <c r="AV266" s="973"/>
      <c r="AW266" s="171" t="s">
        <v>77</v>
      </c>
      <c r="AX266" s="972" t="s">
        <v>77</v>
      </c>
      <c r="AY266" s="973"/>
      <c r="AZ266" s="972" t="s">
        <v>77</v>
      </c>
      <c r="BA266" s="973"/>
      <c r="BB266" s="579" t="s">
        <v>77</v>
      </c>
      <c r="BC266" s="972" t="s">
        <v>77</v>
      </c>
      <c r="BD266" s="973"/>
      <c r="JS266" s="5"/>
    </row>
    <row r="267" spans="1:279" s="1" customFormat="1">
      <c r="A267" s="1077" t="s">
        <v>27</v>
      </c>
      <c r="B267" s="1084" t="s">
        <v>172</v>
      </c>
      <c r="C267" s="130" t="s">
        <v>19</v>
      </c>
      <c r="D267" s="207">
        <v>9.3699999999999992</v>
      </c>
      <c r="E267" s="262">
        <v>6.61</v>
      </c>
      <c r="F267" s="273">
        <v>2.35</v>
      </c>
      <c r="G267" s="207">
        <v>5.68</v>
      </c>
      <c r="H267" s="157">
        <v>21.77</v>
      </c>
      <c r="I267" s="262">
        <v>26.68</v>
      </c>
      <c r="J267" s="273">
        <v>8.09</v>
      </c>
      <c r="K267" s="262">
        <v>4.58</v>
      </c>
      <c r="L267" s="273">
        <v>2.4700000000000002</v>
      </c>
      <c r="M267" s="262">
        <v>7.19</v>
      </c>
      <c r="N267" s="273">
        <v>4.91</v>
      </c>
      <c r="O267" s="262">
        <v>8.41</v>
      </c>
      <c r="P267" s="273">
        <v>6.78</v>
      </c>
      <c r="Q267" s="262" t="s">
        <v>1320</v>
      </c>
      <c r="R267" s="273" t="s">
        <v>1321</v>
      </c>
      <c r="S267" s="381" t="s">
        <v>1384</v>
      </c>
      <c r="T267" s="120" t="s">
        <v>1385</v>
      </c>
      <c r="U267" s="118" t="s">
        <v>1386</v>
      </c>
      <c r="V267" s="262" t="s">
        <v>1221</v>
      </c>
      <c r="W267" s="434" t="s">
        <v>1222</v>
      </c>
      <c r="X267" s="153">
        <v>3.3</v>
      </c>
      <c r="Y267" s="241" t="s">
        <v>1283</v>
      </c>
      <c r="Z267" s="242" t="s">
        <v>1284</v>
      </c>
      <c r="AA267" s="241" t="s">
        <v>994</v>
      </c>
      <c r="AB267" s="242" t="s">
        <v>995</v>
      </c>
      <c r="AC267" s="241" t="s">
        <v>1102</v>
      </c>
      <c r="AD267" s="242" t="s">
        <v>1103</v>
      </c>
      <c r="AE267" s="241">
        <v>4.84</v>
      </c>
      <c r="AF267" s="273">
        <v>4.92</v>
      </c>
      <c r="AG267" s="241">
        <v>13.24</v>
      </c>
      <c r="AH267" s="273">
        <v>12.2</v>
      </c>
      <c r="AI267" s="371">
        <v>7.87</v>
      </c>
      <c r="AJ267" s="498">
        <v>8.09</v>
      </c>
      <c r="AK267" s="371">
        <v>2.73</v>
      </c>
      <c r="AL267" s="498">
        <v>4.21</v>
      </c>
      <c r="AM267" s="371">
        <v>4.21</v>
      </c>
      <c r="AN267" s="498">
        <v>5.04</v>
      </c>
      <c r="AO267" s="153">
        <v>4.3600000000000003</v>
      </c>
      <c r="AP267" s="494">
        <v>5.38</v>
      </c>
      <c r="AQ267" s="498">
        <v>33.340000000000003</v>
      </c>
      <c r="AR267" s="262">
        <v>2.19</v>
      </c>
      <c r="AS267" s="26">
        <v>6.18</v>
      </c>
      <c r="AT267" s="273">
        <v>8.41</v>
      </c>
      <c r="AU267" s="262">
        <v>4.2699999999999996</v>
      </c>
      <c r="AV267" s="273">
        <v>1.57</v>
      </c>
      <c r="AW267" s="597">
        <v>3.1</v>
      </c>
      <c r="AX267" s="241" t="s">
        <v>1155</v>
      </c>
      <c r="AY267" s="242" t="s">
        <v>1156</v>
      </c>
      <c r="AZ267" s="494">
        <v>3.37</v>
      </c>
      <c r="BA267" s="498">
        <v>7.7</v>
      </c>
      <c r="BB267" s="580" t="s">
        <v>1048</v>
      </c>
      <c r="BC267" s="371">
        <v>6</v>
      </c>
      <c r="BD267" s="498">
        <v>4.16</v>
      </c>
      <c r="JS267" s="5"/>
    </row>
    <row r="268" spans="1:279" s="1" customFormat="1">
      <c r="A268" s="1077"/>
      <c r="B268" s="1084"/>
      <c r="C268" s="130" t="s">
        <v>20</v>
      </c>
      <c r="D268" s="231" t="str">
        <f>+IF(D267&gt;1.5,"cumple","no cumple")</f>
        <v>cumple</v>
      </c>
      <c r="E268" s="304" t="str">
        <f t="shared" ref="E268:F268" si="152">+IF(E267&gt;1.5,"cumple","no cumple")</f>
        <v>cumple</v>
      </c>
      <c r="F268" s="255" t="str">
        <f t="shared" si="152"/>
        <v>cumple</v>
      </c>
      <c r="G268" s="231" t="str">
        <f>+IF(G267&gt;1.5,"cumple","no cumple")</f>
        <v>cumple</v>
      </c>
      <c r="H268" s="154" t="s">
        <v>179</v>
      </c>
      <c r="I268" s="304" t="str">
        <f t="shared" ref="I268:P268" si="153">+IF(I267&gt;1.5,"cumple","no cumple")</f>
        <v>cumple</v>
      </c>
      <c r="J268" s="279" t="str">
        <f t="shared" si="153"/>
        <v>cumple</v>
      </c>
      <c r="K268" s="304" t="str">
        <f t="shared" si="153"/>
        <v>cumple</v>
      </c>
      <c r="L268" s="279" t="str">
        <f t="shared" si="153"/>
        <v>cumple</v>
      </c>
      <c r="M268" s="304" t="str">
        <f t="shared" si="153"/>
        <v>cumple</v>
      </c>
      <c r="N268" s="279" t="str">
        <f t="shared" si="153"/>
        <v>cumple</v>
      </c>
      <c r="O268" s="304" t="str">
        <f t="shared" si="153"/>
        <v>cumple</v>
      </c>
      <c r="P268" s="279" t="str">
        <f t="shared" si="153"/>
        <v>cumple</v>
      </c>
      <c r="Q268" s="304" t="str">
        <f t="shared" ref="Q268:U268" si="154">+IF(Q267&gt;1.5,"cumple","no cumple")</f>
        <v>cumple</v>
      </c>
      <c r="R268" s="279" t="str">
        <f t="shared" si="154"/>
        <v>cumple</v>
      </c>
      <c r="S268" s="304" t="str">
        <f t="shared" si="154"/>
        <v>cumple</v>
      </c>
      <c r="T268" s="109" t="str">
        <f t="shared" si="154"/>
        <v>cumple</v>
      </c>
      <c r="U268" s="109" t="str">
        <f t="shared" si="154"/>
        <v>cumple</v>
      </c>
      <c r="V268" s="304" t="str">
        <f t="shared" ref="V268:W268" si="155">+IF(V267&gt;1.5,"cumple","no cumple")</f>
        <v>cumple</v>
      </c>
      <c r="W268" s="109" t="str">
        <f t="shared" si="155"/>
        <v>cumple</v>
      </c>
      <c r="X268" s="170" t="str">
        <f t="shared" ref="X268:AD268" si="156">+IF(X267&gt;1.5,"cumple","no cumple")</f>
        <v>cumple</v>
      </c>
      <c r="Y268" s="304" t="str">
        <f t="shared" si="156"/>
        <v>cumple</v>
      </c>
      <c r="Z268" s="279" t="str">
        <f t="shared" si="156"/>
        <v>cumple</v>
      </c>
      <c r="AA268" s="304" t="str">
        <f t="shared" si="156"/>
        <v>cumple</v>
      </c>
      <c r="AB268" s="279" t="str">
        <f t="shared" si="156"/>
        <v>cumple</v>
      </c>
      <c r="AC268" s="304" t="str">
        <f t="shared" si="156"/>
        <v>cumple</v>
      </c>
      <c r="AD268" s="279" t="str">
        <f t="shared" si="156"/>
        <v>cumple</v>
      </c>
      <c r="AE268" s="304" t="str">
        <f t="shared" ref="AE268:AF268" si="157">+IF(AE267&gt;1.5,"cumple","no cumple")</f>
        <v>cumple</v>
      </c>
      <c r="AF268" s="260" t="str">
        <f t="shared" si="157"/>
        <v>cumple</v>
      </c>
      <c r="AG268" s="304" t="str">
        <f t="shared" ref="AG268:AH268" si="158">+IF(AG267&gt;1.5,"cumple","no cumple")</f>
        <v>cumple</v>
      </c>
      <c r="AH268" s="260" t="str">
        <f t="shared" si="158"/>
        <v>cumple</v>
      </c>
      <c r="AI268" s="304" t="str">
        <f t="shared" ref="AI268:AJ268" si="159">+IF(AI267&gt;1.5,"cumple","no cumple")</f>
        <v>cumple</v>
      </c>
      <c r="AJ268" s="260" t="str">
        <f t="shared" si="159"/>
        <v>cumple</v>
      </c>
      <c r="AK268" s="304" t="str">
        <f t="shared" ref="AK268:AL268" si="160">+IF(AK267&gt;1.5,"cumple","no cumple")</f>
        <v>cumple</v>
      </c>
      <c r="AL268" s="260" t="str">
        <f t="shared" si="160"/>
        <v>cumple</v>
      </c>
      <c r="AM268" s="304" t="str">
        <f t="shared" ref="AM268:AN268" si="161">+IF(AM267&gt;1.5,"cumple","no cumple")</f>
        <v>cumple</v>
      </c>
      <c r="AN268" s="260" t="str">
        <f t="shared" si="161"/>
        <v>cumple</v>
      </c>
      <c r="AO268" s="170" t="str">
        <f t="shared" ref="AO268" si="162">+IF(AO267&gt;1.5,"cumple","no cumple")</f>
        <v>cumple</v>
      </c>
      <c r="AP268" s="304" t="str">
        <f t="shared" ref="AP268:AV268" si="163">+IF(AP267&gt;1.5,"cumple","no cumple")</f>
        <v>cumple</v>
      </c>
      <c r="AQ268" s="260" t="str">
        <f t="shared" si="163"/>
        <v>cumple</v>
      </c>
      <c r="AR268" s="304" t="str">
        <f t="shared" si="163"/>
        <v>cumple</v>
      </c>
      <c r="AS268" s="122" t="str">
        <f t="shared" si="163"/>
        <v>cumple</v>
      </c>
      <c r="AT268" s="302" t="str">
        <f t="shared" si="163"/>
        <v>cumple</v>
      </c>
      <c r="AU268" s="304" t="str">
        <f t="shared" si="163"/>
        <v>cumple</v>
      </c>
      <c r="AV268" s="279" t="str">
        <f t="shared" si="163"/>
        <v>cumple</v>
      </c>
      <c r="AW268" s="170" t="str">
        <f>+IF(AW267&gt;1.5,"cumple","no cumple")</f>
        <v>cumple</v>
      </c>
      <c r="AX268" s="304" t="str">
        <f t="shared" ref="AX268:AY268" si="164">+IF(AX267&gt;1.5,"cumple","no cumple")</f>
        <v>cumple</v>
      </c>
      <c r="AY268" s="279" t="str">
        <f t="shared" si="164"/>
        <v>cumple</v>
      </c>
      <c r="AZ268" s="304" t="str">
        <f t="shared" ref="AZ268:BA268" si="165">+IF(AZ267&gt;1.5,"cumple","no cumple")</f>
        <v>cumple</v>
      </c>
      <c r="BA268" s="260" t="str">
        <f t="shared" si="165"/>
        <v>cumple</v>
      </c>
      <c r="BB268" s="578" t="str">
        <f>+IF(BB267&gt;1.5,"cumple","no cumple")</f>
        <v>cumple</v>
      </c>
      <c r="BC268" s="304" t="str">
        <f t="shared" ref="BC268:BD268" si="166">+IF(BC267&gt;1.5,"cumple","no cumple")</f>
        <v>cumple</v>
      </c>
      <c r="BD268" s="260" t="str">
        <f t="shared" si="166"/>
        <v>cumple</v>
      </c>
      <c r="JS268" s="5"/>
    </row>
    <row r="269" spans="1:279" s="1" customFormat="1" ht="18" customHeight="1">
      <c r="A269" s="1077"/>
      <c r="B269" s="1084"/>
      <c r="C269" s="130" t="s">
        <v>0</v>
      </c>
      <c r="D269" s="232" t="s">
        <v>77</v>
      </c>
      <c r="E269" s="305" t="s">
        <v>77</v>
      </c>
      <c r="F269" s="255" t="s">
        <v>77</v>
      </c>
      <c r="G269" s="232" t="s">
        <v>77</v>
      </c>
      <c r="H269" s="154" t="s">
        <v>394</v>
      </c>
      <c r="I269" s="305" t="s">
        <v>77</v>
      </c>
      <c r="J269" s="279" t="s">
        <v>77</v>
      </c>
      <c r="K269" s="305" t="s">
        <v>77</v>
      </c>
      <c r="L269" s="279" t="s">
        <v>77</v>
      </c>
      <c r="M269" s="305" t="s">
        <v>77</v>
      </c>
      <c r="N269" s="279" t="s">
        <v>77</v>
      </c>
      <c r="O269" s="305" t="s">
        <v>77</v>
      </c>
      <c r="P269" s="279" t="s">
        <v>77</v>
      </c>
      <c r="Q269" s="305" t="s">
        <v>77</v>
      </c>
      <c r="R269" s="279" t="s">
        <v>77</v>
      </c>
      <c r="S269" s="305" t="s">
        <v>77</v>
      </c>
      <c r="T269" s="109" t="s">
        <v>77</v>
      </c>
      <c r="U269" s="109" t="s">
        <v>77</v>
      </c>
      <c r="V269" s="305" t="s">
        <v>77</v>
      </c>
      <c r="W269" s="109" t="s">
        <v>77</v>
      </c>
      <c r="X269" s="171" t="s">
        <v>77</v>
      </c>
      <c r="Y269" s="305" t="s">
        <v>77</v>
      </c>
      <c r="Z269" s="279" t="s">
        <v>77</v>
      </c>
      <c r="AA269" s="305" t="s">
        <v>77</v>
      </c>
      <c r="AB269" s="279" t="s">
        <v>77</v>
      </c>
      <c r="AC269" s="305" t="s">
        <v>77</v>
      </c>
      <c r="AD269" s="279" t="s">
        <v>77</v>
      </c>
      <c r="AE269" s="305" t="s">
        <v>77</v>
      </c>
      <c r="AF269" s="279" t="s">
        <v>77</v>
      </c>
      <c r="AG269" s="305" t="s">
        <v>77</v>
      </c>
      <c r="AH269" s="279" t="s">
        <v>77</v>
      </c>
      <c r="AI269" s="305" t="s">
        <v>77</v>
      </c>
      <c r="AJ269" s="279" t="s">
        <v>77</v>
      </c>
      <c r="AK269" s="305" t="s">
        <v>77</v>
      </c>
      <c r="AL269" s="279" t="s">
        <v>77</v>
      </c>
      <c r="AM269" s="305" t="s">
        <v>77</v>
      </c>
      <c r="AN269" s="279" t="s">
        <v>77</v>
      </c>
      <c r="AO269" s="171" t="s">
        <v>77</v>
      </c>
      <c r="AP269" s="305" t="s">
        <v>77</v>
      </c>
      <c r="AQ269" s="279" t="s">
        <v>77</v>
      </c>
      <c r="AR269" s="305" t="s">
        <v>77</v>
      </c>
      <c r="AS269" s="122" t="s">
        <v>77</v>
      </c>
      <c r="AT269" s="303" t="s">
        <v>77</v>
      </c>
      <c r="AU269" s="305" t="s">
        <v>77</v>
      </c>
      <c r="AV269" s="279" t="s">
        <v>77</v>
      </c>
      <c r="AW269" s="171" t="s">
        <v>77</v>
      </c>
      <c r="AX269" s="305" t="s">
        <v>77</v>
      </c>
      <c r="AY269" s="279" t="s">
        <v>77</v>
      </c>
      <c r="AZ269" s="305" t="s">
        <v>77</v>
      </c>
      <c r="BA269" s="279" t="s">
        <v>77</v>
      </c>
      <c r="BB269" s="579" t="s">
        <v>77</v>
      </c>
      <c r="BC269" s="305" t="s">
        <v>77</v>
      </c>
      <c r="BD269" s="279" t="s">
        <v>77</v>
      </c>
      <c r="JS269" s="5"/>
    </row>
    <row r="270" spans="1:279" s="1" customFormat="1" ht="14.25" customHeight="1">
      <c r="A270" s="1077" t="s">
        <v>28</v>
      </c>
      <c r="B270" s="1084" t="s">
        <v>108</v>
      </c>
      <c r="C270" s="130" t="s">
        <v>110</v>
      </c>
      <c r="D270" s="233">
        <v>139.31</v>
      </c>
      <c r="E270" s="241">
        <v>39.49</v>
      </c>
      <c r="F270" s="242">
        <v>23.59</v>
      </c>
      <c r="G270" s="233">
        <v>30.7</v>
      </c>
      <c r="H270" s="172">
        <v>241.33</v>
      </c>
      <c r="I270" s="241">
        <v>27.43</v>
      </c>
      <c r="J270" s="242">
        <v>41.25</v>
      </c>
      <c r="K270" s="241">
        <v>406.12</v>
      </c>
      <c r="L270" s="242">
        <v>18.13</v>
      </c>
      <c r="M270" s="241">
        <v>36.96</v>
      </c>
      <c r="N270" s="242">
        <v>38.590000000000003</v>
      </c>
      <c r="O270" s="241">
        <v>171.28</v>
      </c>
      <c r="P270" s="242" t="s">
        <v>1551</v>
      </c>
      <c r="Q270" s="241" t="s">
        <v>1322</v>
      </c>
      <c r="R270" s="242" t="s">
        <v>1323</v>
      </c>
      <c r="S270" s="396" t="s">
        <v>1387</v>
      </c>
      <c r="T270" s="120" t="s">
        <v>1388</v>
      </c>
      <c r="U270" s="407" t="s">
        <v>1389</v>
      </c>
      <c r="V270" s="241" t="s">
        <v>1223</v>
      </c>
      <c r="W270" s="120" t="s">
        <v>1224</v>
      </c>
      <c r="X270" s="153">
        <v>995.58</v>
      </c>
      <c r="Y270" s="241" t="s">
        <v>1285</v>
      </c>
      <c r="Z270" s="242" t="s">
        <v>1286</v>
      </c>
      <c r="AA270" s="241" t="s">
        <v>996</v>
      </c>
      <c r="AB270" s="242" t="s">
        <v>997</v>
      </c>
      <c r="AC270" s="241" t="s">
        <v>1104</v>
      </c>
      <c r="AD270" s="242" t="s">
        <v>1105</v>
      </c>
      <c r="AE270" s="241">
        <v>12.89</v>
      </c>
      <c r="AF270" s="242">
        <v>12.45</v>
      </c>
      <c r="AG270" s="241">
        <v>79.23</v>
      </c>
      <c r="AH270" s="242">
        <v>692.95</v>
      </c>
      <c r="AI270" s="499">
        <v>1128.27</v>
      </c>
      <c r="AJ270" s="372">
        <v>70.09</v>
      </c>
      <c r="AK270" s="371">
        <v>37.96</v>
      </c>
      <c r="AL270" s="372">
        <v>19.52</v>
      </c>
      <c r="AM270" s="371">
        <v>20.99</v>
      </c>
      <c r="AN270" s="372">
        <v>17.59</v>
      </c>
      <c r="AO270" s="153">
        <v>21.44</v>
      </c>
      <c r="AP270" s="371">
        <v>88</v>
      </c>
      <c r="AQ270" s="372">
        <v>89.02</v>
      </c>
      <c r="AR270" s="241">
        <v>777.59</v>
      </c>
      <c r="AS270" s="27">
        <v>202.2</v>
      </c>
      <c r="AT270" s="242">
        <v>171.28</v>
      </c>
      <c r="AU270" s="241">
        <v>42.23</v>
      </c>
      <c r="AV270" s="242">
        <v>7.37</v>
      </c>
      <c r="AW270" s="597">
        <v>37.1</v>
      </c>
      <c r="AX270" s="241" t="s">
        <v>1157</v>
      </c>
      <c r="AY270" s="242" t="s">
        <v>1158</v>
      </c>
      <c r="AZ270" s="371">
        <v>3.2</v>
      </c>
      <c r="BA270" s="372">
        <v>522.01</v>
      </c>
      <c r="BB270" s="560" t="s">
        <v>1049</v>
      </c>
      <c r="BC270" s="371">
        <v>13.58</v>
      </c>
      <c r="BD270" s="372">
        <v>66.260000000000005</v>
      </c>
      <c r="JS270" s="5"/>
    </row>
    <row r="271" spans="1:279" s="1" customFormat="1">
      <c r="A271" s="1077"/>
      <c r="B271" s="1084"/>
      <c r="C271" s="130" t="s">
        <v>20</v>
      </c>
      <c r="D271" s="234" t="str">
        <f>+IF(D270&gt;3,"cumple","no cumple")</f>
        <v>cumple</v>
      </c>
      <c r="E271" s="306" t="str">
        <f t="shared" ref="E271:F271" si="167">+IF(E270&gt;3,"cumple","no cumple")</f>
        <v>cumple</v>
      </c>
      <c r="F271" s="255" t="str">
        <f t="shared" si="167"/>
        <v>cumple</v>
      </c>
      <c r="G271" s="234" t="str">
        <f>+IF(G270&gt;3,"cumple","no cumple")</f>
        <v>cumple</v>
      </c>
      <c r="H271" s="154" t="s">
        <v>179</v>
      </c>
      <c r="I271" s="306" t="str">
        <f t="shared" ref="I271:P271" si="168">+IF(I270&gt;3,"cumple","no cumple")</f>
        <v>cumple</v>
      </c>
      <c r="J271" s="279" t="str">
        <f t="shared" si="168"/>
        <v>cumple</v>
      </c>
      <c r="K271" s="306" t="str">
        <f t="shared" si="168"/>
        <v>cumple</v>
      </c>
      <c r="L271" s="279" t="str">
        <f t="shared" si="168"/>
        <v>cumple</v>
      </c>
      <c r="M271" s="306" t="str">
        <f t="shared" si="168"/>
        <v>cumple</v>
      </c>
      <c r="N271" s="279" t="str">
        <f t="shared" si="168"/>
        <v>cumple</v>
      </c>
      <c r="O271" s="306" t="str">
        <f t="shared" si="168"/>
        <v>cumple</v>
      </c>
      <c r="P271" s="279" t="str">
        <f t="shared" si="168"/>
        <v>cumple</v>
      </c>
      <c r="Q271" s="306" t="str">
        <f t="shared" ref="Q271:U271" si="169">+IF(Q270&gt;3,"cumple","no cumple")</f>
        <v>cumple</v>
      </c>
      <c r="R271" s="279" t="str">
        <f t="shared" si="169"/>
        <v>cumple</v>
      </c>
      <c r="S271" s="306" t="str">
        <f t="shared" si="169"/>
        <v>cumple</v>
      </c>
      <c r="T271" s="109" t="str">
        <f t="shared" si="169"/>
        <v>cumple</v>
      </c>
      <c r="U271" s="109" t="str">
        <f t="shared" si="169"/>
        <v>cumple</v>
      </c>
      <c r="V271" s="306" t="str">
        <f t="shared" ref="V271:W271" si="170">+IF(V270&gt;3,"cumple","no cumple")</f>
        <v>cumple</v>
      </c>
      <c r="W271" s="109" t="str">
        <f t="shared" si="170"/>
        <v>cumple</v>
      </c>
      <c r="X271" s="173" t="str">
        <f t="shared" ref="X271:AD271" si="171">+IF(X270&gt;3,"cumple","no cumple")</f>
        <v>cumple</v>
      </c>
      <c r="Y271" s="306" t="str">
        <f t="shared" si="171"/>
        <v>cumple</v>
      </c>
      <c r="Z271" s="279" t="str">
        <f t="shared" si="171"/>
        <v>cumple</v>
      </c>
      <c r="AA271" s="306" t="str">
        <f t="shared" si="171"/>
        <v>cumple</v>
      </c>
      <c r="AB271" s="279" t="str">
        <f t="shared" si="171"/>
        <v>cumple</v>
      </c>
      <c r="AC271" s="306" t="str">
        <f t="shared" si="171"/>
        <v>cumple</v>
      </c>
      <c r="AD271" s="279" t="str">
        <f t="shared" si="171"/>
        <v>cumple</v>
      </c>
      <c r="AE271" s="306" t="str">
        <f t="shared" ref="AE271:AF271" si="172">+IF(AE270&gt;3,"cumple","no cumple")</f>
        <v>cumple</v>
      </c>
      <c r="AF271" s="260" t="str">
        <f t="shared" si="172"/>
        <v>cumple</v>
      </c>
      <c r="AG271" s="306" t="str">
        <f t="shared" ref="AG271:AH271" si="173">+IF(AG270&gt;3,"cumple","no cumple")</f>
        <v>cumple</v>
      </c>
      <c r="AH271" s="260" t="str">
        <f t="shared" si="173"/>
        <v>cumple</v>
      </c>
      <c r="AI271" s="306" t="str">
        <f t="shared" ref="AI271:AJ271" si="174">+IF(AI270&gt;3,"cumple","no cumple")</f>
        <v>cumple</v>
      </c>
      <c r="AJ271" s="260" t="str">
        <f t="shared" si="174"/>
        <v>cumple</v>
      </c>
      <c r="AK271" s="306" t="str">
        <f t="shared" ref="AK271:AL271" si="175">+IF(AK270&gt;3,"cumple","no cumple")</f>
        <v>cumple</v>
      </c>
      <c r="AL271" s="260" t="str">
        <f t="shared" si="175"/>
        <v>cumple</v>
      </c>
      <c r="AM271" s="306" t="str">
        <f t="shared" ref="AM271:AN271" si="176">+IF(AM270&gt;3,"cumple","no cumple")</f>
        <v>cumple</v>
      </c>
      <c r="AN271" s="260" t="str">
        <f t="shared" si="176"/>
        <v>cumple</v>
      </c>
      <c r="AO271" s="173" t="str">
        <f t="shared" ref="AO271" si="177">+IF(AO270&gt;3,"cumple","no cumple")</f>
        <v>cumple</v>
      </c>
      <c r="AP271" s="306" t="str">
        <f t="shared" ref="AP271:AV271" si="178">+IF(AP270&gt;3,"cumple","no cumple")</f>
        <v>cumple</v>
      </c>
      <c r="AQ271" s="260" t="str">
        <f t="shared" si="178"/>
        <v>cumple</v>
      </c>
      <c r="AR271" s="306" t="str">
        <f t="shared" si="178"/>
        <v>cumple</v>
      </c>
      <c r="AS271" s="122" t="str">
        <f t="shared" si="178"/>
        <v>cumple</v>
      </c>
      <c r="AT271" s="518" t="str">
        <f t="shared" si="178"/>
        <v>cumple</v>
      </c>
      <c r="AU271" s="306" t="str">
        <f t="shared" si="178"/>
        <v>cumple</v>
      </c>
      <c r="AV271" s="279" t="str">
        <f t="shared" si="178"/>
        <v>cumple</v>
      </c>
      <c r="AW271" s="173" t="str">
        <f>+IF(AW270&gt;3,"cumple","no cumple")</f>
        <v>cumple</v>
      </c>
      <c r="AX271" s="306" t="str">
        <f t="shared" ref="AX271:AY271" si="179">+IF(AX270&gt;3,"cumple","no cumple")</f>
        <v>cumple</v>
      </c>
      <c r="AY271" s="279" t="str">
        <f t="shared" si="179"/>
        <v>cumple</v>
      </c>
      <c r="AZ271" s="306" t="str">
        <f t="shared" ref="AZ271:BA271" si="180">+IF(AZ270&gt;3,"cumple","no cumple")</f>
        <v>cumple</v>
      </c>
      <c r="BA271" s="260" t="str">
        <f t="shared" si="180"/>
        <v>cumple</v>
      </c>
      <c r="BB271" s="581" t="str">
        <f>+IF(BB270&gt;3,"cumple","no cumple")</f>
        <v>cumple</v>
      </c>
      <c r="BC271" s="306" t="str">
        <f t="shared" ref="BC271:BD271" si="181">+IF(BC270&gt;3,"cumple","no cumple")</f>
        <v>cumple</v>
      </c>
      <c r="BD271" s="260" t="str">
        <f t="shared" si="181"/>
        <v>cumple</v>
      </c>
      <c r="JS271" s="5"/>
    </row>
    <row r="272" spans="1:279" s="1" customFormat="1">
      <c r="A272" s="1077"/>
      <c r="B272" s="1084"/>
      <c r="C272" s="130" t="s">
        <v>0</v>
      </c>
      <c r="D272" s="232" t="s">
        <v>77</v>
      </c>
      <c r="E272" s="305" t="s">
        <v>77</v>
      </c>
      <c r="F272" s="255" t="s">
        <v>77</v>
      </c>
      <c r="G272" s="232" t="s">
        <v>77</v>
      </c>
      <c r="H272" s="154" t="s">
        <v>394</v>
      </c>
      <c r="I272" s="305" t="s">
        <v>77</v>
      </c>
      <c r="J272" s="279" t="s">
        <v>77</v>
      </c>
      <c r="K272" s="305" t="s">
        <v>77</v>
      </c>
      <c r="L272" s="279" t="s">
        <v>77</v>
      </c>
      <c r="M272" s="305" t="s">
        <v>77</v>
      </c>
      <c r="N272" s="279" t="s">
        <v>77</v>
      </c>
      <c r="O272" s="305" t="s">
        <v>77</v>
      </c>
      <c r="P272" s="279" t="s">
        <v>77</v>
      </c>
      <c r="Q272" s="305" t="s">
        <v>77</v>
      </c>
      <c r="R272" s="279" t="s">
        <v>77</v>
      </c>
      <c r="S272" s="305" t="s">
        <v>77</v>
      </c>
      <c r="T272" s="109" t="s">
        <v>77</v>
      </c>
      <c r="U272" s="109" t="s">
        <v>77</v>
      </c>
      <c r="V272" s="305" t="s">
        <v>77</v>
      </c>
      <c r="W272" s="109" t="s">
        <v>77</v>
      </c>
      <c r="X272" s="171" t="s">
        <v>77</v>
      </c>
      <c r="Y272" s="305" t="s">
        <v>77</v>
      </c>
      <c r="Z272" s="279" t="s">
        <v>77</v>
      </c>
      <c r="AA272" s="305" t="s">
        <v>77</v>
      </c>
      <c r="AB272" s="279" t="s">
        <v>77</v>
      </c>
      <c r="AC272" s="305" t="s">
        <v>77</v>
      </c>
      <c r="AD272" s="279" t="s">
        <v>77</v>
      </c>
      <c r="AE272" s="305" t="s">
        <v>77</v>
      </c>
      <c r="AF272" s="279" t="s">
        <v>77</v>
      </c>
      <c r="AG272" s="305" t="s">
        <v>77</v>
      </c>
      <c r="AH272" s="279" t="s">
        <v>77</v>
      </c>
      <c r="AI272" s="305" t="s">
        <v>77</v>
      </c>
      <c r="AJ272" s="279" t="s">
        <v>77</v>
      </c>
      <c r="AK272" s="305" t="s">
        <v>77</v>
      </c>
      <c r="AL272" s="279" t="s">
        <v>77</v>
      </c>
      <c r="AM272" s="305" t="s">
        <v>77</v>
      </c>
      <c r="AN272" s="279" t="s">
        <v>77</v>
      </c>
      <c r="AO272" s="171" t="s">
        <v>77</v>
      </c>
      <c r="AP272" s="305" t="s">
        <v>77</v>
      </c>
      <c r="AQ272" s="279" t="s">
        <v>77</v>
      </c>
      <c r="AR272" s="305" t="s">
        <v>77</v>
      </c>
      <c r="AS272" s="122" t="s">
        <v>77</v>
      </c>
      <c r="AT272" s="303" t="s">
        <v>77</v>
      </c>
      <c r="AU272" s="305" t="s">
        <v>77</v>
      </c>
      <c r="AV272" s="279" t="s">
        <v>77</v>
      </c>
      <c r="AW272" s="171" t="s">
        <v>77</v>
      </c>
      <c r="AX272" s="305" t="s">
        <v>77</v>
      </c>
      <c r="AY272" s="279" t="s">
        <v>77</v>
      </c>
      <c r="AZ272" s="305" t="s">
        <v>77</v>
      </c>
      <c r="BA272" s="279" t="s">
        <v>77</v>
      </c>
      <c r="BB272" s="579" t="s">
        <v>77</v>
      </c>
      <c r="BC272" s="305" t="s">
        <v>77</v>
      </c>
      <c r="BD272" s="279" t="s">
        <v>77</v>
      </c>
      <c r="JS272" s="5"/>
    </row>
    <row r="273" spans="1:279" s="1" customFormat="1" ht="24" customHeight="1">
      <c r="A273" s="1077" t="s">
        <v>29</v>
      </c>
      <c r="B273" s="1103" t="s">
        <v>30</v>
      </c>
      <c r="C273" s="130" t="s">
        <v>109</v>
      </c>
      <c r="D273" s="233">
        <v>0.33</v>
      </c>
      <c r="E273" s="241">
        <v>0.39</v>
      </c>
      <c r="F273" s="273">
        <v>0.49</v>
      </c>
      <c r="G273" s="233">
        <v>0.43</v>
      </c>
      <c r="H273" s="157">
        <v>0.39</v>
      </c>
      <c r="I273" s="241">
        <v>0.39</v>
      </c>
      <c r="J273" s="273">
        <v>0.57999999999999996</v>
      </c>
      <c r="K273" s="241">
        <v>0.14000000000000001</v>
      </c>
      <c r="L273" s="273">
        <v>0.34</v>
      </c>
      <c r="M273" s="241">
        <v>0.28999999999999998</v>
      </c>
      <c r="N273" s="273">
        <v>0.38</v>
      </c>
      <c r="O273" s="241">
        <v>0.18</v>
      </c>
      <c r="P273" s="273">
        <v>0.36</v>
      </c>
      <c r="Q273" s="241">
        <v>0.19</v>
      </c>
      <c r="R273" s="273">
        <v>0.47</v>
      </c>
      <c r="S273" s="241">
        <v>0.36</v>
      </c>
      <c r="T273" s="120">
        <v>0.4</v>
      </c>
      <c r="U273" s="120">
        <v>0.34</v>
      </c>
      <c r="V273" s="695" t="s">
        <v>1225</v>
      </c>
      <c r="W273" s="694" t="s">
        <v>1226</v>
      </c>
      <c r="X273" s="153">
        <v>0.25</v>
      </c>
      <c r="Y273" s="241" t="s">
        <v>1226</v>
      </c>
      <c r="Z273" s="242" t="s">
        <v>1287</v>
      </c>
      <c r="AA273" s="241">
        <v>0.44</v>
      </c>
      <c r="AB273" s="242" t="s">
        <v>998</v>
      </c>
      <c r="AC273" s="241">
        <v>0.28999999999999998</v>
      </c>
      <c r="AD273" s="242" t="s">
        <v>1106</v>
      </c>
      <c r="AE273" s="241">
        <v>0.45</v>
      </c>
      <c r="AF273" s="273">
        <v>0.22</v>
      </c>
      <c r="AG273" s="241">
        <v>0.36</v>
      </c>
      <c r="AH273" s="273">
        <v>0.39</v>
      </c>
      <c r="AI273" s="371">
        <v>0.22</v>
      </c>
      <c r="AJ273" s="498">
        <v>0.31</v>
      </c>
      <c r="AK273" s="371">
        <v>0.35</v>
      </c>
      <c r="AL273" s="498">
        <v>0.32</v>
      </c>
      <c r="AM273" s="371">
        <v>0.27</v>
      </c>
      <c r="AN273" s="498">
        <v>0.37</v>
      </c>
      <c r="AO273" s="153">
        <v>0.45</v>
      </c>
      <c r="AP273" s="494">
        <v>0.35</v>
      </c>
      <c r="AQ273" s="498">
        <v>0.39</v>
      </c>
      <c r="AR273" s="241">
        <v>0.38</v>
      </c>
      <c r="AS273" s="26">
        <v>0.4</v>
      </c>
      <c r="AT273" s="242">
        <v>0.38</v>
      </c>
      <c r="AU273" s="241">
        <v>0.27</v>
      </c>
      <c r="AV273" s="273">
        <v>0.59</v>
      </c>
      <c r="AW273" s="172">
        <v>0.38</v>
      </c>
      <c r="AX273" s="241" t="s">
        <v>1051</v>
      </c>
      <c r="AY273" s="242" t="s">
        <v>1159</v>
      </c>
      <c r="AZ273" s="494">
        <v>0.56000000000000005</v>
      </c>
      <c r="BA273" s="498">
        <v>0.36</v>
      </c>
      <c r="BB273" s="560" t="s">
        <v>1050</v>
      </c>
      <c r="BC273" s="371">
        <v>0.28999999999999998</v>
      </c>
      <c r="BD273" s="498">
        <v>0.23</v>
      </c>
      <c r="JS273" s="5"/>
    </row>
    <row r="274" spans="1:279" s="1" customFormat="1">
      <c r="A274" s="1077"/>
      <c r="B274" s="1103"/>
      <c r="C274" s="130" t="s">
        <v>20</v>
      </c>
      <c r="D274" s="231" t="str">
        <f>+IF(D273&lt;0.6,"cumple","no cumple")</f>
        <v>cumple</v>
      </c>
      <c r="E274" s="304" t="str">
        <f t="shared" ref="E274:F274" si="182">+IF(E273&lt;0.6,"cumple","no cumple")</f>
        <v>cumple</v>
      </c>
      <c r="F274" s="255" t="str">
        <f t="shared" si="182"/>
        <v>cumple</v>
      </c>
      <c r="G274" s="231" t="str">
        <f>+IF(G273&lt;0.6,"cumple","no cumple")</f>
        <v>cumple</v>
      </c>
      <c r="H274" s="154" t="s">
        <v>179</v>
      </c>
      <c r="I274" s="304" t="str">
        <f t="shared" ref="I274:P274" si="183">+IF(I273&lt;0.6,"cumple","no cumple")</f>
        <v>cumple</v>
      </c>
      <c r="J274" s="279" t="str">
        <f t="shared" si="183"/>
        <v>cumple</v>
      </c>
      <c r="K274" s="304" t="str">
        <f t="shared" si="183"/>
        <v>cumple</v>
      </c>
      <c r="L274" s="279" t="str">
        <f t="shared" si="183"/>
        <v>cumple</v>
      </c>
      <c r="M274" s="304" t="str">
        <f t="shared" si="183"/>
        <v>cumple</v>
      </c>
      <c r="N274" s="279" t="str">
        <f t="shared" si="183"/>
        <v>cumple</v>
      </c>
      <c r="O274" s="304" t="str">
        <f t="shared" si="183"/>
        <v>cumple</v>
      </c>
      <c r="P274" s="279" t="str">
        <f t="shared" si="183"/>
        <v>cumple</v>
      </c>
      <c r="Q274" s="304" t="str">
        <f t="shared" ref="Q274:U274" si="184">+IF(Q273&lt;0.6,"cumple","no cumple")</f>
        <v>cumple</v>
      </c>
      <c r="R274" s="279" t="str">
        <f t="shared" si="184"/>
        <v>cumple</v>
      </c>
      <c r="S274" s="304" t="str">
        <f t="shared" si="184"/>
        <v>cumple</v>
      </c>
      <c r="T274" s="109" t="str">
        <f t="shared" si="184"/>
        <v>cumple</v>
      </c>
      <c r="U274" s="109" t="str">
        <f t="shared" si="184"/>
        <v>cumple</v>
      </c>
      <c r="V274" s="304" t="s">
        <v>823</v>
      </c>
      <c r="W274" s="109" t="s">
        <v>823</v>
      </c>
      <c r="X274" s="170" t="str">
        <f t="shared" ref="X274:AC274" si="185">+IF(X273&lt;0.6,"cumple","no cumple")</f>
        <v>cumple</v>
      </c>
      <c r="Y274" s="678" t="s">
        <v>823</v>
      </c>
      <c r="Z274" s="678" t="s">
        <v>823</v>
      </c>
      <c r="AA274" s="304" t="str">
        <f t="shared" si="185"/>
        <v>cumple</v>
      </c>
      <c r="AB274" s="677" t="s">
        <v>823</v>
      </c>
      <c r="AC274" s="304" t="str">
        <f t="shared" si="185"/>
        <v>cumple</v>
      </c>
      <c r="AD274" s="260" t="s">
        <v>823</v>
      </c>
      <c r="AE274" s="304" t="str">
        <f t="shared" ref="AE274:AF274" si="186">+IF(AE273&lt;0.6,"cumple","no cumple")</f>
        <v>cumple</v>
      </c>
      <c r="AF274" s="260" t="str">
        <f t="shared" si="186"/>
        <v>cumple</v>
      </c>
      <c r="AG274" s="304" t="str">
        <f t="shared" ref="AG274:AH274" si="187">+IF(AG273&lt;0.6,"cumple","no cumple")</f>
        <v>cumple</v>
      </c>
      <c r="AH274" s="260" t="str">
        <f t="shared" si="187"/>
        <v>cumple</v>
      </c>
      <c r="AI274" s="304" t="str">
        <f t="shared" ref="AI274:AJ274" si="188">+IF(AI273&lt;0.6,"cumple","no cumple")</f>
        <v>cumple</v>
      </c>
      <c r="AJ274" s="260" t="str">
        <f t="shared" si="188"/>
        <v>cumple</v>
      </c>
      <c r="AK274" s="304" t="str">
        <f t="shared" ref="AK274:AL274" si="189">+IF(AK273&lt;0.6,"cumple","no cumple")</f>
        <v>cumple</v>
      </c>
      <c r="AL274" s="260" t="str">
        <f t="shared" si="189"/>
        <v>cumple</v>
      </c>
      <c r="AM274" s="304" t="str">
        <f t="shared" ref="AM274:AN274" si="190">+IF(AM273&lt;0.6,"cumple","no cumple")</f>
        <v>cumple</v>
      </c>
      <c r="AN274" s="260" t="str">
        <f t="shared" si="190"/>
        <v>cumple</v>
      </c>
      <c r="AO274" s="170" t="str">
        <f t="shared" ref="AO274" si="191">+IF(AO273&lt;0.6,"cumple","no cumple")</f>
        <v>cumple</v>
      </c>
      <c r="AP274" s="304" t="str">
        <f t="shared" ref="AP274:AV274" si="192">+IF(AP273&lt;0.6,"cumple","no cumple")</f>
        <v>cumple</v>
      </c>
      <c r="AQ274" s="260" t="str">
        <f t="shared" si="192"/>
        <v>cumple</v>
      </c>
      <c r="AR274" s="304" t="str">
        <f t="shared" si="192"/>
        <v>cumple</v>
      </c>
      <c r="AS274" s="122" t="str">
        <f t="shared" si="192"/>
        <v>cumple</v>
      </c>
      <c r="AT274" s="302" t="str">
        <f t="shared" si="192"/>
        <v>cumple</v>
      </c>
      <c r="AU274" s="304" t="str">
        <f t="shared" si="192"/>
        <v>cumple</v>
      </c>
      <c r="AV274" s="279" t="str">
        <f t="shared" si="192"/>
        <v>cumple</v>
      </c>
      <c r="AW274" s="170" t="str">
        <f>+IF(AW273&lt;0.6,"cumple","no cumple")</f>
        <v>cumple</v>
      </c>
      <c r="AX274" s="304" t="s">
        <v>823</v>
      </c>
      <c r="AY274" s="260" t="s">
        <v>823</v>
      </c>
      <c r="AZ274" s="304" t="str">
        <f t="shared" ref="AZ274:BA274" si="193">+IF(AZ273&lt;0.6,"cumple","no cumple")</f>
        <v>cumple</v>
      </c>
      <c r="BA274" s="260" t="str">
        <f t="shared" si="193"/>
        <v>cumple</v>
      </c>
      <c r="BB274" s="578" t="s">
        <v>823</v>
      </c>
      <c r="BC274" s="304" t="str">
        <f t="shared" ref="BC274:BD274" si="194">+IF(BC273&lt;0.6,"cumple","no cumple")</f>
        <v>cumple</v>
      </c>
      <c r="BD274" s="260" t="str">
        <f t="shared" si="194"/>
        <v>cumple</v>
      </c>
      <c r="JS274" s="5"/>
    </row>
    <row r="275" spans="1:279" s="1" customFormat="1">
      <c r="A275" s="1077"/>
      <c r="B275" s="1103"/>
      <c r="C275" s="130" t="s">
        <v>0</v>
      </c>
      <c r="D275" s="200" t="s">
        <v>77</v>
      </c>
      <c r="E275" s="291" t="s">
        <v>77</v>
      </c>
      <c r="F275" s="255" t="s">
        <v>77</v>
      </c>
      <c r="G275" s="200" t="s">
        <v>77</v>
      </c>
      <c r="H275" s="154" t="s">
        <v>394</v>
      </c>
      <c r="I275" s="291" t="s">
        <v>77</v>
      </c>
      <c r="J275" s="279" t="s">
        <v>77</v>
      </c>
      <c r="K275" s="291" t="s">
        <v>77</v>
      </c>
      <c r="L275" s="279" t="s">
        <v>77</v>
      </c>
      <c r="M275" s="291" t="s">
        <v>77</v>
      </c>
      <c r="N275" s="279" t="s">
        <v>77</v>
      </c>
      <c r="O275" s="291" t="s">
        <v>77</v>
      </c>
      <c r="P275" s="279" t="s">
        <v>77</v>
      </c>
      <c r="Q275" s="291" t="s">
        <v>77</v>
      </c>
      <c r="R275" s="279" t="s">
        <v>77</v>
      </c>
      <c r="S275" s="291" t="s">
        <v>77</v>
      </c>
      <c r="T275" s="109" t="s">
        <v>77</v>
      </c>
      <c r="U275" s="109" t="s">
        <v>77</v>
      </c>
      <c r="V275" s="291" t="s">
        <v>77</v>
      </c>
      <c r="W275" s="109" t="s">
        <v>77</v>
      </c>
      <c r="X275" s="150" t="s">
        <v>77</v>
      </c>
      <c r="Y275" s="291" t="s">
        <v>77</v>
      </c>
      <c r="Z275" s="279" t="s">
        <v>77</v>
      </c>
      <c r="AA275" s="291" t="s">
        <v>77</v>
      </c>
      <c r="AB275" s="279" t="s">
        <v>77</v>
      </c>
      <c r="AC275" s="291" t="s">
        <v>77</v>
      </c>
      <c r="AD275" s="279" t="s">
        <v>77</v>
      </c>
      <c r="AE275" s="291" t="s">
        <v>77</v>
      </c>
      <c r="AF275" s="279" t="s">
        <v>77</v>
      </c>
      <c r="AG275" s="291" t="s">
        <v>77</v>
      </c>
      <c r="AH275" s="279" t="s">
        <v>77</v>
      </c>
      <c r="AI275" s="291" t="s">
        <v>77</v>
      </c>
      <c r="AJ275" s="279" t="s">
        <v>77</v>
      </c>
      <c r="AK275" s="291" t="s">
        <v>77</v>
      </c>
      <c r="AL275" s="279" t="s">
        <v>77</v>
      </c>
      <c r="AM275" s="291" t="s">
        <v>77</v>
      </c>
      <c r="AN275" s="279" t="s">
        <v>77</v>
      </c>
      <c r="AO275" s="150" t="s">
        <v>77</v>
      </c>
      <c r="AP275" s="291" t="s">
        <v>77</v>
      </c>
      <c r="AQ275" s="279" t="s">
        <v>77</v>
      </c>
      <c r="AR275" s="291" t="s">
        <v>77</v>
      </c>
      <c r="AS275" s="122" t="s">
        <v>77</v>
      </c>
      <c r="AT275" s="292" t="s">
        <v>77</v>
      </c>
      <c r="AU275" s="291" t="s">
        <v>77</v>
      </c>
      <c r="AV275" s="279" t="s">
        <v>77</v>
      </c>
      <c r="AW275" s="150" t="s">
        <v>77</v>
      </c>
      <c r="AX275" s="291" t="s">
        <v>77</v>
      </c>
      <c r="AY275" s="279" t="s">
        <v>77</v>
      </c>
      <c r="AZ275" s="291" t="s">
        <v>77</v>
      </c>
      <c r="BA275" s="279" t="s">
        <v>77</v>
      </c>
      <c r="BB275" s="554" t="s">
        <v>77</v>
      </c>
      <c r="BC275" s="291" t="s">
        <v>77</v>
      </c>
      <c r="BD275" s="279" t="s">
        <v>77</v>
      </c>
      <c r="JS275" s="5"/>
    </row>
    <row r="276" spans="1:279" s="1" customFormat="1" ht="24" customHeight="1">
      <c r="A276" s="1077" t="s">
        <v>107</v>
      </c>
      <c r="B276" s="1084" t="s">
        <v>231</v>
      </c>
      <c r="C276" s="130" t="s">
        <v>21</v>
      </c>
      <c r="D276" s="235">
        <v>4444152981</v>
      </c>
      <c r="E276" s="307">
        <f>1989243208-352814262</f>
        <v>1636428946</v>
      </c>
      <c r="F276" s="308">
        <f>897924064-382056174</f>
        <v>515867890</v>
      </c>
      <c r="G276" s="235">
        <v>4448231672</v>
      </c>
      <c r="H276" s="346">
        <f>14464067832-664118258</f>
        <v>13799949574</v>
      </c>
      <c r="I276" s="307">
        <f>2613939778-281896079</f>
        <v>2332043699</v>
      </c>
      <c r="J276" s="308">
        <f>3207517542-396089225</f>
        <v>2811428317</v>
      </c>
      <c r="K276" s="307">
        <f>10658741401-2322232894</f>
        <v>8336508507</v>
      </c>
      <c r="L276" s="308">
        <f>3817932646-1621998322</f>
        <v>2195934324</v>
      </c>
      <c r="M276" s="307">
        <f>4300599215-597668503</f>
        <v>3702930712</v>
      </c>
      <c r="N276" s="308">
        <f>6400000000-1302552583</f>
        <v>5097447417</v>
      </c>
      <c r="O276" s="307">
        <f>13185225438-1566388189</f>
        <v>11618837249</v>
      </c>
      <c r="P276" s="308">
        <f>5956836000-878587000</f>
        <v>5078249000</v>
      </c>
      <c r="Q276" s="383">
        <v>54283632837</v>
      </c>
      <c r="R276" s="384">
        <v>1191030360</v>
      </c>
      <c r="S276" s="383">
        <v>16718902000</v>
      </c>
      <c r="T276" s="88">
        <v>1258547000</v>
      </c>
      <c r="U276" s="88">
        <v>4757376244</v>
      </c>
      <c r="V276" s="383">
        <v>28773823000</v>
      </c>
      <c r="W276" s="88">
        <v>2916792769</v>
      </c>
      <c r="X276" s="457">
        <f>27302880888-8249359218</f>
        <v>19053521670</v>
      </c>
      <c r="Y276" s="383">
        <v>2471141727</v>
      </c>
      <c r="Z276" s="384">
        <v>3753835027</v>
      </c>
      <c r="AA276" s="383">
        <v>3073075935</v>
      </c>
      <c r="AB276" s="384">
        <v>6698939216</v>
      </c>
      <c r="AC276" s="383">
        <v>7697324000</v>
      </c>
      <c r="AD276" s="384">
        <v>454959110</v>
      </c>
      <c r="AE276" s="307">
        <f>14762334197-3048369936</f>
        <v>11713964261</v>
      </c>
      <c r="AF276" s="308">
        <f>818678953-166241886</f>
        <v>652437067</v>
      </c>
      <c r="AG276" s="307">
        <f>5934226471-447915387</f>
        <v>5486311084</v>
      </c>
      <c r="AH276" s="308">
        <f>730716092-59888389</f>
        <v>670827703</v>
      </c>
      <c r="AI276" s="499">
        <f>14841511815-1885584092</f>
        <v>12955927723</v>
      </c>
      <c r="AJ276" s="308">
        <f>13844435612-1709648403</f>
        <v>12134787209</v>
      </c>
      <c r="AK276" s="499">
        <f>8071207936-2946317642</f>
        <v>5124890294</v>
      </c>
      <c r="AL276" s="308">
        <f>4747522000-1126856000</f>
        <v>3620666000</v>
      </c>
      <c r="AM276" s="499">
        <f>2413342292-572522082</f>
        <v>1840820210</v>
      </c>
      <c r="AN276" s="308">
        <f>9232227829-1829389310</f>
        <v>7402838519</v>
      </c>
      <c r="AO276" s="457">
        <f>55683870193-12744452059</f>
        <v>42939418134</v>
      </c>
      <c r="AP276" s="517">
        <f>38792442193-7199642939</f>
        <v>31592799254</v>
      </c>
      <c r="AQ276" s="308">
        <f>5850138191-175453684</f>
        <v>5674684507</v>
      </c>
      <c r="AR276" s="307">
        <f>19402317245-8850838537</f>
        <v>10551478708</v>
      </c>
      <c r="AS276" s="46">
        <f>19821159617-320488325</f>
        <v>19500671292</v>
      </c>
      <c r="AT276" s="308">
        <f>1906204634-414848016</f>
        <v>1491356618</v>
      </c>
      <c r="AU276" s="307">
        <f>3439850565-804378550</f>
        <v>2635472015</v>
      </c>
      <c r="AV276" s="308">
        <f>73780305000-46972535000</f>
        <v>26807770000</v>
      </c>
      <c r="AW276" s="174">
        <v>4253495279</v>
      </c>
      <c r="AX276" s="383">
        <v>11241620002.82</v>
      </c>
      <c r="AY276" s="384">
        <v>364496908</v>
      </c>
      <c r="AZ276" s="517">
        <f>62282633847-18430361036</f>
        <v>43852272811</v>
      </c>
      <c r="BA276" s="308">
        <f>3790162425-492087750</f>
        <v>3298074675</v>
      </c>
      <c r="BB276" s="575">
        <v>9864139000</v>
      </c>
      <c r="BC276" s="499">
        <f>9147448827-1522665577</f>
        <v>7624783250</v>
      </c>
      <c r="BD276" s="308">
        <f>3473081110-832975440</f>
        <v>2640105670</v>
      </c>
      <c r="JS276" s="5"/>
    </row>
    <row r="277" spans="1:279" s="1" customFormat="1" ht="18.75" customHeight="1">
      <c r="A277" s="1077"/>
      <c r="B277" s="1084"/>
      <c r="C277" s="130" t="s">
        <v>186</v>
      </c>
      <c r="D277" s="193"/>
      <c r="E277" s="1063">
        <f>+E276+F276</f>
        <v>2152296836</v>
      </c>
      <c r="F277" s="1064"/>
      <c r="G277" s="193"/>
      <c r="H277" s="146"/>
      <c r="I277" s="1063">
        <f>+I276+J276</f>
        <v>5143472016</v>
      </c>
      <c r="J277" s="1064"/>
      <c r="K277" s="1063">
        <f>+K276+L276</f>
        <v>10532442831</v>
      </c>
      <c r="L277" s="1064"/>
      <c r="M277" s="1063">
        <f>+M276+N276</f>
        <v>8800378129</v>
      </c>
      <c r="N277" s="1064"/>
      <c r="O277" s="1063">
        <f>+O276+P276</f>
        <v>16697086249</v>
      </c>
      <c r="P277" s="1064"/>
      <c r="Q277" s="996">
        <f>+Q276+R276</f>
        <v>55474663197</v>
      </c>
      <c r="R277" s="1102"/>
      <c r="S277" s="996">
        <f>+S276+T276+U276</f>
        <v>22734825244</v>
      </c>
      <c r="T277" s="997"/>
      <c r="U277" s="974"/>
      <c r="V277" s="988">
        <f>+V276+W276</f>
        <v>31690615769</v>
      </c>
      <c r="W277" s="989"/>
      <c r="X277" s="458">
        <f>+X276</f>
        <v>19053521670</v>
      </c>
      <c r="Y277" s="988">
        <f>+Y276+Z276</f>
        <v>6224976754</v>
      </c>
      <c r="Z277" s="1029"/>
      <c r="AA277" s="988">
        <f>+AA276+AB276</f>
        <v>9772015151</v>
      </c>
      <c r="AB277" s="1029"/>
      <c r="AC277" s="988">
        <f>+AC276+AD276</f>
        <v>8152283110</v>
      </c>
      <c r="AD277" s="1029"/>
      <c r="AE277" s="1063">
        <f>+AE276+AF276</f>
        <v>12366401328</v>
      </c>
      <c r="AF277" s="1064"/>
      <c r="AG277" s="1063">
        <f>+AG276+AH276</f>
        <v>6157138787</v>
      </c>
      <c r="AH277" s="1064"/>
      <c r="AI277" s="1063">
        <f>+AI276+AJ276</f>
        <v>25090714932</v>
      </c>
      <c r="AJ277" s="1064"/>
      <c r="AK277" s="1063">
        <f>+AK276+AL276</f>
        <v>8745556294</v>
      </c>
      <c r="AL277" s="1064"/>
      <c r="AM277" s="1063">
        <f>+AM276+AN276</f>
        <v>9243658729</v>
      </c>
      <c r="AN277" s="1064"/>
      <c r="AO277" s="458">
        <f>+AO276</f>
        <v>42939418134</v>
      </c>
      <c r="AP277" s="1063">
        <f>+AP276+AQ276</f>
        <v>37267483761</v>
      </c>
      <c r="AQ277" s="1064"/>
      <c r="AR277" s="1234">
        <f>+AR276+AS276+AT276</f>
        <v>31543506618</v>
      </c>
      <c r="AS277" s="1235"/>
      <c r="AT277" s="1236"/>
      <c r="AU277" s="1063">
        <f>+AU276+AV276</f>
        <v>29443242015</v>
      </c>
      <c r="AV277" s="1064"/>
      <c r="AW277" s="174">
        <v>4253495279</v>
      </c>
      <c r="AX277" s="988">
        <f>+AX276+AY276</f>
        <v>11606116910.82</v>
      </c>
      <c r="AY277" s="1029"/>
      <c r="AZ277" s="1063">
        <f>+AZ276+BA276</f>
        <v>47150347486</v>
      </c>
      <c r="BA277" s="1064"/>
      <c r="BB277" s="548">
        <v>9864139000</v>
      </c>
      <c r="BC277" s="1063">
        <f>+BC276+BD276</f>
        <v>10264888920</v>
      </c>
      <c r="BD277" s="1064"/>
      <c r="JS277" s="5"/>
    </row>
    <row r="278" spans="1:279" s="1" customFormat="1">
      <c r="A278" s="1077"/>
      <c r="B278" s="1084"/>
      <c r="C278" s="130" t="s">
        <v>20</v>
      </c>
      <c r="D278" s="188" t="str">
        <f>+IF(D276&gt;1030662850,"cumple","no cumple")</f>
        <v>cumple</v>
      </c>
      <c r="E278" s="964" t="str">
        <f>+IF(E277&gt;1030662850,"cumple","no cumple")</f>
        <v>cumple</v>
      </c>
      <c r="F278" s="969"/>
      <c r="G278" s="188" t="str">
        <f>+IF(G276&gt;1030662850,"cumple","no cumple")</f>
        <v>cumple</v>
      </c>
      <c r="H278" s="142" t="s">
        <v>179</v>
      </c>
      <c r="I278" s="964" t="str">
        <f>+IF(I277&gt;1030662850,"cumple","no cumple")</f>
        <v>cumple</v>
      </c>
      <c r="J278" s="969"/>
      <c r="K278" s="964" t="str">
        <f>+IF(K277&gt;1030662850,"cumple","no cumple")</f>
        <v>cumple</v>
      </c>
      <c r="L278" s="969"/>
      <c r="M278" s="964" t="str">
        <f>+IF(M277&gt;1030662850,"cumple","no cumple")</f>
        <v>cumple</v>
      </c>
      <c r="N278" s="969"/>
      <c r="O278" s="964" t="str">
        <f>+IF(O277&gt;1030662850,"cumple","no cumple")</f>
        <v>cumple</v>
      </c>
      <c r="P278" s="969"/>
      <c r="Q278" s="948" t="s">
        <v>999</v>
      </c>
      <c r="R278" s="968"/>
      <c r="S278" s="948" t="s">
        <v>999</v>
      </c>
      <c r="T278" s="949"/>
      <c r="U278" s="974"/>
      <c r="V278" s="964" t="s">
        <v>999</v>
      </c>
      <c r="W278" s="965"/>
      <c r="X278" s="450" t="str">
        <f>+IF(X277&gt;1030662850,"cumple","no cumple")</f>
        <v>cumple</v>
      </c>
      <c r="Y278" s="964" t="s">
        <v>999</v>
      </c>
      <c r="Z278" s="969"/>
      <c r="AA278" s="964" t="s">
        <v>999</v>
      </c>
      <c r="AB278" s="969"/>
      <c r="AC278" s="964" t="s">
        <v>999</v>
      </c>
      <c r="AD278" s="969"/>
      <c r="AE278" s="964" t="str">
        <f>+IF(AE277&gt;1030662850,"cumple","no cumple")</f>
        <v>cumple</v>
      </c>
      <c r="AF278" s="969"/>
      <c r="AG278" s="964" t="str">
        <f>+IF(AG277&gt;1030662850,"cumple","no cumple")</f>
        <v>cumple</v>
      </c>
      <c r="AH278" s="969"/>
      <c r="AI278" s="964" t="str">
        <f>+IF(AI277&gt;1030662850,"cumple","no cumple")</f>
        <v>cumple</v>
      </c>
      <c r="AJ278" s="969"/>
      <c r="AK278" s="964" t="str">
        <f>+IF(AK277&gt;1030662850,"cumple","no cumple")</f>
        <v>cumple</v>
      </c>
      <c r="AL278" s="969"/>
      <c r="AM278" s="964" t="str">
        <f>+IF(AM277&gt;1030662850,"cumple","no cumple")</f>
        <v>cumple</v>
      </c>
      <c r="AN278" s="969"/>
      <c r="AO278" s="450" t="str">
        <f>+IF(AO277&gt;1030662850,"cumple","no cumple")</f>
        <v>cumple</v>
      </c>
      <c r="AP278" s="964" t="str">
        <f>+IF(AP277&gt;1030662850,"cumple","no cumple")</f>
        <v>cumple</v>
      </c>
      <c r="AQ278" s="969"/>
      <c r="AR278" s="948" t="str">
        <f>+IF(AR277&gt;1030662850,"cumple","no cumple")</f>
        <v>cumple</v>
      </c>
      <c r="AS278" s="949"/>
      <c r="AT278" s="968"/>
      <c r="AU278" s="964" t="str">
        <f>+IF(AU277&gt;1030662850,"cumple","no cumple")</f>
        <v>cumple</v>
      </c>
      <c r="AV278" s="969"/>
      <c r="AW278" s="142" t="str">
        <f>+IF(AW276&gt;1030662850,"cumple","no cumple")</f>
        <v>cumple</v>
      </c>
      <c r="AX278" s="964" t="s">
        <v>999</v>
      </c>
      <c r="AY278" s="969"/>
      <c r="AZ278" s="964" t="str">
        <f>+IF(AZ277&gt;1030662850,"cumple","no cumple")</f>
        <v>cumple</v>
      </c>
      <c r="BA278" s="969"/>
      <c r="BB278" s="319" t="s">
        <v>999</v>
      </c>
      <c r="BC278" s="964" t="str">
        <f>+IF(BC277&gt;1030662850,"cumple","no cumple")</f>
        <v>cumple</v>
      </c>
      <c r="BD278" s="969"/>
      <c r="JS278" s="5"/>
    </row>
    <row r="279" spans="1:279" s="1" customFormat="1">
      <c r="A279" s="1077"/>
      <c r="B279" s="1084"/>
      <c r="C279" s="130" t="s">
        <v>0</v>
      </c>
      <c r="D279" s="189" t="s">
        <v>77</v>
      </c>
      <c r="E279" s="966" t="s">
        <v>77</v>
      </c>
      <c r="F279" s="967"/>
      <c r="G279" s="251" t="s">
        <v>77</v>
      </c>
      <c r="H279" s="143" t="s">
        <v>394</v>
      </c>
      <c r="I279" s="966" t="s">
        <v>77</v>
      </c>
      <c r="J279" s="967"/>
      <c r="K279" s="966" t="s">
        <v>77</v>
      </c>
      <c r="L279" s="967"/>
      <c r="M279" s="966" t="s">
        <v>77</v>
      </c>
      <c r="N279" s="967"/>
      <c r="O279" s="966" t="s">
        <v>77</v>
      </c>
      <c r="P279" s="967"/>
      <c r="Q279" s="998" t="s">
        <v>77</v>
      </c>
      <c r="R279" s="1000"/>
      <c r="S279" s="998" t="s">
        <v>77</v>
      </c>
      <c r="T279" s="999"/>
      <c r="U279" s="974"/>
      <c r="V279" s="966" t="s">
        <v>77</v>
      </c>
      <c r="W279" s="990"/>
      <c r="X279" s="145" t="s">
        <v>77</v>
      </c>
      <c r="Y279" s="966" t="s">
        <v>77</v>
      </c>
      <c r="Z279" s="967"/>
      <c r="AA279" s="966" t="s">
        <v>77</v>
      </c>
      <c r="AB279" s="967"/>
      <c r="AC279" s="966" t="s">
        <v>77</v>
      </c>
      <c r="AD279" s="967"/>
      <c r="AE279" s="966" t="s">
        <v>77</v>
      </c>
      <c r="AF279" s="967"/>
      <c r="AG279" s="966" t="s">
        <v>77</v>
      </c>
      <c r="AH279" s="967"/>
      <c r="AI279" s="966" t="s">
        <v>77</v>
      </c>
      <c r="AJ279" s="967"/>
      <c r="AK279" s="966" t="s">
        <v>77</v>
      </c>
      <c r="AL279" s="967"/>
      <c r="AM279" s="966" t="s">
        <v>77</v>
      </c>
      <c r="AN279" s="967"/>
      <c r="AO279" s="145" t="s">
        <v>77</v>
      </c>
      <c r="AP279" s="966" t="s">
        <v>77</v>
      </c>
      <c r="AQ279" s="967"/>
      <c r="AR279" s="998" t="s">
        <v>77</v>
      </c>
      <c r="AS279" s="999"/>
      <c r="AT279" s="1000"/>
      <c r="AU279" s="966" t="s">
        <v>77</v>
      </c>
      <c r="AV279" s="967"/>
      <c r="AW279" s="143" t="s">
        <v>77</v>
      </c>
      <c r="AX279" s="966" t="s">
        <v>77</v>
      </c>
      <c r="AY279" s="967"/>
      <c r="AZ279" s="966" t="s">
        <v>77</v>
      </c>
      <c r="BA279" s="967"/>
      <c r="BB279" s="252" t="s">
        <v>77</v>
      </c>
      <c r="BC279" s="966" t="s">
        <v>77</v>
      </c>
      <c r="BD279" s="967"/>
      <c r="JS279" s="5"/>
    </row>
    <row r="280" spans="1:279" s="1" customFormat="1">
      <c r="A280" s="1077" t="s">
        <v>114</v>
      </c>
      <c r="B280" s="1084" t="s">
        <v>127</v>
      </c>
      <c r="C280" s="130" t="s">
        <v>113</v>
      </c>
      <c r="D280" s="207">
        <v>0.73</v>
      </c>
      <c r="E280" s="262">
        <v>0.62</v>
      </c>
      <c r="F280" s="309">
        <v>0.37</v>
      </c>
      <c r="G280" s="207">
        <v>0.26</v>
      </c>
      <c r="H280" s="347">
        <v>0.4</v>
      </c>
      <c r="I280" s="262">
        <v>0.26</v>
      </c>
      <c r="J280" s="309">
        <v>1.23</v>
      </c>
      <c r="K280" s="262">
        <v>0.19</v>
      </c>
      <c r="L280" s="309">
        <v>0.22</v>
      </c>
      <c r="M280" s="262">
        <v>0.28000000000000003</v>
      </c>
      <c r="N280" s="309">
        <v>0.33</v>
      </c>
      <c r="O280" s="262">
        <v>0.33</v>
      </c>
      <c r="P280" s="309">
        <v>0.24</v>
      </c>
      <c r="Q280" s="262" t="s">
        <v>1324</v>
      </c>
      <c r="R280" s="309">
        <v>0.26</v>
      </c>
      <c r="S280" s="241" t="s">
        <v>1390</v>
      </c>
      <c r="T280" s="89" t="s">
        <v>1160</v>
      </c>
      <c r="U280" s="118" t="s">
        <v>1391</v>
      </c>
      <c r="V280" s="262">
        <v>0.36</v>
      </c>
      <c r="W280" s="89">
        <v>1.03</v>
      </c>
      <c r="X280" s="459">
        <v>0.18</v>
      </c>
      <c r="Y280" s="262" t="s">
        <v>1225</v>
      </c>
      <c r="Z280" s="309" t="s">
        <v>1107</v>
      </c>
      <c r="AA280" s="241">
        <v>1.21</v>
      </c>
      <c r="AB280" s="309">
        <v>0.46</v>
      </c>
      <c r="AC280" s="241" t="s">
        <v>1107</v>
      </c>
      <c r="AD280" s="309" t="s">
        <v>250</v>
      </c>
      <c r="AE280" s="381">
        <v>0.51</v>
      </c>
      <c r="AF280" s="309">
        <v>0.2</v>
      </c>
      <c r="AG280" s="381">
        <v>0.56000000000000005</v>
      </c>
      <c r="AH280" s="309">
        <v>0.89</v>
      </c>
      <c r="AI280" s="500">
        <v>0.38</v>
      </c>
      <c r="AJ280" s="469">
        <v>1.1599999999999999</v>
      </c>
      <c r="AK280" s="500">
        <v>0.12</v>
      </c>
      <c r="AL280" s="469">
        <v>0.21</v>
      </c>
      <c r="AM280" s="500">
        <v>0.19</v>
      </c>
      <c r="AN280" s="469">
        <v>0.17</v>
      </c>
      <c r="AO280" s="459">
        <v>0.47</v>
      </c>
      <c r="AP280" s="500">
        <v>0.28000000000000003</v>
      </c>
      <c r="AQ280" s="469">
        <v>0.63</v>
      </c>
      <c r="AR280" s="262">
        <v>0.64</v>
      </c>
      <c r="AS280" s="38">
        <v>0.83</v>
      </c>
      <c r="AT280" s="309">
        <v>0.28999999999999998</v>
      </c>
      <c r="AU280" s="262">
        <v>0.63</v>
      </c>
      <c r="AV280" s="309">
        <v>0.33</v>
      </c>
      <c r="AW280" s="172">
        <v>0.25</v>
      </c>
      <c r="AX280" s="241" t="s">
        <v>1160</v>
      </c>
      <c r="AY280" s="309" t="s">
        <v>1161</v>
      </c>
      <c r="AZ280" s="500">
        <v>0.23</v>
      </c>
      <c r="BA280" s="469">
        <v>0.56000000000000005</v>
      </c>
      <c r="BB280" s="560" t="s">
        <v>1051</v>
      </c>
      <c r="BC280" s="500">
        <v>0.2</v>
      </c>
      <c r="BD280" s="469">
        <v>0.18</v>
      </c>
      <c r="JS280" s="5"/>
    </row>
    <row r="281" spans="1:279" s="1" customFormat="1">
      <c r="A281" s="1077"/>
      <c r="B281" s="1084"/>
      <c r="C281" s="130" t="s">
        <v>20</v>
      </c>
      <c r="D281" s="188" t="str">
        <f>+IF(D280&gt;0.15,"cumple","no cumple")</f>
        <v>cumple</v>
      </c>
      <c r="E281" s="68" t="str">
        <f t="shared" ref="E281:F281" si="195">+IF(E280&gt;0.15,"cumple","no cumple")</f>
        <v>cumple</v>
      </c>
      <c r="F281" s="258" t="str">
        <f t="shared" si="195"/>
        <v>cumple</v>
      </c>
      <c r="G281" s="188" t="str">
        <f>+IF(G280&gt;0.15,"cumple","no cumple")</f>
        <v>cumple</v>
      </c>
      <c r="H281" s="144" t="s">
        <v>179</v>
      </c>
      <c r="I281" s="126" t="str">
        <f t="shared" ref="I281:P281" si="196">+IF(I280&gt;0.15,"cumple","no cumple")</f>
        <v>cumple</v>
      </c>
      <c r="J281" s="277" t="str">
        <f t="shared" si="196"/>
        <v>cumple</v>
      </c>
      <c r="K281" s="126" t="str">
        <f t="shared" si="196"/>
        <v>cumple</v>
      </c>
      <c r="L281" s="277" t="str">
        <f t="shared" si="196"/>
        <v>cumple</v>
      </c>
      <c r="M281" s="126" t="str">
        <f t="shared" si="196"/>
        <v>cumple</v>
      </c>
      <c r="N281" s="277" t="str">
        <f t="shared" si="196"/>
        <v>cumple</v>
      </c>
      <c r="O281" s="126" t="str">
        <f t="shared" si="196"/>
        <v>cumple</v>
      </c>
      <c r="P281" s="277" t="str">
        <f t="shared" si="196"/>
        <v>cumple</v>
      </c>
      <c r="Q281" s="126" t="str">
        <f t="shared" ref="Q281:T281" si="197">+IF(Q280&gt;0.15,"cumple","no cumple")</f>
        <v>cumple</v>
      </c>
      <c r="R281" s="277" t="str">
        <f t="shared" si="197"/>
        <v>cumple</v>
      </c>
      <c r="S281" s="126" t="str">
        <f t="shared" si="197"/>
        <v>cumple</v>
      </c>
      <c r="T281" s="118" t="str">
        <f t="shared" si="197"/>
        <v>cumple</v>
      </c>
      <c r="U281" s="118" t="s">
        <v>823</v>
      </c>
      <c r="V281" s="126" t="str">
        <f t="shared" ref="V281:W281" si="198">+IF(V280&gt;0.15,"cumple","no cumple")</f>
        <v>cumple</v>
      </c>
      <c r="W281" s="118" t="str">
        <f t="shared" si="198"/>
        <v>cumple</v>
      </c>
      <c r="X281" s="142" t="str">
        <f t="shared" ref="X281:AD281" si="199">+IF(X280&gt;0.15,"cumple","no cumple")</f>
        <v>cumple</v>
      </c>
      <c r="Y281" s="126" t="str">
        <f t="shared" si="199"/>
        <v>cumple</v>
      </c>
      <c r="Z281" s="277" t="str">
        <f t="shared" si="199"/>
        <v>cumple</v>
      </c>
      <c r="AA281" s="126" t="str">
        <f t="shared" si="199"/>
        <v>cumple</v>
      </c>
      <c r="AB281" s="277" t="str">
        <f t="shared" si="199"/>
        <v>cumple</v>
      </c>
      <c r="AC281" s="126" t="str">
        <f t="shared" si="199"/>
        <v>cumple</v>
      </c>
      <c r="AD281" s="277" t="str">
        <f t="shared" si="199"/>
        <v>cumple</v>
      </c>
      <c r="AE281" s="126" t="str">
        <f t="shared" ref="AE281:AF281" si="200">+IF(AE280&gt;0.15,"cumple","no cumple")</f>
        <v>cumple</v>
      </c>
      <c r="AF281" s="322" t="str">
        <f t="shared" si="200"/>
        <v>cumple</v>
      </c>
      <c r="AG281" s="126" t="str">
        <f t="shared" ref="AG281:AH281" si="201">+IF(AG280&gt;0.15,"cumple","no cumple")</f>
        <v>cumple</v>
      </c>
      <c r="AH281" s="322" t="str">
        <f t="shared" si="201"/>
        <v>cumple</v>
      </c>
      <c r="AI281" s="126" t="str">
        <f t="shared" ref="AI281:AJ281" si="202">+IF(AI280&gt;0.15,"cumple","no cumple")</f>
        <v>cumple</v>
      </c>
      <c r="AJ281" s="322" t="str">
        <f t="shared" si="202"/>
        <v>cumple</v>
      </c>
      <c r="AK281" s="661" t="s">
        <v>823</v>
      </c>
      <c r="AL281" s="322" t="str">
        <f t="shared" ref="AL281" si="203">+IF(AL280&gt;0.15,"cumple","no cumple")</f>
        <v>cumple</v>
      </c>
      <c r="AM281" s="126" t="str">
        <f t="shared" ref="AM281:AN281" si="204">+IF(AM280&gt;0.15,"cumple","no cumple")</f>
        <v>cumple</v>
      </c>
      <c r="AN281" s="322" t="str">
        <f t="shared" si="204"/>
        <v>cumple</v>
      </c>
      <c r="AO281" s="142" t="str">
        <f t="shared" ref="AO281" si="205">+IF(AO280&gt;0.15,"cumple","no cumple")</f>
        <v>cumple</v>
      </c>
      <c r="AP281" s="126" t="str">
        <f t="shared" ref="AP281:AS281" si="206">+IF(AP280&gt;0.15,"cumple","no cumple")</f>
        <v>cumple</v>
      </c>
      <c r="AQ281" s="322" t="str">
        <f t="shared" si="206"/>
        <v>cumple</v>
      </c>
      <c r="AR281" s="126" t="str">
        <f t="shared" si="206"/>
        <v>cumple</v>
      </c>
      <c r="AS281" s="121" t="str">
        <f t="shared" si="206"/>
        <v>cumple</v>
      </c>
      <c r="AT281" s="277" t="s">
        <v>823</v>
      </c>
      <c r="AU281" s="126" t="str">
        <f t="shared" ref="AU281:AV281" si="207">+IF(AU280&gt;0.15,"cumple","no cumple")</f>
        <v>cumple</v>
      </c>
      <c r="AV281" s="277" t="str">
        <f t="shared" si="207"/>
        <v>cumple</v>
      </c>
      <c r="AW281" s="142" t="str">
        <f>+IF(AW280&gt;0.15,"cumple","no cumple")</f>
        <v>cumple</v>
      </c>
      <c r="AX281" s="126" t="str">
        <f t="shared" ref="AX281:AY281" si="208">+IF(AX280&gt;0.15,"cumple","no cumple")</f>
        <v>cumple</v>
      </c>
      <c r="AY281" s="277" t="str">
        <f t="shared" si="208"/>
        <v>cumple</v>
      </c>
      <c r="AZ281" s="126" t="str">
        <f t="shared" ref="AZ281:BA281" si="209">+IF(AZ280&gt;0.15,"cumple","no cumple")</f>
        <v>cumple</v>
      </c>
      <c r="BA281" s="322" t="str">
        <f t="shared" si="209"/>
        <v>cumple</v>
      </c>
      <c r="BB281" s="319" t="str">
        <f>+IF(BB280&gt;0.15,"cumple","no cumple")</f>
        <v>cumple</v>
      </c>
      <c r="BC281" s="126" t="str">
        <f t="shared" ref="BC281:BD281" si="210">+IF(BC280&gt;0.15,"cumple","no cumple")</f>
        <v>cumple</v>
      </c>
      <c r="BD281" s="322" t="str">
        <f t="shared" si="210"/>
        <v>cumple</v>
      </c>
      <c r="JS281" s="5"/>
    </row>
    <row r="282" spans="1:279" s="1" customFormat="1">
      <c r="A282" s="1077"/>
      <c r="B282" s="1084"/>
      <c r="C282" s="130" t="s">
        <v>0</v>
      </c>
      <c r="D282" s="189" t="s">
        <v>77</v>
      </c>
      <c r="E282" s="245" t="s">
        <v>77</v>
      </c>
      <c r="F282" s="258" t="s">
        <v>77</v>
      </c>
      <c r="G282" s="251" t="s">
        <v>77</v>
      </c>
      <c r="H282" s="144" t="s">
        <v>394</v>
      </c>
      <c r="I282" s="253" t="s">
        <v>77</v>
      </c>
      <c r="J282" s="277" t="s">
        <v>77</v>
      </c>
      <c r="K282" s="253" t="s">
        <v>77</v>
      </c>
      <c r="L282" s="277"/>
      <c r="M282" s="253" t="s">
        <v>77</v>
      </c>
      <c r="N282" s="277"/>
      <c r="O282" s="253" t="s">
        <v>77</v>
      </c>
      <c r="P282" s="277"/>
      <c r="Q282" s="253" t="s">
        <v>77</v>
      </c>
      <c r="R282" s="277" t="s">
        <v>77</v>
      </c>
      <c r="S282" s="253" t="s">
        <v>77</v>
      </c>
      <c r="T282" s="118" t="s">
        <v>77</v>
      </c>
      <c r="U282" s="118" t="s">
        <v>77</v>
      </c>
      <c r="V282" s="253" t="s">
        <v>77</v>
      </c>
      <c r="W282" s="118" t="s">
        <v>77</v>
      </c>
      <c r="X282" s="143" t="s">
        <v>77</v>
      </c>
      <c r="Y282" s="253" t="s">
        <v>77</v>
      </c>
      <c r="Z282" s="277" t="s">
        <v>77</v>
      </c>
      <c r="AA282" s="253" t="s">
        <v>77</v>
      </c>
      <c r="AB282" s="277" t="s">
        <v>77</v>
      </c>
      <c r="AC282" s="253" t="s">
        <v>77</v>
      </c>
      <c r="AD282" s="277" t="s">
        <v>77</v>
      </c>
      <c r="AE282" s="253" t="s">
        <v>77</v>
      </c>
      <c r="AF282" s="277" t="s">
        <v>77</v>
      </c>
      <c r="AG282" s="253" t="s">
        <v>77</v>
      </c>
      <c r="AH282" s="277" t="s">
        <v>77</v>
      </c>
      <c r="AI282" s="253" t="s">
        <v>77</v>
      </c>
      <c r="AJ282" s="277" t="s">
        <v>77</v>
      </c>
      <c r="AK282" s="662" t="s">
        <v>77</v>
      </c>
      <c r="AL282" s="277" t="s">
        <v>77</v>
      </c>
      <c r="AM282" s="253" t="s">
        <v>77</v>
      </c>
      <c r="AN282" s="277" t="s">
        <v>77</v>
      </c>
      <c r="AO282" s="143" t="s">
        <v>77</v>
      </c>
      <c r="AP282" s="253" t="s">
        <v>77</v>
      </c>
      <c r="AQ282" s="277" t="s">
        <v>77</v>
      </c>
      <c r="AR282" s="253" t="s">
        <v>77</v>
      </c>
      <c r="AS282" s="121" t="s">
        <v>394</v>
      </c>
      <c r="AT282" s="277" t="s">
        <v>77</v>
      </c>
      <c r="AU282" s="253" t="s">
        <v>77</v>
      </c>
      <c r="AV282" s="277"/>
      <c r="AW282" s="143" t="s">
        <v>77</v>
      </c>
      <c r="AX282" s="253" t="s">
        <v>77</v>
      </c>
      <c r="AY282" s="277" t="s">
        <v>77</v>
      </c>
      <c r="AZ282" s="253" t="s">
        <v>77</v>
      </c>
      <c r="BA282" s="277" t="s">
        <v>77</v>
      </c>
      <c r="BB282" s="252" t="s">
        <v>77</v>
      </c>
      <c r="BC282" s="253" t="s">
        <v>77</v>
      </c>
      <c r="BD282" s="277" t="s">
        <v>77</v>
      </c>
      <c r="JS282" s="5"/>
    </row>
    <row r="283" spans="1:279" s="1" customFormat="1" ht="25.5" customHeight="1">
      <c r="A283" s="1077" t="s">
        <v>115</v>
      </c>
      <c r="B283" s="1084" t="s">
        <v>128</v>
      </c>
      <c r="C283" s="130" t="s">
        <v>112</v>
      </c>
      <c r="D283" s="207">
        <v>0.48</v>
      </c>
      <c r="E283" s="262">
        <v>0.38</v>
      </c>
      <c r="F283" s="309" t="s">
        <v>250</v>
      </c>
      <c r="G283" s="207">
        <v>0.14000000000000001</v>
      </c>
      <c r="H283" s="347">
        <v>0.24</v>
      </c>
      <c r="I283" s="262">
        <v>0.15</v>
      </c>
      <c r="J283" s="309">
        <v>0.5</v>
      </c>
      <c r="K283" s="262">
        <v>0.15</v>
      </c>
      <c r="L283" s="309">
        <v>0.14000000000000001</v>
      </c>
      <c r="M283" s="262">
        <v>0.19</v>
      </c>
      <c r="N283" s="309">
        <v>0.2</v>
      </c>
      <c r="O283" s="262">
        <v>0.27</v>
      </c>
      <c r="P283" s="309">
        <v>0.15</v>
      </c>
      <c r="Q283" s="381">
        <v>0.18</v>
      </c>
      <c r="R283" s="309">
        <v>0.21</v>
      </c>
      <c r="S283" s="381" t="s">
        <v>1392</v>
      </c>
      <c r="T283" s="89" t="s">
        <v>1393</v>
      </c>
      <c r="U283" s="118" t="s">
        <v>1161</v>
      </c>
      <c r="V283" s="262">
        <v>0.23</v>
      </c>
      <c r="W283" s="89" t="s">
        <v>1227</v>
      </c>
      <c r="X283" s="459">
        <v>0.13</v>
      </c>
      <c r="Y283" s="262" t="s">
        <v>1288</v>
      </c>
      <c r="Z283" s="309" t="s">
        <v>1289</v>
      </c>
      <c r="AA283" s="381" t="s">
        <v>1000</v>
      </c>
      <c r="AB283" s="309" t="s">
        <v>1001</v>
      </c>
      <c r="AC283" s="381" t="s">
        <v>1108</v>
      </c>
      <c r="AD283" s="309" t="s">
        <v>1106</v>
      </c>
      <c r="AE283" s="381">
        <v>0.28000000000000003</v>
      </c>
      <c r="AF283" s="309">
        <v>0.17</v>
      </c>
      <c r="AG283" s="381">
        <v>0.34</v>
      </c>
      <c r="AH283" s="309">
        <v>0.54</v>
      </c>
      <c r="AI283" s="500">
        <v>0.28999999999999998</v>
      </c>
      <c r="AJ283" s="469">
        <v>0.79</v>
      </c>
      <c r="AK283" s="661" t="s">
        <v>823</v>
      </c>
      <c r="AL283" s="469">
        <v>0.14000000000000001</v>
      </c>
      <c r="AM283" s="500">
        <v>0.13</v>
      </c>
      <c r="AN283" s="469">
        <v>0.1</v>
      </c>
      <c r="AO283" s="459">
        <v>0.25</v>
      </c>
      <c r="AP283" s="500">
        <v>0.18</v>
      </c>
      <c r="AQ283" s="469">
        <v>0.38</v>
      </c>
      <c r="AR283" s="262">
        <v>0.39</v>
      </c>
      <c r="AS283" s="38">
        <v>0.49</v>
      </c>
      <c r="AT283" s="309">
        <v>0.17</v>
      </c>
      <c r="AU283" s="262">
        <v>0.45</v>
      </c>
      <c r="AV283" s="309">
        <v>0.13</v>
      </c>
      <c r="AW283" s="172">
        <v>0.15</v>
      </c>
      <c r="AX283" s="381" t="s">
        <v>1159</v>
      </c>
      <c r="AY283" s="309" t="s">
        <v>1050</v>
      </c>
      <c r="AZ283" s="500">
        <v>0.1</v>
      </c>
      <c r="BA283" s="469">
        <v>0.36</v>
      </c>
      <c r="BB283" s="560" t="s">
        <v>250</v>
      </c>
      <c r="BC283" s="500">
        <v>0.14000000000000001</v>
      </c>
      <c r="BD283" s="469">
        <v>0.12</v>
      </c>
      <c r="JS283" s="5"/>
    </row>
    <row r="284" spans="1:279" s="1" customFormat="1">
      <c r="A284" s="1077"/>
      <c r="B284" s="1084"/>
      <c r="C284" s="130" t="s">
        <v>20</v>
      </c>
      <c r="D284" s="188" t="str">
        <f>+IF(D283&gt;0.1,"cumple","no cumple")</f>
        <v>cumple</v>
      </c>
      <c r="E284" s="68" t="str">
        <f t="shared" ref="E284:F284" si="211">+IF(E283&gt;0.1,"cumple","no cumple")</f>
        <v>cumple</v>
      </c>
      <c r="F284" s="258" t="str">
        <f t="shared" si="211"/>
        <v>cumple</v>
      </c>
      <c r="G284" s="188" t="str">
        <f>+IF(G283&gt;0.1,"cumple","no cumple")</f>
        <v>cumple</v>
      </c>
      <c r="H284" s="144" t="s">
        <v>179</v>
      </c>
      <c r="I284" s="126" t="str">
        <f t="shared" ref="I284:P284" si="212">+IF(I283&gt;0.1,"cumple","no cumple")</f>
        <v>cumple</v>
      </c>
      <c r="J284" s="277" t="str">
        <f t="shared" si="212"/>
        <v>cumple</v>
      </c>
      <c r="K284" s="126" t="str">
        <f t="shared" si="212"/>
        <v>cumple</v>
      </c>
      <c r="L284" s="277" t="str">
        <f t="shared" si="212"/>
        <v>cumple</v>
      </c>
      <c r="M284" s="126" t="str">
        <f t="shared" si="212"/>
        <v>cumple</v>
      </c>
      <c r="N284" s="277" t="str">
        <f t="shared" si="212"/>
        <v>cumple</v>
      </c>
      <c r="O284" s="126" t="str">
        <f t="shared" si="212"/>
        <v>cumple</v>
      </c>
      <c r="P284" s="277" t="str">
        <f t="shared" si="212"/>
        <v>cumple</v>
      </c>
      <c r="Q284" s="126" t="str">
        <f t="shared" ref="Q284:T284" si="213">+IF(Q283&gt;0.1,"cumple","no cumple")</f>
        <v>cumple</v>
      </c>
      <c r="R284" s="277" t="str">
        <f t="shared" si="213"/>
        <v>cumple</v>
      </c>
      <c r="S284" s="126" t="str">
        <f t="shared" si="213"/>
        <v>cumple</v>
      </c>
      <c r="T284" s="118" t="str">
        <f t="shared" si="213"/>
        <v>cumple</v>
      </c>
      <c r="U284" s="118" t="s">
        <v>1394</v>
      </c>
      <c r="V284" s="126" t="str">
        <f t="shared" ref="V284:W284" si="214">+IF(V283&gt;0.1,"cumple","no cumple")</f>
        <v>cumple</v>
      </c>
      <c r="W284" s="118" t="str">
        <f t="shared" si="214"/>
        <v>cumple</v>
      </c>
      <c r="X284" s="142" t="str">
        <f t="shared" ref="X284:AD284" si="215">+IF(X283&gt;0.1,"cumple","no cumple")</f>
        <v>cumple</v>
      </c>
      <c r="Y284" s="126" t="str">
        <f t="shared" si="215"/>
        <v>cumple</v>
      </c>
      <c r="Z284" s="277" t="str">
        <f t="shared" si="215"/>
        <v>cumple</v>
      </c>
      <c r="AA284" s="126" t="str">
        <f t="shared" si="215"/>
        <v>cumple</v>
      </c>
      <c r="AB284" s="277" t="str">
        <f t="shared" si="215"/>
        <v>cumple</v>
      </c>
      <c r="AC284" s="126" t="str">
        <f t="shared" si="215"/>
        <v>cumple</v>
      </c>
      <c r="AD284" s="277" t="str">
        <f t="shared" si="215"/>
        <v>cumple</v>
      </c>
      <c r="AE284" s="126" t="str">
        <f t="shared" ref="AE284:AF284" si="216">+IF(AE283&gt;0.1,"cumple","no cumple")</f>
        <v>cumple</v>
      </c>
      <c r="AF284" s="322" t="str">
        <f t="shared" si="216"/>
        <v>cumple</v>
      </c>
      <c r="AG284" s="126" t="str">
        <f t="shared" ref="AG284:AH284" si="217">+IF(AG283&gt;0.1,"cumple","no cumple")</f>
        <v>cumple</v>
      </c>
      <c r="AH284" s="322" t="str">
        <f t="shared" si="217"/>
        <v>cumple</v>
      </c>
      <c r="AI284" s="126" t="str">
        <f t="shared" ref="AI284:AJ284" si="218">+IF(AI283&gt;0.1,"cumple","no cumple")</f>
        <v>cumple</v>
      </c>
      <c r="AJ284" s="322" t="str">
        <f t="shared" si="218"/>
        <v>cumple</v>
      </c>
      <c r="AK284" s="662" t="s">
        <v>77</v>
      </c>
      <c r="AL284" s="322" t="str">
        <f t="shared" ref="AL284" si="219">+IF(AL283&gt;0.1,"cumple","no cumple")</f>
        <v>cumple</v>
      </c>
      <c r="AM284" s="126" t="str">
        <f t="shared" ref="AM284" si="220">+IF(AM283&gt;0.1,"cumple","no cumple")</f>
        <v>cumple</v>
      </c>
      <c r="AN284" s="661" t="s">
        <v>823</v>
      </c>
      <c r="AO284" s="142" t="str">
        <f t="shared" ref="AO284" si="221">+IF(AO283&gt;0.1,"cumple","no cumple")</f>
        <v>cumple</v>
      </c>
      <c r="AP284" s="126" t="str">
        <f t="shared" ref="AP284:AS284" si="222">+IF(AP283&gt;0.1,"cumple","no cumple")</f>
        <v>cumple</v>
      </c>
      <c r="AQ284" s="322" t="str">
        <f t="shared" si="222"/>
        <v>cumple</v>
      </c>
      <c r="AR284" s="126" t="str">
        <f t="shared" si="222"/>
        <v>cumple</v>
      </c>
      <c r="AS284" s="121" t="str">
        <f t="shared" si="222"/>
        <v>cumple</v>
      </c>
      <c r="AT284" s="277" t="s">
        <v>179</v>
      </c>
      <c r="AU284" s="126" t="str">
        <f t="shared" ref="AU284:AV284" si="223">+IF(AU283&gt;0.1,"cumple","no cumple")</f>
        <v>cumple</v>
      </c>
      <c r="AV284" s="277" t="str">
        <f t="shared" si="223"/>
        <v>cumple</v>
      </c>
      <c r="AW284" s="142" t="str">
        <f>+IF(AW283&gt;0.1,"cumple","no cumple")</f>
        <v>cumple</v>
      </c>
      <c r="AX284" s="126" t="str">
        <f t="shared" ref="AX284:AY284" si="224">+IF(AX283&gt;0.1,"cumple","no cumple")</f>
        <v>cumple</v>
      </c>
      <c r="AY284" s="277" t="str">
        <f t="shared" si="224"/>
        <v>cumple</v>
      </c>
      <c r="AZ284" s="661" t="s">
        <v>1649</v>
      </c>
      <c r="BA284" s="322" t="str">
        <f t="shared" ref="BA284" si="225">+IF(BA283&gt;0.1,"cumple","no cumple")</f>
        <v>cumple</v>
      </c>
      <c r="BB284" s="319" t="str">
        <f>+IF(BB283&gt;0.1,"cumple","no cumple")</f>
        <v>cumple</v>
      </c>
      <c r="BC284" s="126" t="str">
        <f t="shared" ref="BC284:BD284" si="226">+IF(BC283&gt;0.1,"cumple","no cumple")</f>
        <v>cumple</v>
      </c>
      <c r="BD284" s="322" t="str">
        <f t="shared" si="226"/>
        <v>cumple</v>
      </c>
      <c r="JS284" s="5"/>
    </row>
    <row r="285" spans="1:279" s="1" customFormat="1">
      <c r="A285" s="1077"/>
      <c r="B285" s="1084"/>
      <c r="C285" s="130" t="s">
        <v>0</v>
      </c>
      <c r="D285" s="189" t="s">
        <v>77</v>
      </c>
      <c r="E285" s="68"/>
      <c r="F285" s="274"/>
      <c r="G285" s="251" t="s">
        <v>77</v>
      </c>
      <c r="H285" s="142" t="s">
        <v>394</v>
      </c>
      <c r="I285" s="126"/>
      <c r="J285" s="293"/>
      <c r="K285" s="689"/>
      <c r="L285" s="293"/>
      <c r="M285" s="268"/>
      <c r="N285" s="293"/>
      <c r="O285" s="268"/>
      <c r="P285" s="293"/>
      <c r="Q285" s="126"/>
      <c r="R285" s="293"/>
      <c r="S285" s="126" t="s">
        <v>77</v>
      </c>
      <c r="T285" s="107" t="s">
        <v>77</v>
      </c>
      <c r="U285" s="108" t="s">
        <v>77</v>
      </c>
      <c r="V285" s="126" t="s">
        <v>1082</v>
      </c>
      <c r="W285" s="107" t="s">
        <v>1082</v>
      </c>
      <c r="X285" s="142" t="s">
        <v>77</v>
      </c>
      <c r="Y285" s="126" t="s">
        <v>1082</v>
      </c>
      <c r="Z285" s="293" t="s">
        <v>1082</v>
      </c>
      <c r="AA285" s="126"/>
      <c r="AB285" s="293"/>
      <c r="AC285" s="126" t="s">
        <v>77</v>
      </c>
      <c r="AD285" s="293" t="s">
        <v>77</v>
      </c>
      <c r="AE285" s="126" t="s">
        <v>77</v>
      </c>
      <c r="AF285" s="293" t="s">
        <v>77</v>
      </c>
      <c r="AG285" s="126" t="s">
        <v>77</v>
      </c>
      <c r="AH285" s="293" t="s">
        <v>77</v>
      </c>
      <c r="AI285" s="126" t="s">
        <v>77</v>
      </c>
      <c r="AJ285" s="293" t="s">
        <v>77</v>
      </c>
      <c r="AK285" s="126" t="s">
        <v>77</v>
      </c>
      <c r="AL285" s="293"/>
      <c r="AM285" s="126" t="s">
        <v>77</v>
      </c>
      <c r="AN285" s="293" t="s">
        <v>77</v>
      </c>
      <c r="AO285" s="142" t="s">
        <v>77</v>
      </c>
      <c r="AP285" s="126" t="s">
        <v>77</v>
      </c>
      <c r="AQ285" s="293" t="s">
        <v>77</v>
      </c>
      <c r="AR285" s="268"/>
      <c r="AS285" s="106"/>
      <c r="AT285" s="293"/>
      <c r="AU285" s="268"/>
      <c r="AV285" s="293"/>
      <c r="AW285" s="143" t="s">
        <v>77</v>
      </c>
      <c r="AX285" s="126" t="s">
        <v>77</v>
      </c>
      <c r="AY285" s="293" t="s">
        <v>77</v>
      </c>
      <c r="AZ285" s="126" t="s">
        <v>77</v>
      </c>
      <c r="BA285" s="293" t="s">
        <v>77</v>
      </c>
      <c r="BB285" s="252" t="s">
        <v>77</v>
      </c>
      <c r="BC285" s="126" t="s">
        <v>77</v>
      </c>
      <c r="BD285" s="293" t="s">
        <v>77</v>
      </c>
      <c r="JS285" s="5"/>
    </row>
    <row r="286" spans="1:279" s="1" customFormat="1" ht="36" customHeight="1">
      <c r="A286" s="1093" t="s">
        <v>238</v>
      </c>
      <c r="B286" s="1094"/>
      <c r="C286" s="1095"/>
      <c r="D286" s="236" t="s">
        <v>179</v>
      </c>
      <c r="E286" s="310" t="s">
        <v>179</v>
      </c>
      <c r="F286" s="311" t="s">
        <v>179</v>
      </c>
      <c r="G286" s="315" t="s">
        <v>179</v>
      </c>
      <c r="H286" s="348" t="s">
        <v>179</v>
      </c>
      <c r="I286" s="310" t="s">
        <v>179</v>
      </c>
      <c r="J286" s="311" t="s">
        <v>179</v>
      </c>
      <c r="K286" s="310" t="s">
        <v>823</v>
      </c>
      <c r="L286" s="311" t="s">
        <v>179</v>
      </c>
      <c r="M286" s="310" t="s">
        <v>179</v>
      </c>
      <c r="N286" s="311" t="s">
        <v>179</v>
      </c>
      <c r="O286" s="310" t="s">
        <v>179</v>
      </c>
      <c r="P286" s="311" t="s">
        <v>179</v>
      </c>
      <c r="Q286" s="126" t="s">
        <v>179</v>
      </c>
      <c r="R286" s="311" t="s">
        <v>179</v>
      </c>
      <c r="S286" s="126" t="s">
        <v>179</v>
      </c>
      <c r="T286" s="90" t="s">
        <v>179</v>
      </c>
      <c r="U286" s="118" t="s">
        <v>999</v>
      </c>
      <c r="V286" s="126" t="s">
        <v>179</v>
      </c>
      <c r="W286" s="90" t="s">
        <v>179</v>
      </c>
      <c r="X286" s="175" t="s">
        <v>179</v>
      </c>
      <c r="Y286" s="126" t="s">
        <v>179</v>
      </c>
      <c r="Z286" s="311" t="s">
        <v>179</v>
      </c>
      <c r="AA286" s="126" t="s">
        <v>179</v>
      </c>
      <c r="AB286" s="311" t="s">
        <v>179</v>
      </c>
      <c r="AC286" s="126" t="s">
        <v>179</v>
      </c>
      <c r="AD286" s="322" t="s">
        <v>179</v>
      </c>
      <c r="AE286" s="310" t="s">
        <v>179</v>
      </c>
      <c r="AF286" s="482" t="s">
        <v>179</v>
      </c>
      <c r="AG286" s="310" t="s">
        <v>179</v>
      </c>
      <c r="AH286" s="482" t="s">
        <v>179</v>
      </c>
      <c r="AI286" s="310" t="s">
        <v>179</v>
      </c>
      <c r="AJ286" s="482" t="s">
        <v>179</v>
      </c>
      <c r="AK286" s="310" t="s">
        <v>179</v>
      </c>
      <c r="AL286" s="482" t="s">
        <v>179</v>
      </c>
      <c r="AM286" s="310" t="s">
        <v>179</v>
      </c>
      <c r="AN286" s="482" t="s">
        <v>179</v>
      </c>
      <c r="AO286" s="175" t="s">
        <v>179</v>
      </c>
      <c r="AP286" s="310" t="s">
        <v>179</v>
      </c>
      <c r="AQ286" s="482" t="s">
        <v>179</v>
      </c>
      <c r="AR286" s="310" t="s">
        <v>179</v>
      </c>
      <c r="AS286" s="36" t="s">
        <v>179</v>
      </c>
      <c r="AT286" s="311" t="s">
        <v>179</v>
      </c>
      <c r="AU286" s="310" t="s">
        <v>179</v>
      </c>
      <c r="AV286" s="311" t="s">
        <v>179</v>
      </c>
      <c r="AW286" s="175" t="s">
        <v>833</v>
      </c>
      <c r="AX286" s="126" t="s">
        <v>179</v>
      </c>
      <c r="AY286" s="322" t="s">
        <v>179</v>
      </c>
      <c r="AZ286" s="310" t="s">
        <v>179</v>
      </c>
      <c r="BA286" s="482" t="s">
        <v>179</v>
      </c>
      <c r="BB286" s="660" t="s">
        <v>999</v>
      </c>
      <c r="BC286" s="310" t="s">
        <v>179</v>
      </c>
      <c r="BD286" s="482" t="s">
        <v>179</v>
      </c>
      <c r="JS286" s="5"/>
    </row>
    <row r="287" spans="1:279" s="1" customFormat="1">
      <c r="A287" s="1077" t="s">
        <v>106</v>
      </c>
      <c r="B287" s="1096" t="s">
        <v>145</v>
      </c>
      <c r="C287" s="139" t="s">
        <v>33</v>
      </c>
      <c r="D287" s="236" t="s">
        <v>175</v>
      </c>
      <c r="E287" s="310" t="s">
        <v>175</v>
      </c>
      <c r="F287" s="312"/>
      <c r="G287" s="315" t="s">
        <v>175</v>
      </c>
      <c r="H287" s="349" t="s">
        <v>175</v>
      </c>
      <c r="I287" s="310" t="s">
        <v>175</v>
      </c>
      <c r="J287" s="312" t="s">
        <v>175</v>
      </c>
      <c r="K287" s="310" t="s">
        <v>175</v>
      </c>
      <c r="L287" s="312" t="s">
        <v>175</v>
      </c>
      <c r="M287" s="310" t="s">
        <v>175</v>
      </c>
      <c r="N287" s="312" t="s">
        <v>175</v>
      </c>
      <c r="O287" s="310" t="s">
        <v>175</v>
      </c>
      <c r="P287" s="312"/>
      <c r="Q287" s="126" t="s">
        <v>175</v>
      </c>
      <c r="R287" s="312" t="s">
        <v>175</v>
      </c>
      <c r="S287" s="126" t="s">
        <v>175</v>
      </c>
      <c r="T287" s="91" t="s">
        <v>175</v>
      </c>
      <c r="U287" s="118" t="s">
        <v>943</v>
      </c>
      <c r="V287" s="126" t="s">
        <v>175</v>
      </c>
      <c r="W287" s="400" t="s">
        <v>175</v>
      </c>
      <c r="X287" s="348" t="s">
        <v>175</v>
      </c>
      <c r="Y287" s="126" t="s">
        <v>175</v>
      </c>
      <c r="Z287" s="312" t="s">
        <v>175</v>
      </c>
      <c r="AA287" s="126" t="s">
        <v>175</v>
      </c>
      <c r="AB287" s="398" t="s">
        <v>175</v>
      </c>
      <c r="AC287" s="126" t="s">
        <v>175</v>
      </c>
      <c r="AD287" s="279" t="s">
        <v>175</v>
      </c>
      <c r="AE287" s="1097" t="s">
        <v>178</v>
      </c>
      <c r="AF287" s="311" t="s">
        <v>175</v>
      </c>
      <c r="AG287" s="487" t="s">
        <v>175</v>
      </c>
      <c r="AH287" s="311" t="s">
        <v>175</v>
      </c>
      <c r="AI287" s="487" t="s">
        <v>175</v>
      </c>
      <c r="AJ287" s="1065" t="s">
        <v>178</v>
      </c>
      <c r="AK287" s="487" t="s">
        <v>175</v>
      </c>
      <c r="AL287" s="1065" t="s">
        <v>178</v>
      </c>
      <c r="AM287" s="487" t="s">
        <v>175</v>
      </c>
      <c r="AN287" s="1065" t="s">
        <v>178</v>
      </c>
      <c r="AO287" s="348" t="s">
        <v>175</v>
      </c>
      <c r="AP287" s="487" t="s">
        <v>175</v>
      </c>
      <c r="AQ287" s="1065" t="s">
        <v>178</v>
      </c>
      <c r="AR287" s="310" t="s">
        <v>175</v>
      </c>
      <c r="AS287" s="6"/>
      <c r="AT287" s="312"/>
      <c r="AU287" s="310" t="s">
        <v>175</v>
      </c>
      <c r="AV287" s="312"/>
      <c r="AW287" s="175" t="s">
        <v>175</v>
      </c>
      <c r="AX287" s="126" t="s">
        <v>175</v>
      </c>
      <c r="AY287" s="279" t="s">
        <v>175</v>
      </c>
      <c r="AZ287" s="487" t="s">
        <v>175</v>
      </c>
      <c r="BA287" s="1065" t="s">
        <v>178</v>
      </c>
      <c r="BB287" s="319" t="s">
        <v>264</v>
      </c>
      <c r="BC287" s="1175" t="s">
        <v>178</v>
      </c>
      <c r="BD287" s="311" t="s">
        <v>175</v>
      </c>
      <c r="JS287" s="5"/>
    </row>
    <row r="288" spans="1:279" s="1" customFormat="1" ht="30">
      <c r="A288" s="1077"/>
      <c r="B288" s="1096"/>
      <c r="C288" s="139" t="s">
        <v>188</v>
      </c>
      <c r="D288" s="189" t="s">
        <v>895</v>
      </c>
      <c r="E288" s="245" t="s">
        <v>1403</v>
      </c>
      <c r="F288" s="312"/>
      <c r="G288" s="251" t="s">
        <v>839</v>
      </c>
      <c r="H288" s="349" t="s">
        <v>1432</v>
      </c>
      <c r="I288" s="253" t="s">
        <v>1403</v>
      </c>
      <c r="J288" s="254" t="s">
        <v>1403</v>
      </c>
      <c r="K288" s="253" t="s">
        <v>1403</v>
      </c>
      <c r="L288" s="254" t="s">
        <v>1403</v>
      </c>
      <c r="M288" s="253" t="s">
        <v>1403</v>
      </c>
      <c r="N288" s="254" t="s">
        <v>1403</v>
      </c>
      <c r="O288" s="253" t="s">
        <v>1403</v>
      </c>
      <c r="P288" s="254"/>
      <c r="Q288" s="385" t="s">
        <v>943</v>
      </c>
      <c r="R288" s="386" t="s">
        <v>863</v>
      </c>
      <c r="S288" s="253" t="s">
        <v>863</v>
      </c>
      <c r="T288" s="91" t="s">
        <v>863</v>
      </c>
      <c r="U288" s="91" t="s">
        <v>943</v>
      </c>
      <c r="V288" s="253" t="s">
        <v>1228</v>
      </c>
      <c r="W288" s="437" t="s">
        <v>1229</v>
      </c>
      <c r="X288" s="143" t="s">
        <v>784</v>
      </c>
      <c r="Y288" s="253" t="s">
        <v>1241</v>
      </c>
      <c r="Z288" s="412" t="s">
        <v>1240</v>
      </c>
      <c r="AA288" s="253" t="s">
        <v>863</v>
      </c>
      <c r="AB288" s="398" t="s">
        <v>863</v>
      </c>
      <c r="AC288" s="253" t="s">
        <v>943</v>
      </c>
      <c r="AD288" s="279" t="s">
        <v>863</v>
      </c>
      <c r="AE288" s="1098"/>
      <c r="AF288" s="311" t="s">
        <v>356</v>
      </c>
      <c r="AG288" s="487" t="s">
        <v>424</v>
      </c>
      <c r="AH288" s="1065" t="s">
        <v>178</v>
      </c>
      <c r="AI288" s="487" t="s">
        <v>479</v>
      </c>
      <c r="AJ288" s="1066"/>
      <c r="AK288" s="508" t="s">
        <v>545</v>
      </c>
      <c r="AL288" s="1066"/>
      <c r="AM288" s="253" t="s">
        <v>550</v>
      </c>
      <c r="AN288" s="1066"/>
      <c r="AO288" s="145" t="s">
        <v>897</v>
      </c>
      <c r="AP288" s="253" t="s">
        <v>608</v>
      </c>
      <c r="AQ288" s="1066"/>
      <c r="AR288" s="253" t="s">
        <v>1403</v>
      </c>
      <c r="AS288" s="117"/>
      <c r="AT288" s="254"/>
      <c r="AU288" s="253" t="s">
        <v>1403</v>
      </c>
      <c r="AV288" s="254"/>
      <c r="AW288" s="143" t="s">
        <v>834</v>
      </c>
      <c r="AX288" s="253" t="s">
        <v>863</v>
      </c>
      <c r="AY288" s="279" t="s">
        <v>863</v>
      </c>
      <c r="AZ288" s="253" t="s">
        <v>669</v>
      </c>
      <c r="BA288" s="1066"/>
      <c r="BB288" s="252" t="s">
        <v>863</v>
      </c>
      <c r="BC288" s="1176"/>
      <c r="BD288" s="540" t="s">
        <v>748</v>
      </c>
      <c r="JS288" s="5"/>
    </row>
    <row r="289" spans="1:279" s="1" customFormat="1">
      <c r="A289" s="1077"/>
      <c r="B289" s="1096"/>
      <c r="C289" s="139" t="s">
        <v>146</v>
      </c>
      <c r="D289" s="237" t="s">
        <v>192</v>
      </c>
      <c r="E289" s="313" t="s">
        <v>1404</v>
      </c>
      <c r="F289" s="312"/>
      <c r="G289" s="237" t="s">
        <v>192</v>
      </c>
      <c r="H289" s="349" t="s">
        <v>457</v>
      </c>
      <c r="I289" s="313" t="s">
        <v>1404</v>
      </c>
      <c r="J289" s="352" t="s">
        <v>1404</v>
      </c>
      <c r="K289" s="313" t="s">
        <v>1404</v>
      </c>
      <c r="L289" s="352" t="s">
        <v>1404</v>
      </c>
      <c r="M289" s="313" t="s">
        <v>1404</v>
      </c>
      <c r="N289" s="352" t="s">
        <v>1404</v>
      </c>
      <c r="O289" s="313" t="s">
        <v>1404</v>
      </c>
      <c r="P289" s="352"/>
      <c r="Q289" s="385" t="s">
        <v>943</v>
      </c>
      <c r="R289" s="386" t="s">
        <v>1002</v>
      </c>
      <c r="S289" s="253" t="s">
        <v>863</v>
      </c>
      <c r="T289" s="91" t="s">
        <v>1002</v>
      </c>
      <c r="U289" s="91" t="s">
        <v>943</v>
      </c>
      <c r="V289" s="253" t="s">
        <v>192</v>
      </c>
      <c r="W289" s="400" t="s">
        <v>1230</v>
      </c>
      <c r="X289" s="348" t="s">
        <v>785</v>
      </c>
      <c r="Y289" s="253" t="s">
        <v>192</v>
      </c>
      <c r="Z289" s="312" t="s">
        <v>1230</v>
      </c>
      <c r="AA289" s="253" t="s">
        <v>863</v>
      </c>
      <c r="AB289" s="398" t="s">
        <v>1002</v>
      </c>
      <c r="AC289" s="253" t="s">
        <v>943</v>
      </c>
      <c r="AD289" s="279" t="s">
        <v>1002</v>
      </c>
      <c r="AE289" s="1098"/>
      <c r="AF289" s="311" t="s">
        <v>397</v>
      </c>
      <c r="AG289" s="487" t="s">
        <v>457</v>
      </c>
      <c r="AH289" s="1066"/>
      <c r="AI289" s="487" t="s">
        <v>192</v>
      </c>
      <c r="AJ289" s="1066"/>
      <c r="AK289" s="487" t="s">
        <v>544</v>
      </c>
      <c r="AL289" s="1066"/>
      <c r="AM289" s="487" t="s">
        <v>192</v>
      </c>
      <c r="AN289" s="1066"/>
      <c r="AO289" s="348" t="s">
        <v>785</v>
      </c>
      <c r="AP289" s="487" t="s">
        <v>192</v>
      </c>
      <c r="AQ289" s="1066"/>
      <c r="AR289" s="313" t="s">
        <v>1404</v>
      </c>
      <c r="AS289" s="14"/>
      <c r="AT289" s="352"/>
      <c r="AU289" s="313" t="s">
        <v>1404</v>
      </c>
      <c r="AV289" s="352"/>
      <c r="AW289" s="176" t="s">
        <v>835</v>
      </c>
      <c r="AX289" s="253" t="s">
        <v>78</v>
      </c>
      <c r="AY289" s="279" t="s">
        <v>1002</v>
      </c>
      <c r="AZ289" s="487" t="s">
        <v>457</v>
      </c>
      <c r="BA289" s="1066"/>
      <c r="BB289" s="252" t="s">
        <v>863</v>
      </c>
      <c r="BC289" s="1176"/>
      <c r="BD289" s="311" t="s">
        <v>457</v>
      </c>
      <c r="JS289" s="5"/>
    </row>
    <row r="290" spans="1:279" s="1" customFormat="1">
      <c r="A290" s="1077"/>
      <c r="B290" s="1096"/>
      <c r="C290" s="139" t="s">
        <v>189</v>
      </c>
      <c r="D290" s="237" t="s">
        <v>177</v>
      </c>
      <c r="E290" s="313" t="s">
        <v>243</v>
      </c>
      <c r="F290" s="312"/>
      <c r="G290" s="237" t="s">
        <v>175</v>
      </c>
      <c r="H290" s="349" t="s">
        <v>175</v>
      </c>
      <c r="I290" s="313" t="s">
        <v>243</v>
      </c>
      <c r="J290" s="352" t="s">
        <v>243</v>
      </c>
      <c r="K290" s="313" t="s">
        <v>243</v>
      </c>
      <c r="L290" s="352" t="s">
        <v>243</v>
      </c>
      <c r="M290" s="313" t="s">
        <v>243</v>
      </c>
      <c r="N290" s="352" t="s">
        <v>243</v>
      </c>
      <c r="O290" s="313" t="s">
        <v>243</v>
      </c>
      <c r="P290" s="352"/>
      <c r="Q290" s="385" t="s">
        <v>863</v>
      </c>
      <c r="R290" s="386" t="s">
        <v>567</v>
      </c>
      <c r="S290" s="253" t="s">
        <v>863</v>
      </c>
      <c r="T290" s="91" t="s">
        <v>863</v>
      </c>
      <c r="U290" s="91" t="s">
        <v>943</v>
      </c>
      <c r="V290" s="253" t="s">
        <v>1231</v>
      </c>
      <c r="W290" s="400" t="s">
        <v>863</v>
      </c>
      <c r="X290" s="348" t="s">
        <v>175</v>
      </c>
      <c r="Y290" s="253" t="s">
        <v>1231</v>
      </c>
      <c r="Z290" s="312" t="s">
        <v>863</v>
      </c>
      <c r="AA290" s="253" t="s">
        <v>863</v>
      </c>
      <c r="AB290" s="398" t="s">
        <v>863</v>
      </c>
      <c r="AC290" s="253" t="s">
        <v>943</v>
      </c>
      <c r="AD290" s="279" t="s">
        <v>863</v>
      </c>
      <c r="AE290" s="1098"/>
      <c r="AF290" s="311" t="s">
        <v>175</v>
      </c>
      <c r="AG290" s="487" t="s">
        <v>175</v>
      </c>
      <c r="AH290" s="1066"/>
      <c r="AI290" s="487" t="s">
        <v>175</v>
      </c>
      <c r="AJ290" s="1066"/>
      <c r="AK290" s="487" t="s">
        <v>175</v>
      </c>
      <c r="AL290" s="1066"/>
      <c r="AM290" s="487" t="s">
        <v>175</v>
      </c>
      <c r="AN290" s="1066"/>
      <c r="AO290" s="348" t="s">
        <v>175</v>
      </c>
      <c r="AP290" s="487" t="s">
        <v>175</v>
      </c>
      <c r="AQ290" s="1066"/>
      <c r="AR290" s="313" t="s">
        <v>243</v>
      </c>
      <c r="AS290" s="14"/>
      <c r="AT290" s="352"/>
      <c r="AU290" s="313" t="s">
        <v>243</v>
      </c>
      <c r="AV290" s="352"/>
      <c r="AW290" s="176" t="s">
        <v>78</v>
      </c>
      <c r="AX290" s="253" t="s">
        <v>863</v>
      </c>
      <c r="AY290" s="279" t="s">
        <v>943</v>
      </c>
      <c r="AZ290" s="487" t="s">
        <v>175</v>
      </c>
      <c r="BA290" s="1066"/>
      <c r="BB290" s="252" t="s">
        <v>863</v>
      </c>
      <c r="BC290" s="1176"/>
      <c r="BD290" s="311" t="s">
        <v>175</v>
      </c>
      <c r="JS290" s="5"/>
    </row>
    <row r="291" spans="1:279" s="1" customFormat="1">
      <c r="A291" s="1077"/>
      <c r="B291" s="1096"/>
      <c r="C291" s="139" t="s">
        <v>190</v>
      </c>
      <c r="D291" s="199" t="s">
        <v>177</v>
      </c>
      <c r="E291" s="247">
        <v>44803</v>
      </c>
      <c r="F291" s="314"/>
      <c r="G291" s="199">
        <v>44227</v>
      </c>
      <c r="H291" s="350">
        <v>44855</v>
      </c>
      <c r="I291" s="247">
        <v>44790</v>
      </c>
      <c r="J291" s="314">
        <v>44826</v>
      </c>
      <c r="K291" s="247">
        <v>44858</v>
      </c>
      <c r="L291" s="314">
        <v>44742</v>
      </c>
      <c r="M291" s="247">
        <v>44725</v>
      </c>
      <c r="N291" s="314">
        <v>44742</v>
      </c>
      <c r="O291" s="247">
        <v>44840</v>
      </c>
      <c r="P291" s="314"/>
      <c r="Q291" s="387" t="s">
        <v>1003</v>
      </c>
      <c r="R291" s="388" t="s">
        <v>943</v>
      </c>
      <c r="S291" s="247" t="s">
        <v>1395</v>
      </c>
      <c r="T291" s="92" t="s">
        <v>1396</v>
      </c>
      <c r="U291" s="92" t="s">
        <v>943</v>
      </c>
      <c r="V291" s="247">
        <v>44844</v>
      </c>
      <c r="W291" s="438" t="s">
        <v>1232</v>
      </c>
      <c r="X291" s="348" t="s">
        <v>783</v>
      </c>
      <c r="Y291" s="247">
        <v>44844</v>
      </c>
      <c r="Z291" s="314" t="s">
        <v>1232</v>
      </c>
      <c r="AA291" s="247" t="s">
        <v>1003</v>
      </c>
      <c r="AB291" s="399" t="s">
        <v>1004</v>
      </c>
      <c r="AC291" s="247" t="s">
        <v>943</v>
      </c>
      <c r="AD291" s="263" t="s">
        <v>1109</v>
      </c>
      <c r="AE291" s="1099"/>
      <c r="AF291" s="483" t="s">
        <v>398</v>
      </c>
      <c r="AG291" s="488" t="s">
        <v>456</v>
      </c>
      <c r="AH291" s="1067"/>
      <c r="AI291" s="487" t="s">
        <v>546</v>
      </c>
      <c r="AJ291" s="1067"/>
      <c r="AK291" s="488" t="s">
        <v>456</v>
      </c>
      <c r="AL291" s="1067"/>
      <c r="AM291" s="488" t="s">
        <v>603</v>
      </c>
      <c r="AN291" s="1067"/>
      <c r="AO291" s="348" t="s">
        <v>920</v>
      </c>
      <c r="AP291" s="488" t="s">
        <v>648</v>
      </c>
      <c r="AQ291" s="1067"/>
      <c r="AR291" s="247">
        <v>44840</v>
      </c>
      <c r="AS291" s="42"/>
      <c r="AT291" s="314"/>
      <c r="AU291" s="247">
        <v>44840</v>
      </c>
      <c r="AV291" s="314"/>
      <c r="AW291" s="149">
        <v>44767</v>
      </c>
      <c r="AX291" s="247" t="s">
        <v>1162</v>
      </c>
      <c r="AY291" s="263" t="s">
        <v>943</v>
      </c>
      <c r="AZ291" s="488" t="s">
        <v>694</v>
      </c>
      <c r="BA291" s="1067"/>
      <c r="BB291" s="553" t="s">
        <v>1052</v>
      </c>
      <c r="BC291" s="1177"/>
      <c r="BD291" s="483" t="s">
        <v>747</v>
      </c>
      <c r="JS291" s="5"/>
    </row>
    <row r="292" spans="1:279" s="1" customFormat="1" ht="24">
      <c r="A292" s="1077"/>
      <c r="B292" s="1096"/>
      <c r="C292" s="139" t="s">
        <v>239</v>
      </c>
      <c r="D292" s="236">
        <v>10</v>
      </c>
      <c r="E292" s="1036">
        <v>10</v>
      </c>
      <c r="F292" s="1037"/>
      <c r="G292" s="315">
        <v>10</v>
      </c>
      <c r="H292" s="175">
        <v>10</v>
      </c>
      <c r="I292" s="1036">
        <v>10</v>
      </c>
      <c r="J292" s="1037"/>
      <c r="K292" s="1036">
        <v>10</v>
      </c>
      <c r="L292" s="1037"/>
      <c r="M292" s="1036">
        <v>10</v>
      </c>
      <c r="N292" s="1037"/>
      <c r="O292" s="1036">
        <v>10</v>
      </c>
      <c r="P292" s="1037"/>
      <c r="Q292" s="1100">
        <v>10</v>
      </c>
      <c r="R292" s="1101"/>
      <c r="S292" s="948">
        <v>10</v>
      </c>
      <c r="T292" s="949"/>
      <c r="U292" s="974"/>
      <c r="V292" s="948">
        <v>10</v>
      </c>
      <c r="W292" s="949"/>
      <c r="X292" s="460">
        <v>10</v>
      </c>
      <c r="Y292" s="948">
        <v>10</v>
      </c>
      <c r="Z292" s="968"/>
      <c r="AA292" s="948">
        <v>10</v>
      </c>
      <c r="AB292" s="968"/>
      <c r="AC292" s="948">
        <v>10</v>
      </c>
      <c r="AD292" s="968"/>
      <c r="AE292" s="1036">
        <v>10</v>
      </c>
      <c r="AF292" s="1037"/>
      <c r="AG292" s="1152">
        <v>10</v>
      </c>
      <c r="AH292" s="1153"/>
      <c r="AI292" s="1036">
        <v>10</v>
      </c>
      <c r="AJ292" s="1037"/>
      <c r="AK292" s="1036">
        <v>10</v>
      </c>
      <c r="AL292" s="1037"/>
      <c r="AM292" s="1036">
        <v>10</v>
      </c>
      <c r="AN292" s="1037"/>
      <c r="AO292" s="460">
        <v>10</v>
      </c>
      <c r="AP292" s="1036">
        <v>10</v>
      </c>
      <c r="AQ292" s="1037"/>
      <c r="AR292" s="1036">
        <v>10</v>
      </c>
      <c r="AS292" s="1237"/>
      <c r="AT292" s="316"/>
      <c r="AU292" s="1036">
        <v>10</v>
      </c>
      <c r="AV292" s="1037"/>
      <c r="AW292" s="175">
        <v>10</v>
      </c>
      <c r="AX292" s="948">
        <v>10</v>
      </c>
      <c r="AY292" s="968"/>
      <c r="AZ292" s="1036">
        <v>10</v>
      </c>
      <c r="BA292" s="1037"/>
      <c r="BB292" s="319"/>
      <c r="BC292" s="1036">
        <v>10</v>
      </c>
      <c r="BD292" s="1037"/>
      <c r="JS292" s="5"/>
    </row>
    <row r="293" spans="1:279" s="1" customFormat="1" ht="20.25" customHeight="1">
      <c r="A293" s="1086" t="s">
        <v>126</v>
      </c>
      <c r="B293" s="1087"/>
      <c r="C293" s="1088"/>
      <c r="D293" s="238"/>
      <c r="E293" s="317"/>
      <c r="F293" s="318"/>
      <c r="G293" s="238"/>
      <c r="H293" s="351"/>
      <c r="I293" s="317"/>
      <c r="J293" s="318"/>
      <c r="K293" s="317"/>
      <c r="L293" s="318"/>
      <c r="M293" s="317"/>
      <c r="N293" s="318"/>
      <c r="O293" s="317"/>
      <c r="P293" s="318"/>
      <c r="Q293" s="243"/>
      <c r="R293" s="318"/>
      <c r="S293" s="243"/>
      <c r="T293" s="93"/>
      <c r="U293" s="93"/>
      <c r="V293" s="243"/>
      <c r="W293" s="93"/>
      <c r="X293" s="177"/>
      <c r="Y293" s="243"/>
      <c r="Z293" s="318"/>
      <c r="AA293" s="243"/>
      <c r="AB293" s="318"/>
      <c r="AC293" s="243"/>
      <c r="AD293" s="318"/>
      <c r="AE293" s="317"/>
      <c r="AF293" s="318"/>
      <c r="AG293" s="317"/>
      <c r="AH293" s="318"/>
      <c r="AI293" s="317"/>
      <c r="AJ293" s="318"/>
      <c r="AK293" s="317"/>
      <c r="AL293" s="318"/>
      <c r="AM293" s="317"/>
      <c r="AN293" s="318"/>
      <c r="AO293" s="177"/>
      <c r="AP293" s="317"/>
      <c r="AQ293" s="318"/>
      <c r="AR293" s="317"/>
      <c r="AS293" s="33"/>
      <c r="AT293" s="318"/>
      <c r="AU293" s="317"/>
      <c r="AV293" s="318"/>
      <c r="AW293" s="177"/>
      <c r="AX293" s="243"/>
      <c r="AY293" s="318"/>
      <c r="AZ293" s="317"/>
      <c r="BA293" s="318"/>
      <c r="BB293" s="545"/>
      <c r="BC293" s="317"/>
      <c r="BD293" s="318"/>
      <c r="JS293" s="5"/>
    </row>
    <row r="294" spans="1:279" ht="15" customHeight="1">
      <c r="A294" s="1077" t="s">
        <v>55</v>
      </c>
      <c r="B294" s="1084" t="s">
        <v>137</v>
      </c>
      <c r="C294" s="1085"/>
      <c r="D294" s="188" t="str">
        <f>+D87</f>
        <v>CUMPLE</v>
      </c>
      <c r="E294" s="948" t="str">
        <f>+E87</f>
        <v>CUMPLE</v>
      </c>
      <c r="F294" s="968"/>
      <c r="G294" s="188" t="str">
        <f>+G87</f>
        <v>CUMPLE</v>
      </c>
      <c r="H294" s="142" t="str">
        <f>+H87</f>
        <v>cumple</v>
      </c>
      <c r="I294" s="948" t="str">
        <f>+I87</f>
        <v>CUMPLE</v>
      </c>
      <c r="J294" s="968"/>
      <c r="K294" s="948" t="str">
        <f>+K87</f>
        <v>CUMPLE</v>
      </c>
      <c r="L294" s="968"/>
      <c r="M294" s="948" t="str">
        <f>+M87</f>
        <v>CUMPLE</v>
      </c>
      <c r="N294" s="968"/>
      <c r="O294" s="948" t="str">
        <f>+O87</f>
        <v>CUMPLE</v>
      </c>
      <c r="P294" s="968"/>
      <c r="Q294" s="948" t="str">
        <f>+Q87</f>
        <v>CUMPLE</v>
      </c>
      <c r="R294" s="968"/>
      <c r="S294" s="948" t="s">
        <v>179</v>
      </c>
      <c r="T294" s="949"/>
      <c r="U294" s="974"/>
      <c r="V294" s="948" t="str">
        <f>+V87</f>
        <v>CUMPLE</v>
      </c>
      <c r="W294" s="949"/>
      <c r="X294" s="142" t="str">
        <f>+X87</f>
        <v>CUMPLE</v>
      </c>
      <c r="Y294" s="948" t="str">
        <f>+Y87</f>
        <v>CUMPLE</v>
      </c>
      <c r="Z294" s="968"/>
      <c r="AA294" s="948" t="str">
        <f>+AA87</f>
        <v>CUMPLE</v>
      </c>
      <c r="AB294" s="968"/>
      <c r="AC294" s="948" t="str">
        <f>+AC87</f>
        <v>CUMPLE</v>
      </c>
      <c r="AD294" s="968"/>
      <c r="AE294" s="1018" t="s">
        <v>1777</v>
      </c>
      <c r="AF294" s="1089"/>
      <c r="AG294" s="948" t="str">
        <f>+AG87</f>
        <v>CUMPLE</v>
      </c>
      <c r="AH294" s="968"/>
      <c r="AI294" s="948" t="str">
        <f>+AI87</f>
        <v>CUMPLE</v>
      </c>
      <c r="AJ294" s="968"/>
      <c r="AK294" s="948" t="str">
        <f>+AK87</f>
        <v>CUMPLE</v>
      </c>
      <c r="AL294" s="968"/>
      <c r="AM294" s="948" t="str">
        <f>+AM87</f>
        <v>CUMPLE</v>
      </c>
      <c r="AN294" s="968"/>
      <c r="AO294" s="142" t="str">
        <f>+AO87</f>
        <v>CUMPLE</v>
      </c>
      <c r="AP294" s="948" t="str">
        <f>+AP87</f>
        <v>CUMPLE</v>
      </c>
      <c r="AQ294" s="968"/>
      <c r="AR294" s="948" t="str">
        <f>+AR87</f>
        <v>CUMPLE</v>
      </c>
      <c r="AS294" s="949"/>
      <c r="AT294" s="968"/>
      <c r="AU294" s="948" t="str">
        <f>+AU87</f>
        <v>CUMPLE</v>
      </c>
      <c r="AV294" s="968"/>
      <c r="AW294" s="142" t="str">
        <f>+AW87</f>
        <v>CUMPLE</v>
      </c>
      <c r="AX294" s="948" t="str">
        <f>+AX87</f>
        <v xml:space="preserve">CUMPLE </v>
      </c>
      <c r="AY294" s="968"/>
      <c r="AZ294" s="948" t="str">
        <f>+AZ87</f>
        <v>CUMPLE</v>
      </c>
      <c r="BA294" s="968"/>
      <c r="BB294" s="110" t="str">
        <f>+BB87</f>
        <v xml:space="preserve">CUMPLE </v>
      </c>
      <c r="BC294" s="948" t="str">
        <f>+BC87</f>
        <v>CUMPLE</v>
      </c>
      <c r="BD294" s="968"/>
    </row>
    <row r="295" spans="1:279" ht="28.5" customHeight="1">
      <c r="A295" s="1077"/>
      <c r="B295" s="49" t="s">
        <v>151</v>
      </c>
      <c r="C295" s="130"/>
      <c r="D295" s="188" t="str">
        <f>+D231</f>
        <v>CUMPLE</v>
      </c>
      <c r="E295" s="964" t="str">
        <f>+E231</f>
        <v>CUMPLE</v>
      </c>
      <c r="F295" s="969"/>
      <c r="G295" s="188" t="str">
        <f>+G231</f>
        <v>CUMPLE</v>
      </c>
      <c r="H295" s="142" t="str">
        <f>+H231</f>
        <v>CUMPLE</v>
      </c>
      <c r="I295" s="964" t="str">
        <f>+I231</f>
        <v>CUMPLE</v>
      </c>
      <c r="J295" s="969"/>
      <c r="K295" s="964" t="str">
        <f>+K231</f>
        <v>CUMPLE</v>
      </c>
      <c r="L295" s="969"/>
      <c r="M295" s="964" t="str">
        <f>+M231</f>
        <v>CUMPLE</v>
      </c>
      <c r="N295" s="969"/>
      <c r="O295" s="964" t="str">
        <f>+O231</f>
        <v>CUMPLE</v>
      </c>
      <c r="P295" s="969"/>
      <c r="Q295" s="948" t="str">
        <f>+Q231</f>
        <v>CUMPLE</v>
      </c>
      <c r="R295" s="968"/>
      <c r="S295" s="948" t="str">
        <f>+S231</f>
        <v>CUMPLE</v>
      </c>
      <c r="T295" s="949"/>
      <c r="U295" s="974"/>
      <c r="V295" s="964" t="str">
        <f>+V231</f>
        <v>CUMPLE</v>
      </c>
      <c r="W295" s="965"/>
      <c r="X295" s="142" t="str">
        <f>+X231</f>
        <v>CUMPLE</v>
      </c>
      <c r="Y295" s="964" t="str">
        <f>+Y231</f>
        <v>CUMPLE</v>
      </c>
      <c r="Z295" s="969"/>
      <c r="AA295" s="964" t="str">
        <f>+AA231</f>
        <v>CUMPLE</v>
      </c>
      <c r="AB295" s="969"/>
      <c r="AC295" s="964" t="str">
        <f>+AC231</f>
        <v>CUMPLE</v>
      </c>
      <c r="AD295" s="969"/>
      <c r="AE295" s="1080" t="str">
        <f>+AE231</f>
        <v>CUMPLE</v>
      </c>
      <c r="AF295" s="1081"/>
      <c r="AG295" s="964" t="str">
        <f>+AG231</f>
        <v>CUMPLE</v>
      </c>
      <c r="AH295" s="969"/>
      <c r="AI295" s="964" t="str">
        <f>+AI231</f>
        <v>CUMPLE</v>
      </c>
      <c r="AJ295" s="969"/>
      <c r="AK295" s="964" t="str">
        <f>+AK231</f>
        <v>CUMPLE</v>
      </c>
      <c r="AL295" s="969"/>
      <c r="AM295" s="964" t="str">
        <f>+AM231</f>
        <v>CUMPLE</v>
      </c>
      <c r="AN295" s="969"/>
      <c r="AO295" s="142" t="str">
        <f>+AO231</f>
        <v>CUMPLE</v>
      </c>
      <c r="AP295" s="964" t="str">
        <f>+AP231</f>
        <v>CUMPLE</v>
      </c>
      <c r="AQ295" s="969"/>
      <c r="AR295" s="948" t="str">
        <f>+AR231</f>
        <v>CUMPLE</v>
      </c>
      <c r="AS295" s="949"/>
      <c r="AT295" s="968"/>
      <c r="AU295" s="964" t="str">
        <f>+AU231</f>
        <v>CUMPLE</v>
      </c>
      <c r="AV295" s="969"/>
      <c r="AW295" s="142" t="str">
        <f>+AW231</f>
        <v>CUMPLE</v>
      </c>
      <c r="AX295" s="964" t="str">
        <f>+AX231</f>
        <v>CUMPLE</v>
      </c>
      <c r="AY295" s="969"/>
      <c r="AZ295" s="964" t="str">
        <f>+AZ231</f>
        <v>CUMPLE</v>
      </c>
      <c r="BA295" s="969"/>
      <c r="BB295" s="111" t="str">
        <f>+BB231</f>
        <v>CUMPLE</v>
      </c>
      <c r="BC295" s="964" t="str">
        <f>+BC231</f>
        <v>CUMPLE</v>
      </c>
      <c r="BD295" s="969"/>
    </row>
    <row r="296" spans="1:279">
      <c r="A296" s="1077"/>
      <c r="B296" s="1084" t="s">
        <v>138</v>
      </c>
      <c r="C296" s="1085"/>
      <c r="D296" s="188" t="str">
        <f>+D286</f>
        <v>CUMPLE</v>
      </c>
      <c r="E296" s="68" t="str">
        <f t="shared" ref="E296:F296" si="227">+E286</f>
        <v>CUMPLE</v>
      </c>
      <c r="F296" s="320" t="str">
        <f t="shared" si="227"/>
        <v>CUMPLE</v>
      </c>
      <c r="G296" s="188" t="str">
        <f>+G286</f>
        <v>CUMPLE</v>
      </c>
      <c r="H296" s="142" t="str">
        <f>+H286</f>
        <v>CUMPLE</v>
      </c>
      <c r="I296" s="126" t="str">
        <f t="shared" ref="I296:P296" si="228">+I286</f>
        <v>CUMPLE</v>
      </c>
      <c r="J296" s="320" t="str">
        <f t="shared" si="228"/>
        <v>CUMPLE</v>
      </c>
      <c r="K296" s="126" t="str">
        <f t="shared" si="228"/>
        <v>cumple</v>
      </c>
      <c r="L296" s="320" t="str">
        <f t="shared" si="228"/>
        <v>CUMPLE</v>
      </c>
      <c r="M296" s="126" t="str">
        <f t="shared" si="228"/>
        <v>CUMPLE</v>
      </c>
      <c r="N296" s="320" t="str">
        <f t="shared" si="228"/>
        <v>CUMPLE</v>
      </c>
      <c r="O296" s="126" t="str">
        <f t="shared" si="228"/>
        <v>CUMPLE</v>
      </c>
      <c r="P296" s="320" t="str">
        <f t="shared" si="228"/>
        <v>CUMPLE</v>
      </c>
      <c r="Q296" s="126" t="str">
        <f t="shared" ref="Q296:U296" si="229">+Q286</f>
        <v>CUMPLE</v>
      </c>
      <c r="R296" s="320" t="str">
        <f t="shared" si="229"/>
        <v>CUMPLE</v>
      </c>
      <c r="S296" s="126" t="str">
        <f t="shared" si="229"/>
        <v>CUMPLE</v>
      </c>
      <c r="T296" s="94" t="str">
        <f t="shared" si="229"/>
        <v>CUMPLE</v>
      </c>
      <c r="U296" s="94" t="str">
        <f t="shared" si="229"/>
        <v xml:space="preserve">CUMPLE </v>
      </c>
      <c r="V296" s="126" t="str">
        <f t="shared" ref="V296:W296" si="230">+V286</f>
        <v>CUMPLE</v>
      </c>
      <c r="W296" s="94" t="str">
        <f t="shared" si="230"/>
        <v>CUMPLE</v>
      </c>
      <c r="X296" s="142" t="str">
        <f>+X286</f>
        <v>CUMPLE</v>
      </c>
      <c r="Y296" s="126" t="str">
        <f t="shared" ref="Y296:Z296" si="231">+Y286</f>
        <v>CUMPLE</v>
      </c>
      <c r="Z296" s="320" t="str">
        <f t="shared" si="231"/>
        <v>CUMPLE</v>
      </c>
      <c r="AA296" s="126" t="str">
        <f>+AA286</f>
        <v>CUMPLE</v>
      </c>
      <c r="AB296" s="320" t="str">
        <f>+AB286</f>
        <v>CUMPLE</v>
      </c>
      <c r="AC296" s="126" t="str">
        <f t="shared" ref="AC296:AD296" si="232">+AC286</f>
        <v>CUMPLE</v>
      </c>
      <c r="AD296" s="320" t="str">
        <f t="shared" si="232"/>
        <v>CUMPLE</v>
      </c>
      <c r="AE296" s="709" t="str">
        <f t="shared" ref="AE296:AJ296" si="233">+AE286</f>
        <v>CUMPLE</v>
      </c>
      <c r="AF296" s="878" t="str">
        <f t="shared" si="233"/>
        <v>CUMPLE</v>
      </c>
      <c r="AG296" s="126" t="str">
        <f t="shared" si="233"/>
        <v>CUMPLE</v>
      </c>
      <c r="AH296" s="320" t="str">
        <f t="shared" si="233"/>
        <v>CUMPLE</v>
      </c>
      <c r="AI296" s="126" t="str">
        <f t="shared" si="233"/>
        <v>CUMPLE</v>
      </c>
      <c r="AJ296" s="320" t="str">
        <f t="shared" si="233"/>
        <v>CUMPLE</v>
      </c>
      <c r="AK296" s="126" t="str">
        <f t="shared" ref="AK296:AL296" si="234">+AK286</f>
        <v>CUMPLE</v>
      </c>
      <c r="AL296" s="320" t="str">
        <f t="shared" si="234"/>
        <v>CUMPLE</v>
      </c>
      <c r="AM296" s="126" t="str">
        <f t="shared" ref="AM296:AN296" si="235">+AM286</f>
        <v>CUMPLE</v>
      </c>
      <c r="AN296" s="320" t="str">
        <f t="shared" si="235"/>
        <v>CUMPLE</v>
      </c>
      <c r="AO296" s="142" t="str">
        <f>+AO286</f>
        <v>CUMPLE</v>
      </c>
      <c r="AP296" s="126" t="str">
        <f t="shared" ref="AP296:AV296" si="236">+AP286</f>
        <v>CUMPLE</v>
      </c>
      <c r="AQ296" s="320" t="str">
        <f t="shared" si="236"/>
        <v>CUMPLE</v>
      </c>
      <c r="AR296" s="126" t="str">
        <f t="shared" si="236"/>
        <v>CUMPLE</v>
      </c>
      <c r="AS296" s="37" t="str">
        <f t="shared" si="236"/>
        <v>CUMPLE</v>
      </c>
      <c r="AT296" s="320" t="str">
        <f t="shared" si="236"/>
        <v>CUMPLE</v>
      </c>
      <c r="AU296" s="126" t="str">
        <f t="shared" si="236"/>
        <v>CUMPLE</v>
      </c>
      <c r="AV296" s="320" t="str">
        <f t="shared" si="236"/>
        <v>CUMPLE</v>
      </c>
      <c r="AW296" s="142" t="s">
        <v>823</v>
      </c>
      <c r="AX296" s="126" t="str">
        <f t="shared" ref="AX296:AY296" si="237">+AX286</f>
        <v>CUMPLE</v>
      </c>
      <c r="AY296" s="320" t="str">
        <f t="shared" si="237"/>
        <v>CUMPLE</v>
      </c>
      <c r="AZ296" s="126" t="str">
        <f t="shared" ref="AZ296:BA296" si="238">+AZ286</f>
        <v>CUMPLE</v>
      </c>
      <c r="BA296" s="320" t="str">
        <f t="shared" si="238"/>
        <v>CUMPLE</v>
      </c>
      <c r="BB296" s="111" t="s">
        <v>823</v>
      </c>
      <c r="BC296" s="126" t="str">
        <f t="shared" ref="BC296:BD296" si="239">+BC286</f>
        <v>CUMPLE</v>
      </c>
      <c r="BD296" s="320" t="str">
        <f t="shared" si="239"/>
        <v>CUMPLE</v>
      </c>
    </row>
    <row r="297" spans="1:279">
      <c r="A297" s="1077"/>
      <c r="B297" s="1084" t="s">
        <v>147</v>
      </c>
      <c r="C297" s="1085"/>
      <c r="D297" s="239" t="str">
        <f>+D265</f>
        <v>cumple</v>
      </c>
      <c r="E297" s="970" t="str">
        <f>+E265</f>
        <v>cumple</v>
      </c>
      <c r="F297" s="971"/>
      <c r="G297" s="239" t="str">
        <f>+G265</f>
        <v>cumple</v>
      </c>
      <c r="H297" s="178" t="str">
        <f>+H265</f>
        <v>CUMPLE</v>
      </c>
      <c r="I297" s="970" t="str">
        <f>+I265</f>
        <v>cumple</v>
      </c>
      <c r="J297" s="971"/>
      <c r="K297" s="970" t="str">
        <f>+K265</f>
        <v>cumple</v>
      </c>
      <c r="L297" s="971"/>
      <c r="M297" s="970" t="str">
        <f>+M265</f>
        <v>CUMPLE</v>
      </c>
      <c r="N297" s="971"/>
      <c r="O297" s="970" t="str">
        <f>+O265</f>
        <v>CUMPLE</v>
      </c>
      <c r="P297" s="971"/>
      <c r="Q297" s="946" t="str">
        <f>+Q265</f>
        <v>cumple</v>
      </c>
      <c r="R297" s="1092"/>
      <c r="S297" s="946" t="str">
        <f>+S265</f>
        <v>cumple</v>
      </c>
      <c r="T297" s="947"/>
      <c r="U297" s="947"/>
      <c r="V297" s="970" t="str">
        <f>+V265</f>
        <v>cumple</v>
      </c>
      <c r="W297" s="1028"/>
      <c r="X297" s="178" t="str">
        <f>+X265</f>
        <v>cumple</v>
      </c>
      <c r="Y297" s="970" t="str">
        <f>+Y265</f>
        <v>cumple</v>
      </c>
      <c r="Z297" s="971"/>
      <c r="AA297" s="970" t="str">
        <f>+AA265</f>
        <v>cumple</v>
      </c>
      <c r="AB297" s="971"/>
      <c r="AC297" s="970" t="str">
        <f>+AC265</f>
        <v>cumple</v>
      </c>
      <c r="AD297" s="971"/>
      <c r="AE297" s="1090" t="str">
        <f>+AE265</f>
        <v>cumple</v>
      </c>
      <c r="AF297" s="1091"/>
      <c r="AG297" s="970" t="str">
        <f>+AG265</f>
        <v>cumple</v>
      </c>
      <c r="AH297" s="971"/>
      <c r="AI297" s="970" t="str">
        <f>+AI265</f>
        <v>cumple</v>
      </c>
      <c r="AJ297" s="971"/>
      <c r="AK297" s="970" t="str">
        <f>+AK265</f>
        <v>cumple</v>
      </c>
      <c r="AL297" s="971"/>
      <c r="AM297" s="970" t="str">
        <f>+AM265</f>
        <v>cumple</v>
      </c>
      <c r="AN297" s="971"/>
      <c r="AO297" s="178" t="str">
        <f>+AO265</f>
        <v>cumple</v>
      </c>
      <c r="AP297" s="970" t="str">
        <f>+AP265</f>
        <v>cumple</v>
      </c>
      <c r="AQ297" s="971"/>
      <c r="AR297" s="946" t="str">
        <f>+AR265</f>
        <v>CUMPLE</v>
      </c>
      <c r="AS297" s="947"/>
      <c r="AT297" s="1092"/>
      <c r="AU297" s="970" t="str">
        <f>+AU265</f>
        <v>CUMPLE</v>
      </c>
      <c r="AV297" s="971"/>
      <c r="AW297" s="178" t="s">
        <v>823</v>
      </c>
      <c r="AX297" s="970" t="str">
        <f>+AX265</f>
        <v>cumple</v>
      </c>
      <c r="AY297" s="971"/>
      <c r="AZ297" s="970" t="str">
        <f>+AZ265</f>
        <v>cumple</v>
      </c>
      <c r="BA297" s="971"/>
      <c r="BB297" s="128" t="s">
        <v>823</v>
      </c>
      <c r="BC297" s="970" t="str">
        <f>+BC265</f>
        <v>cumple</v>
      </c>
      <c r="BD297" s="971"/>
    </row>
    <row r="298" spans="1:279">
      <c r="A298" s="1077"/>
      <c r="B298" s="1084" t="s">
        <v>148</v>
      </c>
      <c r="C298" s="1085"/>
      <c r="D298" s="239" t="str">
        <f>+D268</f>
        <v>cumple</v>
      </c>
      <c r="E298" s="321" t="str">
        <f t="shared" ref="E298:F298" si="240">+E268</f>
        <v>cumple</v>
      </c>
      <c r="F298" s="320" t="str">
        <f t="shared" si="240"/>
        <v>cumple</v>
      </c>
      <c r="G298" s="239" t="str">
        <f>+G268</f>
        <v>cumple</v>
      </c>
      <c r="H298" s="178" t="str">
        <f>+H268</f>
        <v>CUMPLE</v>
      </c>
      <c r="I298" s="321" t="str">
        <f t="shared" ref="I298:P298" si="241">+I268</f>
        <v>cumple</v>
      </c>
      <c r="J298" s="320" t="str">
        <f t="shared" si="241"/>
        <v>cumple</v>
      </c>
      <c r="K298" s="321" t="str">
        <f t="shared" si="241"/>
        <v>cumple</v>
      </c>
      <c r="L298" s="320" t="str">
        <f t="shared" si="241"/>
        <v>cumple</v>
      </c>
      <c r="M298" s="321" t="str">
        <f t="shared" si="241"/>
        <v>cumple</v>
      </c>
      <c r="N298" s="320" t="str">
        <f t="shared" si="241"/>
        <v>cumple</v>
      </c>
      <c r="O298" s="321" t="str">
        <f t="shared" si="241"/>
        <v>cumple</v>
      </c>
      <c r="P298" s="320" t="str">
        <f t="shared" si="241"/>
        <v>cumple</v>
      </c>
      <c r="Q298" s="321" t="str">
        <f t="shared" ref="Q298:U298" si="242">+Q268</f>
        <v>cumple</v>
      </c>
      <c r="R298" s="320" t="str">
        <f t="shared" si="242"/>
        <v>cumple</v>
      </c>
      <c r="S298" s="321" t="str">
        <f t="shared" si="242"/>
        <v>cumple</v>
      </c>
      <c r="T298" s="94" t="str">
        <f t="shared" si="242"/>
        <v>cumple</v>
      </c>
      <c r="U298" s="94" t="str">
        <f t="shared" si="242"/>
        <v>cumple</v>
      </c>
      <c r="V298" s="321" t="str">
        <f t="shared" ref="V298:W298" si="243">+V268</f>
        <v>cumple</v>
      </c>
      <c r="W298" s="94" t="str">
        <f t="shared" si="243"/>
        <v>cumple</v>
      </c>
      <c r="X298" s="178" t="str">
        <f>+X268</f>
        <v>cumple</v>
      </c>
      <c r="Y298" s="321" t="str">
        <f t="shared" ref="Y298:Z298" si="244">+Y268</f>
        <v>cumple</v>
      </c>
      <c r="Z298" s="320" t="str">
        <f t="shared" si="244"/>
        <v>cumple</v>
      </c>
      <c r="AA298" s="321" t="str">
        <f>+AA268</f>
        <v>cumple</v>
      </c>
      <c r="AB298" s="320" t="str">
        <f>+AB268</f>
        <v>cumple</v>
      </c>
      <c r="AC298" s="321" t="str">
        <f t="shared" ref="AC298:AD298" si="245">+AC268</f>
        <v>cumple</v>
      </c>
      <c r="AD298" s="320" t="str">
        <f t="shared" si="245"/>
        <v>cumple</v>
      </c>
      <c r="AE298" s="879" t="str">
        <f t="shared" ref="AE298:AJ298" si="246">+AE268</f>
        <v>cumple</v>
      </c>
      <c r="AF298" s="880" t="str">
        <f t="shared" si="246"/>
        <v>cumple</v>
      </c>
      <c r="AG298" s="321" t="str">
        <f t="shared" si="246"/>
        <v>cumple</v>
      </c>
      <c r="AH298" s="320" t="str">
        <f t="shared" si="246"/>
        <v>cumple</v>
      </c>
      <c r="AI298" s="321" t="str">
        <f t="shared" si="246"/>
        <v>cumple</v>
      </c>
      <c r="AJ298" s="320" t="str">
        <f t="shared" si="246"/>
        <v>cumple</v>
      </c>
      <c r="AK298" s="321" t="str">
        <f t="shared" ref="AK298:AL298" si="247">+AK268</f>
        <v>cumple</v>
      </c>
      <c r="AL298" s="320" t="str">
        <f t="shared" si="247"/>
        <v>cumple</v>
      </c>
      <c r="AM298" s="321" t="str">
        <f t="shared" ref="AM298:AN298" si="248">+AM268</f>
        <v>cumple</v>
      </c>
      <c r="AN298" s="320" t="str">
        <f t="shared" si="248"/>
        <v>cumple</v>
      </c>
      <c r="AO298" s="178" t="str">
        <f>+AO268</f>
        <v>cumple</v>
      </c>
      <c r="AP298" s="321" t="str">
        <f t="shared" ref="AP298:AV298" si="249">+AP268</f>
        <v>cumple</v>
      </c>
      <c r="AQ298" s="320" t="str">
        <f t="shared" si="249"/>
        <v>cumple</v>
      </c>
      <c r="AR298" s="321" t="str">
        <f t="shared" si="249"/>
        <v>cumple</v>
      </c>
      <c r="AS298" s="37" t="str">
        <f t="shared" si="249"/>
        <v>cumple</v>
      </c>
      <c r="AT298" s="320" t="str">
        <f t="shared" si="249"/>
        <v>cumple</v>
      </c>
      <c r="AU298" s="321" t="str">
        <f t="shared" si="249"/>
        <v>cumple</v>
      </c>
      <c r="AV298" s="320" t="str">
        <f t="shared" si="249"/>
        <v>cumple</v>
      </c>
      <c r="AW298" s="178" t="s">
        <v>823</v>
      </c>
      <c r="AX298" s="321" t="str">
        <f t="shared" ref="AX298:AY298" si="250">+AX268</f>
        <v>cumple</v>
      </c>
      <c r="AY298" s="320" t="str">
        <f t="shared" si="250"/>
        <v>cumple</v>
      </c>
      <c r="AZ298" s="321" t="str">
        <f t="shared" ref="AZ298:BA298" si="251">+AZ268</f>
        <v>cumple</v>
      </c>
      <c r="BA298" s="320" t="str">
        <f t="shared" si="251"/>
        <v>cumple</v>
      </c>
      <c r="BB298" s="128" t="s">
        <v>823</v>
      </c>
      <c r="BC298" s="321" t="str">
        <f t="shared" ref="BC298:BD298" si="252">+BC268</f>
        <v>cumple</v>
      </c>
      <c r="BD298" s="320" t="str">
        <f t="shared" si="252"/>
        <v>cumple</v>
      </c>
    </row>
    <row r="299" spans="1:279">
      <c r="A299" s="1077"/>
      <c r="B299" s="1084" t="s">
        <v>142</v>
      </c>
      <c r="C299" s="1085"/>
      <c r="D299" s="234" t="str">
        <f>+D271</f>
        <v>cumple</v>
      </c>
      <c r="E299" s="306" t="str">
        <f t="shared" ref="E299:F299" si="253">+E271</f>
        <v>cumple</v>
      </c>
      <c r="F299" s="320" t="str">
        <f t="shared" si="253"/>
        <v>cumple</v>
      </c>
      <c r="G299" s="234" t="str">
        <f>+G271</f>
        <v>cumple</v>
      </c>
      <c r="H299" s="173" t="str">
        <f>+H271</f>
        <v>CUMPLE</v>
      </c>
      <c r="I299" s="306" t="str">
        <f t="shared" ref="I299:P299" si="254">+I271</f>
        <v>cumple</v>
      </c>
      <c r="J299" s="320" t="str">
        <f t="shared" si="254"/>
        <v>cumple</v>
      </c>
      <c r="K299" s="306" t="str">
        <f t="shared" si="254"/>
        <v>cumple</v>
      </c>
      <c r="L299" s="320" t="str">
        <f t="shared" si="254"/>
        <v>cumple</v>
      </c>
      <c r="M299" s="306" t="str">
        <f t="shared" si="254"/>
        <v>cumple</v>
      </c>
      <c r="N299" s="320" t="str">
        <f t="shared" si="254"/>
        <v>cumple</v>
      </c>
      <c r="O299" s="306" t="str">
        <f t="shared" si="254"/>
        <v>cumple</v>
      </c>
      <c r="P299" s="320" t="str">
        <f t="shared" si="254"/>
        <v>cumple</v>
      </c>
      <c r="Q299" s="306" t="str">
        <f t="shared" ref="Q299:U299" si="255">+Q271</f>
        <v>cumple</v>
      </c>
      <c r="R299" s="320" t="str">
        <f t="shared" si="255"/>
        <v>cumple</v>
      </c>
      <c r="S299" s="306" t="str">
        <f t="shared" si="255"/>
        <v>cumple</v>
      </c>
      <c r="T299" s="94" t="str">
        <f t="shared" si="255"/>
        <v>cumple</v>
      </c>
      <c r="U299" s="94" t="str">
        <f t="shared" si="255"/>
        <v>cumple</v>
      </c>
      <c r="V299" s="306" t="str">
        <f t="shared" ref="V299:W299" si="256">+V271</f>
        <v>cumple</v>
      </c>
      <c r="W299" s="94" t="str">
        <f t="shared" si="256"/>
        <v>cumple</v>
      </c>
      <c r="X299" s="173" t="str">
        <f>+X271</f>
        <v>cumple</v>
      </c>
      <c r="Y299" s="306" t="str">
        <f t="shared" ref="Y299:Z299" si="257">+Y271</f>
        <v>cumple</v>
      </c>
      <c r="Z299" s="320" t="str">
        <f t="shared" si="257"/>
        <v>cumple</v>
      </c>
      <c r="AA299" s="306" t="str">
        <f>+AA271</f>
        <v>cumple</v>
      </c>
      <c r="AB299" s="320" t="str">
        <f>+AB271</f>
        <v>cumple</v>
      </c>
      <c r="AC299" s="306" t="str">
        <f t="shared" ref="AC299:AD299" si="258">+AC271</f>
        <v>cumple</v>
      </c>
      <c r="AD299" s="320" t="str">
        <f t="shared" si="258"/>
        <v>cumple</v>
      </c>
      <c r="AE299" s="881" t="str">
        <f t="shared" ref="AE299:AJ299" si="259">+AE271</f>
        <v>cumple</v>
      </c>
      <c r="AF299" s="880" t="str">
        <f t="shared" si="259"/>
        <v>cumple</v>
      </c>
      <c r="AG299" s="306" t="str">
        <f t="shared" si="259"/>
        <v>cumple</v>
      </c>
      <c r="AH299" s="320" t="str">
        <f t="shared" si="259"/>
        <v>cumple</v>
      </c>
      <c r="AI299" s="306" t="str">
        <f t="shared" si="259"/>
        <v>cumple</v>
      </c>
      <c r="AJ299" s="320" t="str">
        <f t="shared" si="259"/>
        <v>cumple</v>
      </c>
      <c r="AK299" s="306" t="str">
        <f t="shared" ref="AK299:AL299" si="260">+AK271</f>
        <v>cumple</v>
      </c>
      <c r="AL299" s="320" t="str">
        <f t="shared" si="260"/>
        <v>cumple</v>
      </c>
      <c r="AM299" s="306" t="str">
        <f t="shared" ref="AM299:AN299" si="261">+AM271</f>
        <v>cumple</v>
      </c>
      <c r="AN299" s="320" t="str">
        <f t="shared" si="261"/>
        <v>cumple</v>
      </c>
      <c r="AO299" s="173" t="str">
        <f>+AO271</f>
        <v>cumple</v>
      </c>
      <c r="AP299" s="306" t="str">
        <f t="shared" ref="AP299:AV299" si="262">+AP271</f>
        <v>cumple</v>
      </c>
      <c r="AQ299" s="320" t="str">
        <f t="shared" si="262"/>
        <v>cumple</v>
      </c>
      <c r="AR299" s="306" t="str">
        <f t="shared" si="262"/>
        <v>cumple</v>
      </c>
      <c r="AS299" s="37" t="str">
        <f t="shared" si="262"/>
        <v>cumple</v>
      </c>
      <c r="AT299" s="320" t="str">
        <f t="shared" si="262"/>
        <v>cumple</v>
      </c>
      <c r="AU299" s="306" t="str">
        <f t="shared" si="262"/>
        <v>cumple</v>
      </c>
      <c r="AV299" s="320" t="str">
        <f t="shared" si="262"/>
        <v>cumple</v>
      </c>
      <c r="AW299" s="173" t="s">
        <v>823</v>
      </c>
      <c r="AX299" s="306" t="str">
        <f t="shared" ref="AX299:AY299" si="263">+AX271</f>
        <v>cumple</v>
      </c>
      <c r="AY299" s="320" t="str">
        <f t="shared" si="263"/>
        <v>cumple</v>
      </c>
      <c r="AZ299" s="306" t="str">
        <f t="shared" ref="AZ299:BA299" si="264">+AZ271</f>
        <v>cumple</v>
      </c>
      <c r="BA299" s="320" t="str">
        <f t="shared" si="264"/>
        <v>cumple</v>
      </c>
      <c r="BB299" s="328" t="s">
        <v>823</v>
      </c>
      <c r="BC299" s="306" t="str">
        <f t="shared" ref="BC299:BD299" si="265">+BC271</f>
        <v>cumple</v>
      </c>
      <c r="BD299" s="320" t="str">
        <f t="shared" si="265"/>
        <v>cumple</v>
      </c>
    </row>
    <row r="300" spans="1:279">
      <c r="A300" s="1077"/>
      <c r="B300" s="1084" t="s">
        <v>141</v>
      </c>
      <c r="C300" s="1085"/>
      <c r="D300" s="239" t="str">
        <f>+D274</f>
        <v>cumple</v>
      </c>
      <c r="E300" s="321" t="str">
        <f t="shared" ref="E300:F300" si="266">+E274</f>
        <v>cumple</v>
      </c>
      <c r="F300" s="320" t="str">
        <f t="shared" si="266"/>
        <v>cumple</v>
      </c>
      <c r="G300" s="239" t="str">
        <f>+G274</f>
        <v>cumple</v>
      </c>
      <c r="H300" s="178" t="str">
        <f>+H274</f>
        <v>CUMPLE</v>
      </c>
      <c r="I300" s="321" t="str">
        <f t="shared" ref="I300:P300" si="267">+I274</f>
        <v>cumple</v>
      </c>
      <c r="J300" s="320" t="str">
        <f t="shared" si="267"/>
        <v>cumple</v>
      </c>
      <c r="K300" s="321" t="str">
        <f t="shared" si="267"/>
        <v>cumple</v>
      </c>
      <c r="L300" s="320" t="str">
        <f t="shared" si="267"/>
        <v>cumple</v>
      </c>
      <c r="M300" s="321" t="str">
        <f t="shared" si="267"/>
        <v>cumple</v>
      </c>
      <c r="N300" s="320" t="str">
        <f t="shared" si="267"/>
        <v>cumple</v>
      </c>
      <c r="O300" s="321" t="str">
        <f t="shared" si="267"/>
        <v>cumple</v>
      </c>
      <c r="P300" s="320" t="str">
        <f t="shared" si="267"/>
        <v>cumple</v>
      </c>
      <c r="Q300" s="321" t="str">
        <f t="shared" ref="Q300:T300" si="268">+Q274</f>
        <v>cumple</v>
      </c>
      <c r="R300" s="320" t="str">
        <f t="shared" si="268"/>
        <v>cumple</v>
      </c>
      <c r="S300" s="321" t="str">
        <f t="shared" si="268"/>
        <v>cumple</v>
      </c>
      <c r="T300" s="94" t="str">
        <f t="shared" si="268"/>
        <v>cumple</v>
      </c>
      <c r="U300" s="400"/>
      <c r="V300" s="321" t="str">
        <f t="shared" ref="V300:W300" si="269">+V274</f>
        <v>cumple</v>
      </c>
      <c r="W300" s="94" t="str">
        <f t="shared" si="269"/>
        <v>cumple</v>
      </c>
      <c r="X300" s="178" t="str">
        <f>+X274</f>
        <v>cumple</v>
      </c>
      <c r="Y300" s="321" t="str">
        <f t="shared" ref="Y300:Z300" si="270">+Y274</f>
        <v>cumple</v>
      </c>
      <c r="Z300" s="320" t="str">
        <f t="shared" si="270"/>
        <v>cumple</v>
      </c>
      <c r="AA300" s="321" t="str">
        <f>+AA274</f>
        <v>cumple</v>
      </c>
      <c r="AB300" s="320" t="str">
        <f>+AB274</f>
        <v>cumple</v>
      </c>
      <c r="AC300" s="321" t="str">
        <f t="shared" ref="AC300:AD300" si="271">+AC274</f>
        <v>cumple</v>
      </c>
      <c r="AD300" s="320" t="str">
        <f t="shared" si="271"/>
        <v>cumple</v>
      </c>
      <c r="AE300" s="879" t="str">
        <f t="shared" ref="AE300:AJ300" si="272">+AE274</f>
        <v>cumple</v>
      </c>
      <c r="AF300" s="880" t="str">
        <f t="shared" si="272"/>
        <v>cumple</v>
      </c>
      <c r="AG300" s="321" t="str">
        <f t="shared" si="272"/>
        <v>cumple</v>
      </c>
      <c r="AH300" s="320" t="str">
        <f t="shared" si="272"/>
        <v>cumple</v>
      </c>
      <c r="AI300" s="321" t="str">
        <f t="shared" si="272"/>
        <v>cumple</v>
      </c>
      <c r="AJ300" s="320" t="str">
        <f t="shared" si="272"/>
        <v>cumple</v>
      </c>
      <c r="AK300" s="321" t="str">
        <f t="shared" ref="AK300:AL300" si="273">+AK274</f>
        <v>cumple</v>
      </c>
      <c r="AL300" s="320" t="str">
        <f t="shared" si="273"/>
        <v>cumple</v>
      </c>
      <c r="AM300" s="321" t="str">
        <f t="shared" ref="AM300:AN300" si="274">+AM274</f>
        <v>cumple</v>
      </c>
      <c r="AN300" s="320" t="str">
        <f t="shared" si="274"/>
        <v>cumple</v>
      </c>
      <c r="AO300" s="178" t="str">
        <f>+AO274</f>
        <v>cumple</v>
      </c>
      <c r="AP300" s="321" t="str">
        <f t="shared" ref="AP300:AV300" si="275">+AP274</f>
        <v>cumple</v>
      </c>
      <c r="AQ300" s="320" t="str">
        <f t="shared" si="275"/>
        <v>cumple</v>
      </c>
      <c r="AR300" s="321" t="str">
        <f t="shared" si="275"/>
        <v>cumple</v>
      </c>
      <c r="AS300" s="37" t="str">
        <f t="shared" si="275"/>
        <v>cumple</v>
      </c>
      <c r="AT300" s="320" t="str">
        <f t="shared" si="275"/>
        <v>cumple</v>
      </c>
      <c r="AU300" s="321" t="str">
        <f t="shared" si="275"/>
        <v>cumple</v>
      </c>
      <c r="AV300" s="320" t="str">
        <f t="shared" si="275"/>
        <v>cumple</v>
      </c>
      <c r="AW300" s="178" t="s">
        <v>823</v>
      </c>
      <c r="AX300" s="321" t="str">
        <f t="shared" ref="AX300:AY300" si="276">+AX274</f>
        <v>cumple</v>
      </c>
      <c r="AY300" s="320" t="str">
        <f t="shared" si="276"/>
        <v>cumple</v>
      </c>
      <c r="AZ300" s="321" t="str">
        <f t="shared" ref="AZ300:BA300" si="277">+AZ274</f>
        <v>cumple</v>
      </c>
      <c r="BA300" s="320" t="str">
        <f t="shared" si="277"/>
        <v>cumple</v>
      </c>
      <c r="BB300" s="128" t="s">
        <v>823</v>
      </c>
      <c r="BC300" s="321" t="str">
        <f t="shared" ref="BC300:BD300" si="278">+BC274</f>
        <v>cumple</v>
      </c>
      <c r="BD300" s="320" t="str">
        <f t="shared" si="278"/>
        <v>cumple</v>
      </c>
    </row>
    <row r="301" spans="1:279">
      <c r="A301" s="1077"/>
      <c r="B301" s="1084" t="s">
        <v>140</v>
      </c>
      <c r="C301" s="1085"/>
      <c r="D301" s="188" t="str">
        <f>+D278</f>
        <v>cumple</v>
      </c>
      <c r="E301" s="964" t="str">
        <f>+E278</f>
        <v>cumple</v>
      </c>
      <c r="F301" s="969"/>
      <c r="G301" s="188" t="str">
        <f>+G278</f>
        <v>cumple</v>
      </c>
      <c r="H301" s="142" t="str">
        <f>+H278</f>
        <v>CUMPLE</v>
      </c>
      <c r="I301" s="964" t="str">
        <f>+I278</f>
        <v>cumple</v>
      </c>
      <c r="J301" s="969"/>
      <c r="K301" s="964" t="str">
        <f>+K278</f>
        <v>cumple</v>
      </c>
      <c r="L301" s="969"/>
      <c r="M301" s="964" t="str">
        <f>+M278</f>
        <v>cumple</v>
      </c>
      <c r="N301" s="969"/>
      <c r="O301" s="964" t="str">
        <f>+O278</f>
        <v>cumple</v>
      </c>
      <c r="P301" s="969"/>
      <c r="Q301" s="948" t="str">
        <f>+Q278</f>
        <v xml:space="preserve">CUMPLE </v>
      </c>
      <c r="R301" s="968"/>
      <c r="S301" s="948" t="str">
        <f>+S278</f>
        <v xml:space="preserve">CUMPLE </v>
      </c>
      <c r="T301" s="949"/>
      <c r="U301" s="949"/>
      <c r="V301" s="964" t="str">
        <f>+V278</f>
        <v xml:space="preserve">CUMPLE </v>
      </c>
      <c r="W301" s="965"/>
      <c r="X301" s="142" t="str">
        <f>+X278</f>
        <v>cumple</v>
      </c>
      <c r="Y301" s="964" t="str">
        <f>+Y278</f>
        <v xml:space="preserve">CUMPLE </v>
      </c>
      <c r="Z301" s="969"/>
      <c r="AA301" s="964" t="str">
        <f>+AA278</f>
        <v xml:space="preserve">CUMPLE </v>
      </c>
      <c r="AB301" s="969"/>
      <c r="AC301" s="964" t="str">
        <f>+AC278</f>
        <v xml:space="preserve">CUMPLE </v>
      </c>
      <c r="AD301" s="969"/>
      <c r="AE301" s="1080" t="str">
        <f>+AE278</f>
        <v>cumple</v>
      </c>
      <c r="AF301" s="1081"/>
      <c r="AG301" s="964" t="str">
        <f>+AG278</f>
        <v>cumple</v>
      </c>
      <c r="AH301" s="969"/>
      <c r="AI301" s="964" t="str">
        <f>+AI278</f>
        <v>cumple</v>
      </c>
      <c r="AJ301" s="969"/>
      <c r="AK301" s="964" t="str">
        <f>+AK278</f>
        <v>cumple</v>
      </c>
      <c r="AL301" s="969"/>
      <c r="AM301" s="964" t="str">
        <f>+AM278</f>
        <v>cumple</v>
      </c>
      <c r="AN301" s="969"/>
      <c r="AO301" s="142" t="str">
        <f>+AO278</f>
        <v>cumple</v>
      </c>
      <c r="AP301" s="964" t="str">
        <f>+AP278</f>
        <v>cumple</v>
      </c>
      <c r="AQ301" s="969"/>
      <c r="AR301" s="948" t="str">
        <f>+AR278</f>
        <v>cumple</v>
      </c>
      <c r="AS301" s="949"/>
      <c r="AT301" s="968"/>
      <c r="AU301" s="964" t="str">
        <f>+AU278</f>
        <v>cumple</v>
      </c>
      <c r="AV301" s="969"/>
      <c r="AW301" s="142" t="s">
        <v>823</v>
      </c>
      <c r="AX301" s="964" t="str">
        <f>+AX278</f>
        <v xml:space="preserve">CUMPLE </v>
      </c>
      <c r="AY301" s="969"/>
      <c r="AZ301" s="964" t="str">
        <f>+AZ278</f>
        <v>cumple</v>
      </c>
      <c r="BA301" s="969"/>
      <c r="BB301" s="111" t="s">
        <v>823</v>
      </c>
      <c r="BC301" s="964" t="str">
        <f>+BC278</f>
        <v>cumple</v>
      </c>
      <c r="BD301" s="969"/>
    </row>
    <row r="302" spans="1:279">
      <c r="A302" s="1077"/>
      <c r="B302" s="1084" t="s">
        <v>139</v>
      </c>
      <c r="C302" s="1085"/>
      <c r="D302" s="188" t="str">
        <f>+D281</f>
        <v>cumple</v>
      </c>
      <c r="E302" s="68" t="str">
        <f t="shared" ref="E302:F302" si="279">+E281</f>
        <v>cumple</v>
      </c>
      <c r="F302" s="274" t="str">
        <f t="shared" si="279"/>
        <v>cumple</v>
      </c>
      <c r="G302" s="188" t="str">
        <f>+G281</f>
        <v>cumple</v>
      </c>
      <c r="H302" s="142" t="str">
        <f>+H281</f>
        <v>CUMPLE</v>
      </c>
      <c r="I302" s="126" t="str">
        <f t="shared" ref="I302:P302" si="280">+I281</f>
        <v>cumple</v>
      </c>
      <c r="J302" s="293" t="str">
        <f t="shared" si="280"/>
        <v>cumple</v>
      </c>
      <c r="K302" s="355" t="str">
        <f t="shared" si="280"/>
        <v>cumple</v>
      </c>
      <c r="L302" s="293" t="str">
        <f t="shared" si="280"/>
        <v>cumple</v>
      </c>
      <c r="M302" s="268" t="str">
        <f t="shared" si="280"/>
        <v>cumple</v>
      </c>
      <c r="N302" s="293" t="str">
        <f t="shared" si="280"/>
        <v>cumple</v>
      </c>
      <c r="O302" s="268" t="str">
        <f t="shared" si="280"/>
        <v>cumple</v>
      </c>
      <c r="P302" s="293" t="str">
        <f t="shared" si="280"/>
        <v>cumple</v>
      </c>
      <c r="Q302" s="126" t="str">
        <f t="shared" ref="Q302:U302" si="281">+Q281</f>
        <v>cumple</v>
      </c>
      <c r="R302" s="293" t="str">
        <f t="shared" si="281"/>
        <v>cumple</v>
      </c>
      <c r="S302" s="126" t="str">
        <f t="shared" si="281"/>
        <v>cumple</v>
      </c>
      <c r="T302" s="107" t="str">
        <f t="shared" si="281"/>
        <v>cumple</v>
      </c>
      <c r="U302" s="107" t="str">
        <f t="shared" si="281"/>
        <v>cumple</v>
      </c>
      <c r="V302" s="126" t="str">
        <f t="shared" ref="V302:W302" si="282">+V281</f>
        <v>cumple</v>
      </c>
      <c r="W302" s="107" t="str">
        <f t="shared" si="282"/>
        <v>cumple</v>
      </c>
      <c r="X302" s="142" t="str">
        <f>+X281</f>
        <v>cumple</v>
      </c>
      <c r="Y302" s="126" t="str">
        <f t="shared" ref="Y302:Z302" si="283">+Y281</f>
        <v>cumple</v>
      </c>
      <c r="Z302" s="293" t="str">
        <f t="shared" si="283"/>
        <v>cumple</v>
      </c>
      <c r="AA302" s="126" t="str">
        <f>+AA281</f>
        <v>cumple</v>
      </c>
      <c r="AB302" s="293" t="str">
        <f>+AB281</f>
        <v>cumple</v>
      </c>
      <c r="AC302" s="126" t="str">
        <f t="shared" ref="AC302:AD302" si="284">+AC281</f>
        <v>cumple</v>
      </c>
      <c r="AD302" s="293" t="str">
        <f t="shared" si="284"/>
        <v>cumple</v>
      </c>
      <c r="AE302" s="709" t="str">
        <f t="shared" ref="AE302:AJ302" si="285">+AE281</f>
        <v>cumple</v>
      </c>
      <c r="AF302" s="882" t="str">
        <f t="shared" si="285"/>
        <v>cumple</v>
      </c>
      <c r="AG302" s="126" t="str">
        <f t="shared" si="285"/>
        <v>cumple</v>
      </c>
      <c r="AH302" s="293" t="str">
        <f t="shared" si="285"/>
        <v>cumple</v>
      </c>
      <c r="AI302" s="126" t="str">
        <f t="shared" si="285"/>
        <v>cumple</v>
      </c>
      <c r="AJ302" s="293" t="str">
        <f t="shared" si="285"/>
        <v>cumple</v>
      </c>
      <c r="AK302" s="126" t="str">
        <f t="shared" ref="AK302:AL302" si="286">+AK281</f>
        <v>cumple</v>
      </c>
      <c r="AL302" s="293" t="str">
        <f t="shared" si="286"/>
        <v>cumple</v>
      </c>
      <c r="AM302" s="126" t="str">
        <f t="shared" ref="AM302:AN302" si="287">+AM281</f>
        <v>cumple</v>
      </c>
      <c r="AN302" s="293" t="str">
        <f t="shared" si="287"/>
        <v>cumple</v>
      </c>
      <c r="AO302" s="142" t="str">
        <f>+AO281</f>
        <v>cumple</v>
      </c>
      <c r="AP302" s="126" t="str">
        <f t="shared" ref="AP302:AV302" si="288">+AP281</f>
        <v>cumple</v>
      </c>
      <c r="AQ302" s="293" t="str">
        <f t="shared" si="288"/>
        <v>cumple</v>
      </c>
      <c r="AR302" s="268" t="str">
        <f t="shared" si="288"/>
        <v>cumple</v>
      </c>
      <c r="AS302" s="106" t="str">
        <f t="shared" si="288"/>
        <v>cumple</v>
      </c>
      <c r="AT302" s="293" t="str">
        <f t="shared" si="288"/>
        <v>cumple</v>
      </c>
      <c r="AU302" s="268" t="str">
        <f t="shared" si="288"/>
        <v>cumple</v>
      </c>
      <c r="AV302" s="293" t="str">
        <f t="shared" si="288"/>
        <v>cumple</v>
      </c>
      <c r="AW302" s="142" t="s">
        <v>823</v>
      </c>
      <c r="AX302" s="126" t="str">
        <f t="shared" ref="AX302:AY302" si="289">+AX281</f>
        <v>cumple</v>
      </c>
      <c r="AY302" s="293" t="str">
        <f t="shared" si="289"/>
        <v>cumple</v>
      </c>
      <c r="AZ302" s="126" t="str">
        <f t="shared" ref="AZ302:BA302" si="290">+AZ281</f>
        <v>cumple</v>
      </c>
      <c r="BA302" s="293" t="str">
        <f t="shared" si="290"/>
        <v>cumple</v>
      </c>
      <c r="BB302" s="111" t="s">
        <v>823</v>
      </c>
      <c r="BC302" s="126" t="str">
        <f t="shared" ref="BC302:BD302" si="291">+BC281</f>
        <v>cumple</v>
      </c>
      <c r="BD302" s="293" t="str">
        <f t="shared" si="291"/>
        <v>cumple</v>
      </c>
    </row>
    <row r="303" spans="1:279">
      <c r="A303" s="1077"/>
      <c r="B303" s="1084" t="s">
        <v>143</v>
      </c>
      <c r="C303" s="1085"/>
      <c r="D303" s="188" t="str">
        <f>+D284</f>
        <v>cumple</v>
      </c>
      <c r="E303" s="68"/>
      <c r="F303" s="320"/>
      <c r="G303" s="188" t="str">
        <f>+G284</f>
        <v>cumple</v>
      </c>
      <c r="H303" s="142" t="str">
        <f>+H284</f>
        <v>CUMPLE</v>
      </c>
      <c r="I303" s="126"/>
      <c r="J303" s="320"/>
      <c r="K303" s="126"/>
      <c r="L303" s="320"/>
      <c r="M303" s="126"/>
      <c r="N303" s="320"/>
      <c r="O303" s="126"/>
      <c r="P303" s="320"/>
      <c r="Q303" s="126"/>
      <c r="R303" s="320"/>
      <c r="S303" s="126" t="str">
        <f>+S284</f>
        <v>cumple</v>
      </c>
      <c r="T303" s="126" t="str">
        <f t="shared" ref="T303:U303" si="292">+T284</f>
        <v>cumple</v>
      </c>
      <c r="U303" s="188" t="str">
        <f t="shared" si="292"/>
        <v xml:space="preserve">cumple </v>
      </c>
      <c r="V303" s="325" t="str">
        <f>+V284</f>
        <v>cumple</v>
      </c>
      <c r="W303" s="439" t="str">
        <f>+W284</f>
        <v>cumple</v>
      </c>
      <c r="X303" s="461" t="str">
        <f>+X284</f>
        <v>cumple</v>
      </c>
      <c r="Y303" s="126"/>
      <c r="Z303" s="320"/>
      <c r="AA303" s="126"/>
      <c r="AB303" s="320"/>
      <c r="AC303" s="126"/>
      <c r="AD303" s="320"/>
      <c r="AE303" s="709" t="str">
        <f t="shared" ref="AE303:BD303" si="293">+AE284</f>
        <v>cumple</v>
      </c>
      <c r="AF303" s="880" t="str">
        <f t="shared" si="293"/>
        <v>cumple</v>
      </c>
      <c r="AG303" s="126" t="str">
        <f t="shared" si="293"/>
        <v>cumple</v>
      </c>
      <c r="AH303" s="320" t="str">
        <f t="shared" si="293"/>
        <v>cumple</v>
      </c>
      <c r="AI303" s="126" t="str">
        <f t="shared" si="293"/>
        <v>cumple</v>
      </c>
      <c r="AJ303" s="320" t="str">
        <f t="shared" si="293"/>
        <v>cumple</v>
      </c>
      <c r="AK303" s="126" t="str">
        <f t="shared" si="293"/>
        <v xml:space="preserve">Ninguna </v>
      </c>
      <c r="AL303" s="320" t="str">
        <f t="shared" si="293"/>
        <v>cumple</v>
      </c>
      <c r="AM303" s="126" t="str">
        <f t="shared" si="293"/>
        <v>cumple</v>
      </c>
      <c r="AN303" s="320" t="str">
        <f t="shared" si="293"/>
        <v>cumple</v>
      </c>
      <c r="AO303" s="461" t="str">
        <f>+AO284</f>
        <v>cumple</v>
      </c>
      <c r="AP303" s="126" t="str">
        <f t="shared" si="293"/>
        <v>cumple</v>
      </c>
      <c r="AQ303" s="320" t="str">
        <f t="shared" si="293"/>
        <v>cumple</v>
      </c>
      <c r="AR303" s="126"/>
      <c r="AS303" s="37"/>
      <c r="AT303" s="320"/>
      <c r="AU303" s="126"/>
      <c r="AV303" s="320"/>
      <c r="AW303" s="142" t="s">
        <v>823</v>
      </c>
      <c r="AX303" s="126"/>
      <c r="AY303" s="320"/>
      <c r="AZ303" s="126" t="str">
        <f t="shared" si="293"/>
        <v>Cumple</v>
      </c>
      <c r="BA303" s="320" t="str">
        <f t="shared" si="293"/>
        <v>cumple</v>
      </c>
      <c r="BB303" s="111" t="s">
        <v>823</v>
      </c>
      <c r="BC303" s="126" t="str">
        <f t="shared" si="293"/>
        <v>cumple</v>
      </c>
      <c r="BD303" s="320" t="str">
        <f t="shared" si="293"/>
        <v>cumple</v>
      </c>
    </row>
    <row r="304" spans="1:279">
      <c r="A304" s="1077"/>
      <c r="B304" s="1084" t="s">
        <v>144</v>
      </c>
      <c r="C304" s="1085"/>
      <c r="D304" s="188" t="str">
        <f>+D261</f>
        <v>CUMPLE</v>
      </c>
      <c r="E304" s="964" t="str">
        <f>+E261</f>
        <v>CUMPLE</v>
      </c>
      <c r="F304" s="969"/>
      <c r="G304" s="188" t="str">
        <f>+G261</f>
        <v>CUMPLE</v>
      </c>
      <c r="H304" s="142" t="str">
        <f>+H261</f>
        <v>CUMPLE</v>
      </c>
      <c r="I304" s="964" t="str">
        <f>+I261</f>
        <v>CUMPLE</v>
      </c>
      <c r="J304" s="969"/>
      <c r="K304" s="964" t="str">
        <f>+K261</f>
        <v>CUMPLE</v>
      </c>
      <c r="L304" s="969"/>
      <c r="M304" s="964" t="str">
        <f>+M261</f>
        <v>CUMPLE</v>
      </c>
      <c r="N304" s="969"/>
      <c r="O304" s="964" t="str">
        <f>+O261</f>
        <v>CUMPLE</v>
      </c>
      <c r="P304" s="969"/>
      <c r="Q304" s="948" t="str">
        <f>+Q261</f>
        <v>CUMPLE</v>
      </c>
      <c r="R304" s="968"/>
      <c r="S304" s="948" t="str">
        <f>+S261</f>
        <v>CUMPLE</v>
      </c>
      <c r="T304" s="949"/>
      <c r="U304" s="949"/>
      <c r="V304" s="964" t="str">
        <f>+V261</f>
        <v>CUMPLE</v>
      </c>
      <c r="W304" s="965"/>
      <c r="X304" s="462" t="str">
        <f>+X261</f>
        <v>CUMPLE</v>
      </c>
      <c r="Y304" s="964" t="str">
        <f>+Y261</f>
        <v>CUMPLE</v>
      </c>
      <c r="Z304" s="969"/>
      <c r="AA304" s="964" t="str">
        <f>+AA261</f>
        <v>CUMPLE</v>
      </c>
      <c r="AB304" s="969"/>
      <c r="AC304" s="964" t="s">
        <v>999</v>
      </c>
      <c r="AD304" s="969"/>
      <c r="AE304" s="1080" t="str">
        <f>+AE261</f>
        <v>CUMPLE</v>
      </c>
      <c r="AF304" s="1081"/>
      <c r="AG304" s="964" t="str">
        <f>+AG261</f>
        <v>CUMPLE</v>
      </c>
      <c r="AH304" s="969"/>
      <c r="AI304" s="964" t="str">
        <f>+AI261</f>
        <v>CUMPLE</v>
      </c>
      <c r="AJ304" s="969"/>
      <c r="AK304" s="964" t="str">
        <f>+AK261</f>
        <v>CUMPLE</v>
      </c>
      <c r="AL304" s="969"/>
      <c r="AM304" s="964" t="str">
        <f>+AM261</f>
        <v>CUMPLE</v>
      </c>
      <c r="AN304" s="969"/>
      <c r="AO304" s="462" t="str">
        <f>+AO261</f>
        <v>CUMPLE</v>
      </c>
      <c r="AP304" s="964" t="str">
        <f>+AP261</f>
        <v>CUMPLE</v>
      </c>
      <c r="AQ304" s="969"/>
      <c r="AR304" s="948" t="str">
        <f>+AR261</f>
        <v>CUMPLE</v>
      </c>
      <c r="AS304" s="949"/>
      <c r="AT304" s="968"/>
      <c r="AU304" s="964" t="str">
        <f>+AU261</f>
        <v>CUMPLE</v>
      </c>
      <c r="AV304" s="969"/>
      <c r="AW304" s="142" t="str">
        <f>+AW261</f>
        <v>CUMPLE</v>
      </c>
      <c r="AX304" s="964" t="str">
        <f>+AX261</f>
        <v>CUMPLE</v>
      </c>
      <c r="AY304" s="969"/>
      <c r="AZ304" s="964" t="str">
        <f>+AZ261</f>
        <v>CUMPLE</v>
      </c>
      <c r="BA304" s="969"/>
      <c r="BB304" s="119" t="str">
        <f>+BB261</f>
        <v>CUMPLE</v>
      </c>
      <c r="BC304" s="964" t="str">
        <f>+BC261</f>
        <v>CUMPLE</v>
      </c>
      <c r="BD304" s="969"/>
    </row>
    <row r="305" spans="1:279" ht="15" customHeight="1">
      <c r="A305" s="1077" t="s">
        <v>56</v>
      </c>
      <c r="B305" s="1079" t="s">
        <v>134</v>
      </c>
      <c r="C305" s="1073"/>
      <c r="D305" s="188">
        <f>+D170</f>
        <v>100</v>
      </c>
      <c r="E305" s="964">
        <f>+E170/2</f>
        <v>100</v>
      </c>
      <c r="F305" s="969"/>
      <c r="G305" s="188">
        <f>+G170</f>
        <v>100</v>
      </c>
      <c r="H305" s="142">
        <f>+H170</f>
        <v>100</v>
      </c>
      <c r="I305" s="964">
        <f>+I170/2</f>
        <v>90</v>
      </c>
      <c r="J305" s="969"/>
      <c r="K305" s="964">
        <f>+K170/2</f>
        <v>100</v>
      </c>
      <c r="L305" s="969"/>
      <c r="M305" s="964">
        <f>+M170/2</f>
        <v>100</v>
      </c>
      <c r="N305" s="969"/>
      <c r="O305" s="964">
        <f>+O170/2</f>
        <v>100</v>
      </c>
      <c r="P305" s="969"/>
      <c r="Q305" s="948">
        <f>+Q170</f>
        <v>100</v>
      </c>
      <c r="R305" s="968"/>
      <c r="S305" s="948">
        <f>+S170</f>
        <v>100</v>
      </c>
      <c r="T305" s="949"/>
      <c r="U305" s="949"/>
      <c r="V305" s="964">
        <f>+V170</f>
        <v>100</v>
      </c>
      <c r="W305" s="965"/>
      <c r="X305" s="462">
        <f>+X170</f>
        <v>100</v>
      </c>
      <c r="Y305" s="964">
        <f>+Y170</f>
        <v>100</v>
      </c>
      <c r="Z305" s="969"/>
      <c r="AA305" s="964">
        <f>+AA170</f>
        <v>100</v>
      </c>
      <c r="AB305" s="969"/>
      <c r="AC305" s="964">
        <f>+AC170</f>
        <v>100</v>
      </c>
      <c r="AD305" s="969"/>
      <c r="AE305" s="1080">
        <f>+AE170</f>
        <v>100</v>
      </c>
      <c r="AF305" s="1081"/>
      <c r="AG305" s="964">
        <f>+AG170</f>
        <v>100</v>
      </c>
      <c r="AH305" s="969"/>
      <c r="AI305" s="964">
        <f>+AI170</f>
        <v>100</v>
      </c>
      <c r="AJ305" s="969"/>
      <c r="AK305" s="964">
        <f>+AK170</f>
        <v>100</v>
      </c>
      <c r="AL305" s="969"/>
      <c r="AM305" s="964">
        <f>+AM170</f>
        <v>100</v>
      </c>
      <c r="AN305" s="969"/>
      <c r="AO305" s="462">
        <f>+AO170</f>
        <v>100</v>
      </c>
      <c r="AP305" s="964">
        <f>+AP170</f>
        <v>100</v>
      </c>
      <c r="AQ305" s="969"/>
      <c r="AR305" s="948">
        <f>+AR170/2</f>
        <v>100</v>
      </c>
      <c r="AS305" s="949"/>
      <c r="AT305" s="968"/>
      <c r="AU305" s="964">
        <f>+AU170/2</f>
        <v>100</v>
      </c>
      <c r="AV305" s="969"/>
      <c r="AW305" s="142">
        <v>100</v>
      </c>
      <c r="AX305" s="964">
        <f>+AX170</f>
        <v>100</v>
      </c>
      <c r="AY305" s="969"/>
      <c r="AZ305" s="964">
        <f>+AZ170</f>
        <v>100</v>
      </c>
      <c r="BA305" s="969"/>
      <c r="BB305" s="111">
        <v>100</v>
      </c>
      <c r="BC305" s="964">
        <f>+BC170</f>
        <v>100</v>
      </c>
      <c r="BD305" s="969"/>
    </row>
    <row r="306" spans="1:279" ht="24.75" customHeight="1">
      <c r="A306" s="1077"/>
      <c r="B306" s="1079" t="s">
        <v>135</v>
      </c>
      <c r="C306" s="1073"/>
      <c r="D306" s="188">
        <f>+D182</f>
        <v>100</v>
      </c>
      <c r="E306" s="964">
        <f>+E182</f>
        <v>100</v>
      </c>
      <c r="F306" s="969"/>
      <c r="G306" s="188">
        <f>+G182</f>
        <v>100</v>
      </c>
      <c r="H306" s="142">
        <f>+H182</f>
        <v>100</v>
      </c>
      <c r="I306" s="964">
        <f>+I182</f>
        <v>100</v>
      </c>
      <c r="J306" s="969"/>
      <c r="K306" s="964">
        <f>+K182</f>
        <v>100</v>
      </c>
      <c r="L306" s="969"/>
      <c r="M306" s="964">
        <f>+M182</f>
        <v>100</v>
      </c>
      <c r="N306" s="969"/>
      <c r="O306" s="964">
        <f>+O182</f>
        <v>100</v>
      </c>
      <c r="P306" s="969"/>
      <c r="Q306" s="948">
        <f>+Q182</f>
        <v>100</v>
      </c>
      <c r="R306" s="968"/>
      <c r="S306" s="948">
        <f>+S182</f>
        <v>100</v>
      </c>
      <c r="T306" s="949"/>
      <c r="U306" s="949"/>
      <c r="V306" s="964">
        <f>+V182</f>
        <v>100</v>
      </c>
      <c r="W306" s="965"/>
      <c r="X306" s="462">
        <f>+X182</f>
        <v>100</v>
      </c>
      <c r="Y306" s="964">
        <f>+Y182</f>
        <v>100</v>
      </c>
      <c r="Z306" s="969"/>
      <c r="AA306" s="964">
        <f>+AA182</f>
        <v>100</v>
      </c>
      <c r="AB306" s="969"/>
      <c r="AC306" s="964">
        <f>+AC182</f>
        <v>100</v>
      </c>
      <c r="AD306" s="969"/>
      <c r="AE306" s="1080">
        <f>+AE182</f>
        <v>70</v>
      </c>
      <c r="AF306" s="1081"/>
      <c r="AG306" s="964">
        <f>+AG182</f>
        <v>100</v>
      </c>
      <c r="AH306" s="969"/>
      <c r="AI306" s="964">
        <f>+AI182</f>
        <v>100</v>
      </c>
      <c r="AJ306" s="969"/>
      <c r="AK306" s="964">
        <f>+AK182</f>
        <v>100</v>
      </c>
      <c r="AL306" s="969"/>
      <c r="AM306" s="964">
        <f>+AM182</f>
        <v>100</v>
      </c>
      <c r="AN306" s="969"/>
      <c r="AO306" s="462">
        <f>+AO182</f>
        <v>100</v>
      </c>
      <c r="AP306" s="964">
        <f>+AP182</f>
        <v>100</v>
      </c>
      <c r="AQ306" s="969"/>
      <c r="AR306" s="948">
        <f>+AR182</f>
        <v>100</v>
      </c>
      <c r="AS306" s="949"/>
      <c r="AT306" s="968"/>
      <c r="AU306" s="964">
        <f>+AU182</f>
        <v>100</v>
      </c>
      <c r="AV306" s="969"/>
      <c r="AW306" s="142">
        <v>100</v>
      </c>
      <c r="AX306" s="964">
        <f>+AX182</f>
        <v>100</v>
      </c>
      <c r="AY306" s="969"/>
      <c r="AZ306" s="964">
        <f>+AZ182</f>
        <v>100</v>
      </c>
      <c r="BA306" s="969"/>
      <c r="BB306" s="111">
        <v>100</v>
      </c>
      <c r="BC306" s="964">
        <f>+BC182</f>
        <v>100</v>
      </c>
      <c r="BD306" s="969"/>
    </row>
    <row r="307" spans="1:279">
      <c r="A307" s="1077"/>
      <c r="B307" s="1079" t="s">
        <v>125</v>
      </c>
      <c r="C307" s="1073"/>
      <c r="D307" s="240">
        <f>+D190</f>
        <v>200</v>
      </c>
      <c r="E307" s="962">
        <f>+E190</f>
        <v>200</v>
      </c>
      <c r="F307" s="991"/>
      <c r="G307" s="240">
        <f>+G190</f>
        <v>200</v>
      </c>
      <c r="H307" s="179">
        <f>+H190</f>
        <v>200</v>
      </c>
      <c r="I307" s="962">
        <f>+I190</f>
        <v>200</v>
      </c>
      <c r="J307" s="991"/>
      <c r="K307" s="962">
        <f>+K190</f>
        <v>200</v>
      </c>
      <c r="L307" s="991"/>
      <c r="M307" s="962">
        <f>+M190</f>
        <v>200</v>
      </c>
      <c r="N307" s="991"/>
      <c r="O307" s="962">
        <f>+O190</f>
        <v>200</v>
      </c>
      <c r="P307" s="991"/>
      <c r="Q307" s="933">
        <f>+Q190</f>
        <v>200</v>
      </c>
      <c r="R307" s="935"/>
      <c r="S307" s="933">
        <f>+S190</f>
        <v>200</v>
      </c>
      <c r="T307" s="934"/>
      <c r="U307" s="934"/>
      <c r="V307" s="962">
        <f>+V190</f>
        <v>200</v>
      </c>
      <c r="W307" s="963"/>
      <c r="X307" s="336">
        <f>+X190</f>
        <v>200</v>
      </c>
      <c r="Y307" s="962">
        <f>+Y190</f>
        <v>200</v>
      </c>
      <c r="Z307" s="991"/>
      <c r="AA307" s="962">
        <f>+AA190</f>
        <v>200</v>
      </c>
      <c r="AB307" s="991"/>
      <c r="AC307" s="962">
        <f>+AC190</f>
        <v>200</v>
      </c>
      <c r="AD307" s="991"/>
      <c r="AE307" s="1082">
        <f>+AE190</f>
        <v>200</v>
      </c>
      <c r="AF307" s="1083"/>
      <c r="AG307" s="962">
        <f>+AG190</f>
        <v>200</v>
      </c>
      <c r="AH307" s="991"/>
      <c r="AI307" s="962">
        <f>+AI190</f>
        <v>200</v>
      </c>
      <c r="AJ307" s="991"/>
      <c r="AK307" s="962">
        <f>+AK190</f>
        <v>200</v>
      </c>
      <c r="AL307" s="991"/>
      <c r="AM307" s="962">
        <f>+AM190</f>
        <v>200</v>
      </c>
      <c r="AN307" s="991"/>
      <c r="AO307" s="336">
        <f>+AO190</f>
        <v>200</v>
      </c>
      <c r="AP307" s="962">
        <f>+AP190</f>
        <v>200</v>
      </c>
      <c r="AQ307" s="991"/>
      <c r="AR307" s="933">
        <f>+AR190</f>
        <v>200</v>
      </c>
      <c r="AS307" s="934"/>
      <c r="AT307" s="935"/>
      <c r="AU307" s="962">
        <f>+AU190</f>
        <v>200</v>
      </c>
      <c r="AV307" s="991"/>
      <c r="AW307" s="179">
        <v>200</v>
      </c>
      <c r="AX307" s="962">
        <f>+AX190</f>
        <v>200</v>
      </c>
      <c r="AY307" s="991"/>
      <c r="AZ307" s="962">
        <f>+AZ190</f>
        <v>200</v>
      </c>
      <c r="BA307" s="991"/>
      <c r="BB307" s="127">
        <v>200</v>
      </c>
      <c r="BC307" s="962">
        <f>+BC190</f>
        <v>200</v>
      </c>
      <c r="BD307" s="991"/>
    </row>
    <row r="308" spans="1:279" s="16" customFormat="1" ht="31.5" customHeight="1">
      <c r="A308" s="1077"/>
      <c r="B308" s="1079" t="s">
        <v>136</v>
      </c>
      <c r="C308" s="1073"/>
      <c r="D308" s="240">
        <f>+D292</f>
        <v>10</v>
      </c>
      <c r="E308" s="962">
        <f>+E292</f>
        <v>10</v>
      </c>
      <c r="F308" s="991"/>
      <c r="G308" s="240">
        <f>+G292</f>
        <v>10</v>
      </c>
      <c r="H308" s="179">
        <f>+H292</f>
        <v>10</v>
      </c>
      <c r="I308" s="962">
        <f>+I292</f>
        <v>10</v>
      </c>
      <c r="J308" s="991"/>
      <c r="K308" s="962">
        <f>+K292</f>
        <v>10</v>
      </c>
      <c r="L308" s="991"/>
      <c r="M308" s="962">
        <f>+M292</f>
        <v>10</v>
      </c>
      <c r="N308" s="991"/>
      <c r="O308" s="962">
        <f>+O292</f>
        <v>10</v>
      </c>
      <c r="P308" s="991"/>
      <c r="Q308" s="933">
        <f>+Q292</f>
        <v>10</v>
      </c>
      <c r="R308" s="935"/>
      <c r="S308" s="933">
        <f>+S292</f>
        <v>10</v>
      </c>
      <c r="T308" s="934"/>
      <c r="U308" s="934"/>
      <c r="V308" s="962">
        <f>+V292</f>
        <v>10</v>
      </c>
      <c r="W308" s="963"/>
      <c r="X308" s="336">
        <f>+X292</f>
        <v>10</v>
      </c>
      <c r="Y308" s="962">
        <f>+Y292</f>
        <v>10</v>
      </c>
      <c r="Z308" s="991"/>
      <c r="AA308" s="962">
        <f>+AA292</f>
        <v>10</v>
      </c>
      <c r="AB308" s="991"/>
      <c r="AC308" s="962">
        <f>+AC292</f>
        <v>10</v>
      </c>
      <c r="AD308" s="991"/>
      <c r="AE308" s="1082">
        <f>+AE292</f>
        <v>10</v>
      </c>
      <c r="AF308" s="1083"/>
      <c r="AG308" s="964">
        <f>+AG292</f>
        <v>10</v>
      </c>
      <c r="AH308" s="969"/>
      <c r="AI308" s="962">
        <f>+AI292</f>
        <v>10</v>
      </c>
      <c r="AJ308" s="991"/>
      <c r="AK308" s="962">
        <f>+AK292</f>
        <v>10</v>
      </c>
      <c r="AL308" s="991"/>
      <c r="AM308" s="962">
        <f>+AM292</f>
        <v>10</v>
      </c>
      <c r="AN308" s="991"/>
      <c r="AO308" s="336">
        <f>+AO292</f>
        <v>10</v>
      </c>
      <c r="AP308" s="962">
        <f>+AP292</f>
        <v>10</v>
      </c>
      <c r="AQ308" s="991"/>
      <c r="AR308" s="933">
        <f>+AR292</f>
        <v>10</v>
      </c>
      <c r="AS308" s="934"/>
      <c r="AT308" s="935"/>
      <c r="AU308" s="962">
        <f>+AU292</f>
        <v>10</v>
      </c>
      <c r="AV308" s="991"/>
      <c r="AW308" s="179">
        <v>10</v>
      </c>
      <c r="AX308" s="962">
        <f>+AX292</f>
        <v>10</v>
      </c>
      <c r="AY308" s="991"/>
      <c r="AZ308" s="962">
        <f>+AZ292</f>
        <v>10</v>
      </c>
      <c r="BA308" s="991"/>
      <c r="BB308" s="127">
        <v>10</v>
      </c>
      <c r="BC308" s="962">
        <f>+BC292</f>
        <v>10</v>
      </c>
      <c r="BD308" s="991"/>
      <c r="BE308" s="15"/>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c r="HF308" s="1"/>
      <c r="HG308" s="1"/>
      <c r="HH308" s="1"/>
      <c r="HI308" s="1"/>
      <c r="HJ308" s="1"/>
      <c r="HK308" s="1"/>
      <c r="HL308" s="1"/>
      <c r="HM308" s="1"/>
      <c r="HN308" s="1"/>
      <c r="HO308" s="1"/>
      <c r="HP308" s="1"/>
      <c r="HQ308" s="1"/>
      <c r="HR308" s="1"/>
      <c r="HS308" s="1"/>
      <c r="HT308" s="1"/>
      <c r="HU308" s="1"/>
      <c r="HV308" s="1"/>
      <c r="HW308" s="1"/>
      <c r="HX308" s="1"/>
      <c r="HY308" s="1"/>
      <c r="HZ308" s="1"/>
      <c r="IA308" s="1"/>
      <c r="IB308" s="1"/>
      <c r="IC308" s="1"/>
      <c r="ID308" s="1"/>
      <c r="IE308" s="1"/>
      <c r="IF308" s="1"/>
      <c r="IG308" s="1"/>
      <c r="IH308" s="1"/>
      <c r="II308" s="1"/>
      <c r="IJ308" s="1"/>
      <c r="IK308" s="1"/>
      <c r="IL308" s="1"/>
      <c r="IM308" s="1"/>
      <c r="IN308" s="1"/>
      <c r="IO308" s="1"/>
      <c r="IP308" s="1"/>
      <c r="IQ308" s="1"/>
      <c r="IR308" s="1"/>
      <c r="IS308" s="1"/>
      <c r="IT308" s="1"/>
      <c r="IU308" s="1"/>
      <c r="IV308" s="1"/>
      <c r="IW308" s="1"/>
      <c r="IX308" s="1"/>
      <c r="IY308" s="1"/>
      <c r="IZ308" s="1"/>
      <c r="JA308" s="1"/>
      <c r="JB308" s="1"/>
      <c r="JC308" s="1"/>
      <c r="JD308" s="1"/>
      <c r="JE308" s="1"/>
      <c r="JF308" s="1"/>
      <c r="JG308" s="1"/>
      <c r="JH308" s="1"/>
      <c r="JI308" s="1"/>
      <c r="JJ308" s="1"/>
      <c r="JK308" s="1"/>
      <c r="JL308" s="1"/>
      <c r="JM308" s="1"/>
      <c r="JN308" s="1"/>
      <c r="JO308" s="1"/>
      <c r="JP308" s="1"/>
      <c r="JQ308" s="1"/>
      <c r="JR308" s="1"/>
      <c r="JS308" s="15"/>
    </row>
    <row r="309" spans="1:279" s="1" customFormat="1" ht="42.75" customHeight="1">
      <c r="A309" s="1078"/>
      <c r="B309" s="1073" t="s">
        <v>236</v>
      </c>
      <c r="C309" s="1074"/>
      <c r="D309" s="240">
        <f>+D226</f>
        <v>2</v>
      </c>
      <c r="E309" s="933">
        <f>+E226</f>
        <v>2</v>
      </c>
      <c r="F309" s="935"/>
      <c r="G309" s="240">
        <v>2</v>
      </c>
      <c r="H309" s="179">
        <f>+H226</f>
        <v>2</v>
      </c>
      <c r="I309" s="933">
        <f>+I226</f>
        <v>2</v>
      </c>
      <c r="J309" s="935"/>
      <c r="K309" s="933">
        <f>+K226</f>
        <v>2</v>
      </c>
      <c r="L309" s="935"/>
      <c r="M309" s="933">
        <f>+M226</f>
        <v>2</v>
      </c>
      <c r="N309" s="935"/>
      <c r="O309" s="933">
        <f>+O226</f>
        <v>2</v>
      </c>
      <c r="P309" s="935"/>
      <c r="Q309" s="933">
        <f>+Q226</f>
        <v>2</v>
      </c>
      <c r="R309" s="935"/>
      <c r="S309" s="933">
        <f>+S226</f>
        <v>0</v>
      </c>
      <c r="T309" s="934"/>
      <c r="U309" s="934"/>
      <c r="V309" s="933">
        <f>+V226</f>
        <v>2</v>
      </c>
      <c r="W309" s="934"/>
      <c r="X309" s="179">
        <f>+X226</f>
        <v>2</v>
      </c>
      <c r="Y309" s="933">
        <f>+Y226</f>
        <v>2</v>
      </c>
      <c r="Z309" s="935"/>
      <c r="AA309" s="933">
        <f>+AA226</f>
        <v>2</v>
      </c>
      <c r="AB309" s="935"/>
      <c r="AC309" s="933">
        <f>+AC226</f>
        <v>2</v>
      </c>
      <c r="AD309" s="935"/>
      <c r="AE309" s="942">
        <f>+AE226</f>
        <v>2</v>
      </c>
      <c r="AF309" s="943"/>
      <c r="AG309" s="933">
        <f>+AG226</f>
        <v>2</v>
      </c>
      <c r="AH309" s="935"/>
      <c r="AI309" s="933">
        <f>+AI226</f>
        <v>2</v>
      </c>
      <c r="AJ309" s="935"/>
      <c r="AK309" s="933">
        <f>+AK226</f>
        <v>2</v>
      </c>
      <c r="AL309" s="935"/>
      <c r="AM309" s="933">
        <f>+AM226</f>
        <v>2</v>
      </c>
      <c r="AN309" s="935"/>
      <c r="AO309" s="179">
        <f>+AO226</f>
        <v>2</v>
      </c>
      <c r="AP309" s="933">
        <f>+AP226</f>
        <v>2</v>
      </c>
      <c r="AQ309" s="935"/>
      <c r="AR309" s="933">
        <f>+AR226</f>
        <v>2</v>
      </c>
      <c r="AS309" s="934"/>
      <c r="AT309" s="935"/>
      <c r="AU309" s="933">
        <f>+AU226</f>
        <v>2</v>
      </c>
      <c r="AV309" s="935"/>
      <c r="AW309" s="541">
        <f>+AW226</f>
        <v>0</v>
      </c>
      <c r="AX309" s="933">
        <f>+AX226</f>
        <v>2</v>
      </c>
      <c r="AY309" s="935"/>
      <c r="AZ309" s="933">
        <f>+AZ226</f>
        <v>0</v>
      </c>
      <c r="BA309" s="935"/>
      <c r="BB309" s="127">
        <f>+BB226</f>
        <v>2</v>
      </c>
      <c r="BC309" s="933">
        <f>+BC226</f>
        <v>2</v>
      </c>
      <c r="BD309" s="935"/>
    </row>
    <row r="310" spans="1:279" s="1" customFormat="1" ht="31.5" customHeight="1" thickBot="1">
      <c r="A310" s="1078"/>
      <c r="B310" s="1075" t="s">
        <v>237</v>
      </c>
      <c r="C310" s="1076"/>
      <c r="D310" s="324">
        <f>+D230</f>
        <v>0</v>
      </c>
      <c r="E310" s="936">
        <f>+E230</f>
        <v>2</v>
      </c>
      <c r="F310" s="938"/>
      <c r="G310" s="323">
        <f>+G230</f>
        <v>2</v>
      </c>
      <c r="H310" s="324">
        <f>+H230</f>
        <v>0</v>
      </c>
      <c r="I310" s="936">
        <f>+I230</f>
        <v>2</v>
      </c>
      <c r="J310" s="938"/>
      <c r="K310" s="936">
        <f>+K230</f>
        <v>2</v>
      </c>
      <c r="L310" s="938"/>
      <c r="M310" s="936">
        <f>+M230</f>
        <v>2</v>
      </c>
      <c r="N310" s="938"/>
      <c r="O310" s="936">
        <f>+O230</f>
        <v>2</v>
      </c>
      <c r="P310" s="938"/>
      <c r="Q310" s="936">
        <f>+Q230</f>
        <v>2</v>
      </c>
      <c r="R310" s="938"/>
      <c r="S310" s="936">
        <f>+S230</f>
        <v>2</v>
      </c>
      <c r="T310" s="937"/>
      <c r="U310" s="937"/>
      <c r="V310" s="936">
        <f>+V230</f>
        <v>2</v>
      </c>
      <c r="W310" s="937"/>
      <c r="X310" s="324">
        <f>+X230</f>
        <v>0</v>
      </c>
      <c r="Y310" s="936">
        <f>+Y230</f>
        <v>2</v>
      </c>
      <c r="Z310" s="938"/>
      <c r="AA310" s="936">
        <f>+AA230</f>
        <v>2</v>
      </c>
      <c r="AB310" s="938"/>
      <c r="AC310" s="936">
        <f>+AC230</f>
        <v>2</v>
      </c>
      <c r="AD310" s="938"/>
      <c r="AE310" s="944">
        <f>+AE230</f>
        <v>2</v>
      </c>
      <c r="AF310" s="945"/>
      <c r="AG310" s="936">
        <f>+AG230</f>
        <v>2</v>
      </c>
      <c r="AH310" s="938"/>
      <c r="AI310" s="936">
        <f>+AI230</f>
        <v>0</v>
      </c>
      <c r="AJ310" s="938"/>
      <c r="AK310" s="936">
        <f>+AK230</f>
        <v>2</v>
      </c>
      <c r="AL310" s="938"/>
      <c r="AM310" s="936">
        <f>+AM230</f>
        <v>2</v>
      </c>
      <c r="AN310" s="938"/>
      <c r="AO310" s="324">
        <f>+AO230</f>
        <v>0</v>
      </c>
      <c r="AP310" s="936">
        <f>+AP230</f>
        <v>2</v>
      </c>
      <c r="AQ310" s="938"/>
      <c r="AR310" s="936">
        <f>+AR230</f>
        <v>2</v>
      </c>
      <c r="AS310" s="937"/>
      <c r="AT310" s="938"/>
      <c r="AU310" s="936">
        <f>+AU230</f>
        <v>2</v>
      </c>
      <c r="AV310" s="938"/>
      <c r="AW310" s="542">
        <f>+AW230</f>
        <v>0</v>
      </c>
      <c r="AX310" s="936">
        <f>+AX230</f>
        <v>2</v>
      </c>
      <c r="AY310" s="938"/>
      <c r="AZ310" s="936">
        <f>+AZ230</f>
        <v>2</v>
      </c>
      <c r="BA310" s="938"/>
      <c r="BB310" s="127">
        <f>+BB230</f>
        <v>0</v>
      </c>
      <c r="BC310" s="936">
        <f>+BC230</f>
        <v>2</v>
      </c>
      <c r="BD310" s="938"/>
    </row>
    <row r="311" spans="1:279" s="1" customFormat="1">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row>
    <row r="312" spans="1:279" s="1" customForma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row>
    <row r="313" spans="1:279" s="1" customFormat="1">
      <c r="A313" s="18"/>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row>
    <row r="314" spans="1:279" s="1" customFormat="1">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c r="AA314" s="20"/>
      <c r="AB314" s="20"/>
      <c r="AC314" s="20"/>
      <c r="AD314" s="20"/>
    </row>
    <row r="315" spans="1:279" s="1" customForma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c r="AA315" s="21"/>
      <c r="AB315" s="21"/>
      <c r="AC315" s="21"/>
      <c r="AD315" s="21"/>
    </row>
    <row r="316" spans="1:279" s="1" customFormat="1">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row>
    <row r="317" spans="1:279" s="1" customFormat="1">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row>
    <row r="318" spans="1:279" s="1" customFormat="1">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row>
    <row r="319" spans="1:279" s="1" customFormat="1">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row>
    <row r="320" spans="1:279" s="1" customFormat="1">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row>
    <row r="321" spans="1:30" s="1" customForma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row>
    <row r="322" spans="1:30" s="1" customForma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row>
    <row r="323" spans="1:30" s="1" customForma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row>
    <row r="324" spans="1:30" s="1" customForma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row>
    <row r="325" spans="1:30" s="1" customForma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row>
    <row r="326" spans="1:30" s="1" customForma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row>
    <row r="327" spans="1:30" s="1" customForma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row>
    <row r="328" spans="1:30" s="1" customForma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row>
    <row r="329" spans="1:30" s="1" customForma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row>
    <row r="330" spans="1:30" s="1" customForma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row>
    <row r="331" spans="1:30" s="1" customForma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row>
    <row r="332" spans="1:30" s="1" customForma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row>
    <row r="333" spans="1:30" s="1" customForma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row>
    <row r="334" spans="1:30" s="1" customForma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row>
    <row r="335" spans="1:30" s="1" customForma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row>
    <row r="336" spans="1:30" s="1" customForma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row>
    <row r="337" spans="1:30" s="1" customForma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row>
    <row r="338" spans="1:30" s="1" customForma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row>
    <row r="339" spans="1:30" s="1" customForma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row>
    <row r="340" spans="1:30" s="1" customForma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row>
    <row r="341" spans="1:30" s="1" customForma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row>
    <row r="342" spans="1:30" s="1" customForma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row>
    <row r="343" spans="1:30" s="1" customForma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row>
    <row r="344" spans="1:30" s="1" customForma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row>
    <row r="345" spans="1:30" s="1" customForma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row>
    <row r="346" spans="1:30" s="1" customForma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row>
    <row r="347" spans="1:30" s="1" customForma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row>
    <row r="348" spans="1:30" s="1" customForma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row>
    <row r="349" spans="1:30" s="1" customForma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row>
    <row r="350" spans="1:30" s="1" customForma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row>
    <row r="351" spans="1:30" s="1" customForma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row>
    <row r="352" spans="1:30" s="1" customForma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row>
    <row r="353" spans="1:30" s="1" customForma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row>
    <row r="354" spans="1:30" s="1" customForma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row>
    <row r="355" spans="1:30" s="1" customForma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row>
    <row r="356" spans="1:30" s="1" customForma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row>
    <row r="357" spans="1:30" s="1" customForma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row>
    <row r="358" spans="1:30" s="1" customForma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row>
    <row r="359" spans="1:30" s="1" customForma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row>
    <row r="360" spans="1:30" s="1" customForma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row>
    <row r="361" spans="1:30" s="1" customForma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row>
    <row r="362" spans="1:30" s="1" customForma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row>
    <row r="363" spans="1:30" s="1" customForma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row>
    <row r="364" spans="1:30" s="1" customForma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row>
    <row r="365" spans="1:30" s="1" customForma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row>
    <row r="366" spans="1:30" s="1" customForma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row>
    <row r="367" spans="1:30" s="1" customForma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row>
    <row r="368" spans="1:30" s="1" customForma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row>
    <row r="369" spans="1:30" s="1" customForma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row>
    <row r="370" spans="1:30" s="1" customForma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row>
    <row r="371" spans="1:30" s="1" customForma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row>
    <row r="372" spans="1:30" s="1" customForma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row>
    <row r="373" spans="1:30" s="1" customForma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row>
    <row r="374" spans="1:30" s="1" customForma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row>
    <row r="375" spans="1:30" s="1" customForma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row>
    <row r="376" spans="1:30" s="1" customForma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row>
    <row r="377" spans="1:30" s="1" customForma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row>
    <row r="378" spans="1:30" s="1" customForma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row>
    <row r="379" spans="1:30" s="1" customForma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row>
    <row r="380" spans="1:30" s="1" customForma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row>
    <row r="381" spans="1:30" s="1" customForma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row>
    <row r="382" spans="1:30" s="1" customForma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row>
    <row r="383" spans="1:30" s="1" customForma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row>
    <row r="384" spans="1:30" s="1" customForma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row>
    <row r="385" spans="1:30" s="1" customForma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row>
    <row r="386" spans="1:30" s="1" customForma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row>
    <row r="387" spans="1:30" s="1" customForma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row>
    <row r="388" spans="1:30" s="1" customForma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row>
    <row r="389" spans="1:30" s="1" customForma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row>
    <row r="390" spans="1:30" s="1" customForma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row>
    <row r="391" spans="1:30" s="1" customForma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row>
    <row r="392" spans="1:30" s="1" customForma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row>
    <row r="393" spans="1:30" s="1" customForma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row>
    <row r="394" spans="1:30" s="1" customForma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row>
    <row r="395" spans="1:30" s="1" customForma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row>
    <row r="396" spans="1:30" s="1" customForma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row>
    <row r="397" spans="1:30" s="1" customForma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row>
    <row r="398" spans="1:30" s="1" customForma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row>
    <row r="399" spans="1:30" s="1" customForma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row>
    <row r="400" spans="1:30" s="1" customForma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row>
    <row r="401" spans="1:30" s="1" customForma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row>
    <row r="402" spans="1:30" s="1" customForma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row>
    <row r="403" spans="1:30" s="1" customForma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row>
    <row r="404" spans="1:30" s="1" customForma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row>
    <row r="405" spans="1:30" s="1" customForma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row>
    <row r="406" spans="1:30" s="1" customForma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row>
    <row r="407" spans="1:30" s="1" customForma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row>
    <row r="408" spans="1:30" s="1" customForma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row>
    <row r="409" spans="1:30" s="1" customForma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row>
    <row r="410" spans="1:30" s="1" customForma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row>
    <row r="411" spans="1:30" s="1" customForma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row>
    <row r="412" spans="1:30" s="1" customForma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row>
    <row r="413" spans="1:30" s="1" customForma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row>
    <row r="414" spans="1:30" s="1" customForma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row>
    <row r="415" spans="1:30" s="1" customForma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row>
    <row r="416" spans="1:30" s="1" customForma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row>
    <row r="417" spans="1:30" s="1" customForma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row>
    <row r="418" spans="1:30" s="1" customForma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row>
    <row r="419" spans="1:30" s="1" customForma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row>
    <row r="420" spans="1:30" s="1" customForma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row>
    <row r="421" spans="1:30" s="1" customForma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row>
    <row r="422" spans="1:30" s="1" customForma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row>
    <row r="423" spans="1:30" s="1" customForma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row>
    <row r="424" spans="1:30" s="1" customForma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row>
    <row r="425" spans="1:30" s="1" customForma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row>
    <row r="426" spans="1:30" s="1" customForma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row>
    <row r="427" spans="1:30" s="1" customForma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row>
    <row r="428" spans="1:30" s="1" customForma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row>
    <row r="429" spans="1:30" s="1" customForma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row>
    <row r="430" spans="1:30" s="1" customForma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row>
    <row r="431" spans="1:30" s="1" customForma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row>
    <row r="432" spans="1:30" s="1" customForma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row>
    <row r="433" spans="1:30" s="1" customForma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row>
    <row r="434" spans="1:30" s="1" customForma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row>
    <row r="435" spans="1:30" s="1" customForma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row>
    <row r="436" spans="1:30" s="1" customForma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row>
    <row r="437" spans="1:30" s="1" customForma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row>
    <row r="438" spans="1:30" s="1" customForma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row>
    <row r="439" spans="1:30" s="1" customForma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row>
    <row r="440" spans="1:30" s="1" customForma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row>
    <row r="441" spans="1:30" s="1" customForma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row>
    <row r="442" spans="1:30" s="1" customForma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row>
    <row r="443" spans="1:30" s="1" customForma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row>
    <row r="444" spans="1:30" s="1" customForma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row>
    <row r="445" spans="1:30" s="1" customForma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row>
    <row r="446" spans="1:30" s="1" customForma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row>
    <row r="447" spans="1:30" s="1" customForma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row>
    <row r="448" spans="1:30" s="1" customForma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row>
    <row r="449" spans="1:30" s="1" customForma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row>
    <row r="450" spans="1:30" s="1" customForma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row>
    <row r="451" spans="1:30" s="1" customForma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row>
    <row r="452" spans="1:30" s="1" customForma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row>
    <row r="453" spans="1:30" s="1" customForma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row>
    <row r="454" spans="1:30" s="1" customForma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row>
    <row r="455" spans="1:30" s="1" customForma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row>
    <row r="456" spans="1:30" s="1" customForma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row>
    <row r="457" spans="1:30" s="1" customForma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row>
    <row r="458" spans="1:30" s="1" customForma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row>
    <row r="459" spans="1:30" s="1" customForma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row>
    <row r="460" spans="1:30" s="1" customForma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row>
    <row r="461" spans="1:30" s="1" customForma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row>
    <row r="462" spans="1:30" s="1" customForma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row>
    <row r="463" spans="1:30" s="1" customForma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row>
    <row r="464" spans="1:30" s="1" customForma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row>
    <row r="465" spans="1:30" s="1" customForma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row>
    <row r="466" spans="1:30" s="1" customForma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row>
    <row r="467" spans="1:30" s="1" customForma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row>
    <row r="468" spans="1:30" s="1" customForma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row>
    <row r="469" spans="1:30" s="1" customForma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row>
    <row r="470" spans="1:30" s="1" customForma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row>
    <row r="471" spans="1:30" s="1" customForma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row>
    <row r="472" spans="1:30" s="1" customForma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row>
    <row r="473" spans="1:30" s="1" customForma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row>
    <row r="474" spans="1:30" s="1" customForma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row>
    <row r="475" spans="1:30" s="1" customForma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row>
    <row r="476" spans="1:30" s="1" customForma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row>
    <row r="477" spans="1:30" s="1" customForma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row>
    <row r="478" spans="1:30" s="1" customForma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row>
    <row r="479" spans="1:30" s="1" customForma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row>
    <row r="480" spans="1:30" s="1" customForma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row>
    <row r="481" spans="1:30" s="1" customForma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row>
    <row r="482" spans="1:30" s="1" customForma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row>
    <row r="483" spans="1:30" s="1" customForma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row>
    <row r="484" spans="1:30" s="1" customForma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row>
    <row r="485" spans="1:30" s="1" customForma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row>
    <row r="486" spans="1:30" s="1" customForma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row>
    <row r="487" spans="1:30" s="1" customForma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row>
    <row r="488" spans="1:30" s="1" customForma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row>
    <row r="489" spans="1:30" s="1" customForma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row>
    <row r="490" spans="1:30" s="1" customForma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row>
    <row r="491" spans="1:30" s="1" customForma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row>
    <row r="492" spans="1:30" s="1" customForma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row>
    <row r="493" spans="1:30" s="1" customForma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row>
    <row r="494" spans="1:30" s="1" customForma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row>
    <row r="495" spans="1:30" s="1" customForma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row>
    <row r="496" spans="1:30" s="1" customForma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row>
    <row r="497" spans="1:30" s="1" customForma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row>
    <row r="498" spans="1:30" s="1" customForma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row>
    <row r="499" spans="1:30" s="1" customForma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row>
    <row r="500" spans="1:30" s="1" customForma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row>
    <row r="501" spans="1:30" s="1" customForma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row>
    <row r="502" spans="1:30" s="1" customForma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row>
    <row r="503" spans="1:30" s="1" customForma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row>
    <row r="504" spans="1:30" s="1" customForma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row>
    <row r="505" spans="1:30" s="1" customForma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row>
    <row r="506" spans="1:30" s="1" customForma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row>
    <row r="507" spans="1:30" s="1" customForma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row>
    <row r="508" spans="1:30" s="1" customForma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row>
    <row r="509" spans="1:30" s="1" customForma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row>
    <row r="510" spans="1:30" s="1" customForma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row>
    <row r="511" spans="1:30" s="1" customForma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row>
    <row r="512" spans="1:30" s="1" customForma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row>
    <row r="513" spans="1:30" s="1" customForma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row>
    <row r="514" spans="1:30" s="1" customForma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row>
    <row r="515" spans="1:30" s="1" customForma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row>
    <row r="516" spans="1:30" s="1" customForma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row>
    <row r="517" spans="1:30" s="1" customForma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row>
    <row r="518" spans="1:30" s="1" customForma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row>
    <row r="519" spans="1:30" s="1" customForma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row>
    <row r="520" spans="1:30" s="1" customForma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row>
    <row r="521" spans="1:30" s="1" customForma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row>
    <row r="522" spans="1:30" s="1" customForma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row>
    <row r="523" spans="1:30" s="1" customForma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row>
    <row r="524" spans="1:30" s="1" customForma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row>
    <row r="525" spans="1:30" s="1" customForma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row>
    <row r="526" spans="1:30" s="1" customForma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row>
    <row r="527" spans="1:30" s="1" customForma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row>
    <row r="528" spans="1:30" s="1" customForma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row>
    <row r="529" spans="1:30" s="1" customForma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row>
    <row r="530" spans="1:30" s="1" customForma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row>
    <row r="531" spans="1:30" s="1" customForma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row>
    <row r="532" spans="1:30" s="1" customForma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row>
    <row r="533" spans="1:30" s="1" customForma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row>
    <row r="534" spans="1:30" s="1" customForma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row>
    <row r="535" spans="1:30" s="1" customForma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row>
    <row r="536" spans="1:30" s="1" customForma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row>
    <row r="537" spans="1:30" s="1" customForma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row>
    <row r="538" spans="1:30" s="1" customForma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row>
    <row r="539" spans="1:30" s="1" customForma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row>
    <row r="540" spans="1:30" s="1" customForma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row>
    <row r="541" spans="1:30" s="1" customForma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row>
    <row r="542" spans="1:30" s="1" customForma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row>
    <row r="543" spans="1:30" s="1" customForma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row>
    <row r="544" spans="1:30" s="1" customForma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row>
    <row r="545" spans="1:30" s="1" customForma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row>
    <row r="546" spans="1:30" s="1" customForma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row>
    <row r="547" spans="1:30" s="1" customForma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row>
    <row r="548" spans="1:30" s="1" customForma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row>
    <row r="549" spans="1:30" s="1" customForma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row>
    <row r="550" spans="1:30" s="1" customForma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row>
    <row r="551" spans="1:30" s="1" customForma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row>
    <row r="552" spans="1:30" s="1" customForma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row>
    <row r="553" spans="1:30" s="1" customForma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row>
    <row r="554" spans="1:30" s="1" customForma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row>
    <row r="555" spans="1:30" s="1" customForma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row>
    <row r="556" spans="1:30" s="1" customForma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row>
    <row r="557" spans="1:30" s="1" customForma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row>
    <row r="558" spans="1:30" s="1" customForma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row>
    <row r="559" spans="1:30" s="1" customForma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row>
    <row r="560" spans="1:30" s="1" customForma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row>
    <row r="561" spans="1:30" s="1" customForma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row>
    <row r="562" spans="1:30" s="1" customForma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row>
    <row r="563" spans="1:30" s="1" customForma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row>
    <row r="564" spans="1:30" s="1" customForma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row>
    <row r="565" spans="1:30" s="1" customForma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row>
    <row r="566" spans="1:30" s="1" customForma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row>
    <row r="567" spans="1:30" s="1" customForma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row>
    <row r="568" spans="1:30" s="1" customForma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row>
    <row r="569" spans="1:30" s="1" customForma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row>
    <row r="570" spans="1:30" s="1" customForma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row>
    <row r="571" spans="1:30" s="1" customForma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row>
    <row r="572" spans="1:30" s="1" customForma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row>
    <row r="573" spans="1:30" s="1" customForma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row>
    <row r="574" spans="1:30" s="1" customForma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row>
    <row r="575" spans="1:30" s="1" customForma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row>
    <row r="576" spans="1:30" s="1" customForma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row>
    <row r="577" spans="1:30" s="1" customForma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row>
    <row r="578" spans="1:30" s="1" customForma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row>
    <row r="579" spans="1:30" s="1" customForma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row>
    <row r="580" spans="1:30" s="1" customForma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row>
    <row r="581" spans="1:30" s="1" customForma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row>
    <row r="582" spans="1:30" s="1" customForma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row>
    <row r="583" spans="1:30" s="1" customForma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row>
    <row r="584" spans="1:30" s="1" customForma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row>
    <row r="585" spans="1:30" s="1" customForma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row>
    <row r="586" spans="1:30" s="1" customForma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row>
    <row r="587" spans="1:30" s="1" customForma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row>
    <row r="588" spans="1:30" s="1" customForma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row>
    <row r="589" spans="1:30" s="1" customForma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row>
    <row r="590" spans="1:30" s="1" customForma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row>
    <row r="591" spans="1:30" s="1" customForma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row>
    <row r="592" spans="1:30" s="1" customForma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row>
    <row r="593" spans="1:30" s="1" customForma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row>
    <row r="594" spans="1:30" s="1" customForma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row>
    <row r="595" spans="1:30" s="1" customForma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row>
    <row r="596" spans="1:30" s="1" customForma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row>
    <row r="597" spans="1:30" s="1" customForma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row>
    <row r="598" spans="1:30" s="1" customForma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row>
    <row r="599" spans="1:30" s="1" customForma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row>
    <row r="600" spans="1:30" s="1" customForma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row>
    <row r="601" spans="1:30" s="1" customForma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row>
    <row r="602" spans="1:30" s="1" customForma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row>
    <row r="603" spans="1:30" s="1" customForma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row>
    <row r="604" spans="1:30" s="1" customForma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row>
    <row r="605" spans="1:30" s="1" customForma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row>
    <row r="606" spans="1:30" s="1" customForma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row>
    <row r="607" spans="1:30" s="1" customForma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row>
    <row r="608" spans="1:30" s="1" customForma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row>
    <row r="609" spans="1:30" s="1" customForma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row>
    <row r="610" spans="1:30" s="1" customForma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row>
    <row r="611" spans="1:30" s="1" customForma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row>
    <row r="612" spans="1:30" s="1" customForma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row>
    <row r="613" spans="1:30" s="1" customForma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row>
    <row r="614" spans="1:30" s="1" customForma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row>
    <row r="615" spans="1:30" s="1" customForma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row>
    <row r="616" spans="1:30" s="1" customForma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row>
    <row r="617" spans="1:30" s="1" customForma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row>
    <row r="618" spans="1:30" s="1" customForma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row>
    <row r="619" spans="1:30" s="1" customForma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row>
    <row r="620" spans="1:30" s="1" customForma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row>
    <row r="621" spans="1:30" s="1" customForma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row>
    <row r="622" spans="1:30" s="1" customForma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row>
    <row r="623" spans="1:30" s="1" customForma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row>
    <row r="624" spans="1:30" s="1" customForma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row>
    <row r="625" spans="1:30" s="1" customForma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row>
    <row r="626" spans="1:30" s="1" customForma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row>
    <row r="627" spans="1:30" s="1" customForma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row>
    <row r="628" spans="1:30" s="1" customForma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row>
    <row r="629" spans="1:30" s="1" customForma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row>
    <row r="630" spans="1:30" s="1" customForma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row>
    <row r="631" spans="1:30" s="1" customForma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row>
    <row r="632" spans="1:30" s="1" customForma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row>
    <row r="633" spans="1:30" s="1" customForma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row>
    <row r="634" spans="1:30" s="1" customForma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row>
    <row r="635" spans="1:30" s="1" customForma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row>
    <row r="636" spans="1:30" s="1" customForma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row>
    <row r="637" spans="1:30" s="1" customForma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row>
    <row r="638" spans="1:30" s="1" customForma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row>
    <row r="639" spans="1:30" s="1" customForma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row>
    <row r="640" spans="1:30" s="1" customForma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row>
    <row r="641" spans="1:30" s="1" customForma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row>
    <row r="642" spans="1:30" s="1" customForma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row>
    <row r="643" spans="1:30" s="1" customForma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row>
    <row r="644" spans="1:30" s="1" customForma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row>
    <row r="645" spans="1:30" s="1" customForma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row>
    <row r="646" spans="1:30" s="1" customForma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row>
    <row r="647" spans="1:30" s="1" customForma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row>
    <row r="648" spans="1:30" s="1" customForma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row>
    <row r="649" spans="1:30" s="1" customForma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row>
    <row r="650" spans="1:30" s="1" customForma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row>
    <row r="651" spans="1:30" s="1" customForma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row>
    <row r="652" spans="1:30" s="1" customForma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row>
    <row r="653" spans="1:30" s="1" customForma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row>
    <row r="654" spans="1:30" s="1" customForma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row>
    <row r="655" spans="1:30" s="1" customForma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row>
    <row r="656" spans="1:30" s="1" customForma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row>
    <row r="657" spans="1:30" s="1" customForma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row>
    <row r="658" spans="1:30" s="1" customForma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row>
    <row r="659" spans="1:30" s="1" customForma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row>
    <row r="660" spans="1:30" s="1" customForma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row>
    <row r="661" spans="1:30" s="1" customForma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row>
    <row r="662" spans="1:30" s="1" customForma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row>
    <row r="663" spans="1:30" s="1" customForma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row>
    <row r="664" spans="1:30" s="1" customForma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row>
    <row r="665" spans="1:30" s="1" customForma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row>
    <row r="666" spans="1:30" s="1" customForma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row>
    <row r="667" spans="1:30" s="1" customForma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row>
    <row r="668" spans="1:30" s="1" customForma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row>
    <row r="669" spans="1:30" s="1" customForma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row>
    <row r="670" spans="1:30" s="1" customForma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row>
    <row r="671" spans="1:30" s="1" customForma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row>
    <row r="672" spans="1:30" s="1" customForma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row>
    <row r="673" spans="1:30" s="1" customForma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row>
    <row r="674" spans="1:30" s="1" customForma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row>
    <row r="675" spans="1:30" s="1" customForma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row>
    <row r="676" spans="1:30" s="1" customForma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row>
    <row r="677" spans="1:30" s="1" customForma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row>
    <row r="678" spans="1:30" s="1" customForma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row>
    <row r="679" spans="1:30" s="1" customForma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row>
    <row r="680" spans="1:30" s="1" customForma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row>
    <row r="681" spans="1:30" s="1" customForma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row>
    <row r="682" spans="1:30" s="1" customForma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row>
    <row r="683" spans="1:30" s="1" customForma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row>
    <row r="684" spans="1:30" s="1" customForma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row>
    <row r="685" spans="1:30" s="1" customForma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row>
    <row r="686" spans="1:30" s="1" customForma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row>
    <row r="687" spans="1:30" s="1" customForma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row>
    <row r="688" spans="1:30" s="1" customForma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row>
    <row r="689" spans="1:30" s="1" customForma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row>
    <row r="690" spans="1:30" s="1" customForma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row>
    <row r="691" spans="1:30" s="1" customForma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row>
    <row r="692" spans="1:30" s="1" customForma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row>
    <row r="693" spans="1:30" s="1" customForma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row>
    <row r="694" spans="1:30" s="1" customForma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row>
    <row r="695" spans="1:30" s="1" customForma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row>
    <row r="696" spans="1:30" s="1" customForma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row>
    <row r="697" spans="1:30" s="1" customForma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row>
    <row r="698" spans="1:30" s="1" customForma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row>
    <row r="699" spans="1:30" s="1" customForma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row>
    <row r="700" spans="1:30" s="1" customForma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row>
    <row r="701" spans="1:30" s="1" customForma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row>
    <row r="702" spans="1:30" s="1" customForma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row>
    <row r="703" spans="1:30" s="1" customForma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row>
    <row r="704" spans="1:30" s="1" customForma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row>
    <row r="705" spans="1:30" s="1" customForma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row>
    <row r="706" spans="1:30" s="1" customForma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row>
    <row r="707" spans="1:30" s="1" customForma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row>
    <row r="708" spans="1:30" s="1" customForma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row>
    <row r="709" spans="1:30" s="1" customForma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row>
    <row r="710" spans="1:30" s="1" customForma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row>
    <row r="711" spans="1:30" s="1" customForma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row>
    <row r="712" spans="1:30" s="1" customForma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row>
    <row r="713" spans="1:30" s="1" customForma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row>
    <row r="714" spans="1:30" s="1" customForma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row>
    <row r="715" spans="1:30" s="1" customForma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row>
    <row r="716" spans="1:30" s="1" customForma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row>
    <row r="717" spans="1:30" s="1" customForma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row>
    <row r="718" spans="1:30" s="1" customForma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row>
    <row r="719" spans="1:30" s="1" customForma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row>
    <row r="720" spans="1:30" s="1" customForma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row>
    <row r="721" spans="1:30" s="1" customForma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row>
    <row r="722" spans="1:30" s="1" customForma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row>
    <row r="723" spans="1:30" s="1" customForma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row>
    <row r="724" spans="1:30" s="1" customForma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row>
    <row r="725" spans="1:30" s="1" customForma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row>
    <row r="726" spans="1:30" s="1" customForma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row>
    <row r="727" spans="1:30" s="1" customForma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row>
    <row r="728" spans="1:30" s="1" customForma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row>
    <row r="729" spans="1:30" s="1" customForma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row>
    <row r="730" spans="1:30" s="1" customForma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row>
    <row r="731" spans="1:30" s="1" customForma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row>
    <row r="732" spans="1:30" s="1" customForma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row>
    <row r="733" spans="1:30" s="1" customForma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row>
    <row r="734" spans="1:30" s="1" customForma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row>
    <row r="735" spans="1:30" s="1" customForma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row>
    <row r="736" spans="1:30" s="1" customForma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row>
    <row r="737" spans="1:30" s="1" customForma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row>
    <row r="738" spans="1:30" s="1" customForma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row>
    <row r="739" spans="1:30" s="1" customForma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row>
    <row r="740" spans="1:30" s="1" customForma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row>
    <row r="741" spans="1:30" s="1" customForma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row>
    <row r="742" spans="1:30" s="1" customForma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row>
    <row r="743" spans="1:30" s="1" customForma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row>
    <row r="744" spans="1:30" s="1" customForma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row>
    <row r="745" spans="1:30" s="1" customForma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row>
    <row r="746" spans="1:30" s="1" customForma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row>
    <row r="747" spans="1:30" s="1" customForma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row>
    <row r="748" spans="1:30" s="1" customForma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row>
    <row r="749" spans="1:30" s="1" customForma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row>
    <row r="750" spans="1:30" s="1" customForma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row>
    <row r="751" spans="1:30" s="1" customForma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row>
    <row r="752" spans="1:30" s="1" customForma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row>
    <row r="753" spans="1:30" s="1" customForma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row>
    <row r="754" spans="1:30" s="1" customForma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row>
    <row r="755" spans="1:30" s="1" customForma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row>
    <row r="756" spans="1:30" s="1" customForma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row>
    <row r="757" spans="1:30" s="1" customForma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row>
    <row r="758" spans="1:30" s="1" customForma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row>
    <row r="759" spans="1:30" s="1" customForma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row>
    <row r="760" spans="1:30" s="1" customForma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row>
    <row r="761" spans="1:30" s="1" customForma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row>
    <row r="762" spans="1:30" s="1" customForma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row>
    <row r="763" spans="1:30" s="1" customForma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row>
    <row r="764" spans="1:30" s="1" customForma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row>
    <row r="765" spans="1:30" s="1" customForma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row>
    <row r="766" spans="1:30" s="1" customForma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row>
    <row r="767" spans="1:30" s="1" customForma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row>
    <row r="768" spans="1:30" s="1" customForma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row>
    <row r="769" spans="1:30" s="1" customForma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row>
    <row r="770" spans="1:30" s="1" customForma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row>
    <row r="771" spans="1:30" s="1" customForma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row>
    <row r="772" spans="1:30" s="1" customForma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row>
    <row r="773" spans="1:30" s="1" customForma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row>
    <row r="774" spans="1:30" s="1" customForma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row>
    <row r="775" spans="1:30" s="1" customForma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row>
    <row r="776" spans="1:30" s="1" customForma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row>
    <row r="777" spans="1:30" s="1" customForma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row>
    <row r="778" spans="1:30" s="1" customForma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row>
    <row r="779" spans="1:30" s="1" customForma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row>
    <row r="780" spans="1:30" s="1" customForma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row>
    <row r="781" spans="1:30" s="1" customForma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row>
    <row r="782" spans="1:30" s="1" customForma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row>
    <row r="783" spans="1:30" s="1" customForma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row>
    <row r="784" spans="1:30" s="1" customForma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row>
    <row r="785" spans="1:30" s="1" customForma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row>
    <row r="786" spans="1:30" s="1" customForma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row>
    <row r="787" spans="1:30" s="1" customForma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row>
    <row r="788" spans="1:30" s="1" customForma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row>
    <row r="789" spans="1:30" s="1" customForma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row>
    <row r="790" spans="1:30" s="1" customForma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row>
    <row r="791" spans="1:30" s="1" customForma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row>
    <row r="792" spans="1:30" s="1" customForma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row>
    <row r="793" spans="1:30" s="1" customForma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row>
    <row r="794" spans="1:30" s="1" customForma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row>
    <row r="795" spans="1:30" s="1" customForma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row>
    <row r="796" spans="1:30" s="1" customForma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row>
    <row r="797" spans="1:30" s="1" customForma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row>
    <row r="798" spans="1:30" s="1" customForma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row>
    <row r="799" spans="1:30" s="1" customForma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row>
    <row r="800" spans="1:30" s="1" customForma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row>
    <row r="801" spans="1:30" s="1" customForma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row>
    <row r="802" spans="1:30" s="1" customForma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row>
    <row r="803" spans="1:30" s="1" customForma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row>
    <row r="804" spans="1:30" s="1" customForma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row>
    <row r="805" spans="1:30" s="1" customForma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row>
    <row r="806" spans="1:30" s="1" customForma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row>
    <row r="807" spans="1:30" s="1" customForma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row>
    <row r="808" spans="1:30" s="1" customForma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row>
    <row r="809" spans="1:30" s="1" customForma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row>
    <row r="810" spans="1:30" s="1" customForma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row>
    <row r="811" spans="1:30" s="1" customForma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row>
    <row r="812" spans="1:30" s="1" customForma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row>
    <row r="813" spans="1:30" s="1" customForma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row>
    <row r="814" spans="1:30" s="1" customForma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row>
    <row r="815" spans="1:30" s="1" customForma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row>
    <row r="816" spans="1:30" s="1" customForma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row>
    <row r="817" spans="1:30" s="1" customForma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row>
    <row r="818" spans="1:30" s="1" customForma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row>
    <row r="819" spans="1:30" s="1" customForma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row>
    <row r="820" spans="1:30" s="1" customForma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row>
    <row r="821" spans="1:30" s="1" customForma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row>
    <row r="822" spans="1:30" s="1" customForma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row>
    <row r="823" spans="1:30" s="1" customForma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row>
    <row r="824" spans="1:30" s="1" customForma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row>
    <row r="825" spans="1:30" s="1" customForma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row>
    <row r="826" spans="1:30" s="1" customForma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row>
    <row r="827" spans="1:30" s="1" customForma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row>
    <row r="828" spans="1:30" s="1" customForma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row>
    <row r="829" spans="1:30" s="1" customForma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row>
    <row r="830" spans="1:30" s="1" customForma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row>
    <row r="831" spans="1:30" s="1" customForma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row>
    <row r="832" spans="1:30" s="1" customForma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row>
    <row r="833" spans="1:30" s="1" customForma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row>
    <row r="834" spans="1:30" s="1" customForma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row>
    <row r="835" spans="1:30" s="1" customForma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row>
    <row r="836" spans="1:30" s="1" customForma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row>
    <row r="837" spans="1:30" s="1" customForma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row>
    <row r="838" spans="1:30" s="1" customForma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row>
    <row r="839" spans="1:30" s="1" customForma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row>
    <row r="840" spans="1:30" s="1" customForma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row>
    <row r="841" spans="1:30" s="1" customForma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row>
    <row r="842" spans="1:30" s="1" customForma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row>
    <row r="843" spans="1:30" s="1" customForma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row>
    <row r="844" spans="1:30" s="1" customForma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row>
    <row r="845" spans="1:30" s="1" customForma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row>
    <row r="846" spans="1:30" s="1" customForma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row>
    <row r="847" spans="1:30" s="1" customForma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row>
    <row r="848" spans="1:30" s="1" customForma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row>
    <row r="849" spans="1:30" s="1" customForma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row>
    <row r="850" spans="1:30" s="1" customForma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row>
    <row r="851" spans="1:30" s="1" customForma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row>
    <row r="852" spans="1:30" s="1" customForma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row>
    <row r="853" spans="1:30" s="1" customForma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row>
    <row r="854" spans="1:30" s="1" customForma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row>
    <row r="855" spans="1:30" s="1" customForma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row>
    <row r="856" spans="1:30" s="1" customForma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row>
    <row r="857" spans="1:30" s="1" customForma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row>
    <row r="858" spans="1:30" s="1" customForma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row>
    <row r="859" spans="1:30" s="1" customForma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row>
    <row r="860" spans="1:30" s="1" customForma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row>
    <row r="861" spans="1:30" s="1" customForma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row>
    <row r="862" spans="1:30" s="1" customForma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row>
    <row r="863" spans="1:30" s="1" customForma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row>
    <row r="864" spans="1:30" s="1" customForma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row>
    <row r="865" spans="1:56" s="1" customForma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row>
    <row r="866" spans="1:56" s="1" customForma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row>
    <row r="867" spans="1:56" s="1" customForma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row>
    <row r="868" spans="1:56" s="1" customForma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row>
    <row r="869" spans="1:56" s="1" customForma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row>
    <row r="870" spans="1:56">
      <c r="AI870" s="1"/>
      <c r="AJ870" s="1"/>
      <c r="AK870" s="1"/>
      <c r="AL870" s="1"/>
      <c r="AM870" s="1"/>
      <c r="AN870" s="1"/>
      <c r="AO870" s="1"/>
      <c r="AP870" s="1"/>
      <c r="AQ870" s="1"/>
      <c r="AR870" s="1"/>
      <c r="AS870" s="1"/>
      <c r="AT870" s="1"/>
      <c r="AU870" s="1"/>
      <c r="AV870" s="1"/>
      <c r="AW870" s="1"/>
      <c r="AX870" s="1"/>
      <c r="AY870" s="1"/>
      <c r="AZ870" s="1"/>
      <c r="BA870" s="1"/>
      <c r="BB870" s="1"/>
      <c r="BC870" s="1"/>
      <c r="BD870" s="1"/>
    </row>
    <row r="871" spans="1:56">
      <c r="AI871" s="1"/>
      <c r="AJ871" s="1"/>
      <c r="AK871" s="1"/>
      <c r="AL871" s="1"/>
      <c r="AM871" s="1"/>
      <c r="AN871" s="1"/>
      <c r="AO871" s="1"/>
      <c r="AP871" s="1"/>
      <c r="AQ871" s="1"/>
      <c r="AR871" s="1"/>
      <c r="AS871" s="1"/>
      <c r="AT871" s="1"/>
      <c r="AU871" s="1"/>
      <c r="AV871" s="1"/>
      <c r="AW871" s="1"/>
      <c r="AX871" s="1"/>
      <c r="AY871" s="1"/>
      <c r="AZ871" s="1"/>
      <c r="BA871" s="1"/>
      <c r="BB871" s="1"/>
      <c r="BC871" s="1"/>
      <c r="BD871" s="1"/>
    </row>
    <row r="872" spans="1:56">
      <c r="AI872" s="1"/>
      <c r="AJ872" s="1"/>
      <c r="AK872" s="1"/>
      <c r="AL872" s="1"/>
      <c r="AM872" s="1"/>
      <c r="AN872" s="1"/>
      <c r="AO872" s="1"/>
      <c r="AP872" s="1"/>
      <c r="AQ872" s="1"/>
      <c r="AR872" s="1"/>
      <c r="AS872" s="1"/>
      <c r="AT872" s="1"/>
      <c r="AU872" s="1"/>
      <c r="AV872" s="1"/>
      <c r="AW872" s="1"/>
      <c r="AX872" s="1"/>
      <c r="AY872" s="1"/>
      <c r="AZ872" s="1"/>
      <c r="BA872" s="1"/>
      <c r="BB872" s="1"/>
      <c r="BC872" s="1"/>
      <c r="BD872" s="1"/>
    </row>
    <row r="873" spans="1:56">
      <c r="AI873" s="1"/>
      <c r="AJ873" s="1"/>
      <c r="AK873" s="1"/>
      <c r="AL873" s="1"/>
      <c r="AM873" s="1"/>
      <c r="AN873" s="1"/>
      <c r="AO873" s="1"/>
      <c r="AP873" s="1"/>
      <c r="AQ873" s="1"/>
      <c r="AR873" s="1"/>
      <c r="AS873" s="1"/>
      <c r="AT873" s="1"/>
      <c r="AU873" s="1"/>
      <c r="AV873" s="1"/>
      <c r="AW873" s="1"/>
      <c r="AX873" s="1"/>
      <c r="AY873" s="1"/>
      <c r="AZ873" s="1"/>
      <c r="BA873" s="1"/>
      <c r="BB873" s="1"/>
      <c r="BC873" s="1"/>
      <c r="BD873" s="1"/>
    </row>
    <row r="874" spans="1:56">
      <c r="AI874" s="1"/>
      <c r="AJ874" s="1"/>
      <c r="AK874" s="1"/>
      <c r="AL874" s="1"/>
      <c r="AM874" s="1"/>
      <c r="AN874" s="1"/>
      <c r="AO874" s="1"/>
      <c r="AP874" s="1"/>
      <c r="AQ874" s="1"/>
      <c r="AR874" s="1"/>
      <c r="AS874" s="1"/>
      <c r="AT874" s="1"/>
      <c r="AU874" s="1"/>
      <c r="AV874" s="1"/>
      <c r="AW874" s="1"/>
      <c r="AX874" s="1"/>
      <c r="AY874" s="1"/>
      <c r="AZ874" s="1"/>
      <c r="BA874" s="1"/>
      <c r="BB874" s="1"/>
      <c r="BC874" s="1"/>
      <c r="BD874" s="1"/>
    </row>
    <row r="875" spans="1:56">
      <c r="AI875" s="1"/>
      <c r="AJ875" s="1"/>
      <c r="AK875" s="1"/>
      <c r="AL875" s="1"/>
      <c r="AM875" s="1"/>
      <c r="AN875" s="1"/>
      <c r="AO875" s="1"/>
      <c r="AP875" s="1"/>
      <c r="AQ875" s="1"/>
      <c r="AR875" s="1"/>
      <c r="AS875" s="1"/>
      <c r="AT875" s="1"/>
      <c r="AU875" s="1"/>
      <c r="AV875" s="1"/>
      <c r="AW875" s="1"/>
      <c r="AX875" s="1"/>
      <c r="AY875" s="1"/>
      <c r="AZ875" s="1"/>
      <c r="BA875" s="1"/>
      <c r="BB875" s="1"/>
      <c r="BC875" s="1"/>
      <c r="BD875" s="1"/>
    </row>
    <row r="876" spans="1:56">
      <c r="AI876" s="1"/>
      <c r="AJ876" s="1"/>
      <c r="AK876" s="1"/>
      <c r="AL876" s="1"/>
      <c r="AM876" s="1"/>
      <c r="AN876" s="1"/>
      <c r="AO876" s="1"/>
      <c r="AP876" s="1"/>
      <c r="AQ876" s="1"/>
      <c r="AR876" s="1"/>
      <c r="AS876" s="1"/>
      <c r="AT876" s="1"/>
      <c r="AU876" s="1"/>
      <c r="AV876" s="1"/>
      <c r="AW876" s="1"/>
      <c r="AX876" s="1"/>
      <c r="AY876" s="1"/>
      <c r="AZ876" s="1"/>
      <c r="BA876" s="1"/>
      <c r="BB876" s="1"/>
      <c r="BC876" s="1"/>
      <c r="BD876" s="1"/>
    </row>
    <row r="877" spans="1:56">
      <c r="AI877" s="1"/>
      <c r="AJ877" s="1"/>
      <c r="AK877" s="1"/>
      <c r="AL877" s="1"/>
      <c r="AM877" s="1"/>
      <c r="AN877" s="1"/>
      <c r="AO877" s="1"/>
      <c r="AP877" s="1"/>
      <c r="AQ877" s="1"/>
      <c r="AR877" s="1"/>
      <c r="AS877" s="1"/>
      <c r="AT877" s="1"/>
      <c r="AU877" s="1"/>
      <c r="AV877" s="1"/>
      <c r="AW877" s="1"/>
      <c r="AX877" s="1"/>
      <c r="AY877" s="1"/>
      <c r="AZ877" s="1"/>
      <c r="BA877" s="1"/>
      <c r="BB877" s="1"/>
      <c r="BC877" s="1"/>
      <c r="BD877" s="1"/>
    </row>
    <row r="878" spans="1:56">
      <c r="AI878" s="1"/>
      <c r="AJ878" s="1"/>
      <c r="AK878" s="1"/>
      <c r="AL878" s="1"/>
      <c r="AM878" s="1"/>
      <c r="AN878" s="1"/>
      <c r="AO878" s="1"/>
      <c r="AP878" s="1"/>
      <c r="AQ878" s="1"/>
      <c r="AR878" s="1"/>
      <c r="AS878" s="1"/>
      <c r="AT878" s="1"/>
      <c r="AU878" s="1"/>
      <c r="AV878" s="1"/>
      <c r="AW878" s="1"/>
      <c r="AX878" s="1"/>
      <c r="AY878" s="1"/>
      <c r="AZ878" s="1"/>
      <c r="BA878" s="1"/>
      <c r="BB878" s="1"/>
      <c r="BC878" s="1"/>
      <c r="BD878" s="1"/>
    </row>
    <row r="879" spans="1:56">
      <c r="AI879" s="1"/>
      <c r="AJ879" s="1"/>
      <c r="AK879" s="1"/>
      <c r="AL879" s="1"/>
      <c r="AM879" s="1"/>
      <c r="AN879" s="1"/>
      <c r="AO879" s="1"/>
      <c r="AP879" s="1"/>
      <c r="AQ879" s="1"/>
      <c r="AR879" s="1"/>
      <c r="AS879" s="1"/>
      <c r="AT879" s="1"/>
      <c r="AU879" s="1"/>
      <c r="AV879" s="1"/>
      <c r="AW879" s="1"/>
      <c r="AX879" s="1"/>
      <c r="AY879" s="1"/>
      <c r="AZ879" s="1"/>
      <c r="BA879" s="1"/>
      <c r="BB879" s="1"/>
      <c r="BC879" s="1"/>
      <c r="BD879" s="1"/>
    </row>
    <row r="880" spans="1:56">
      <c r="AI880" s="1"/>
      <c r="AJ880" s="1"/>
      <c r="AK880" s="1"/>
      <c r="AL880" s="1"/>
      <c r="AM880" s="1"/>
      <c r="AN880" s="1"/>
      <c r="AO880" s="1"/>
      <c r="AP880" s="1"/>
      <c r="AQ880" s="1"/>
      <c r="AR880" s="1"/>
      <c r="AS880" s="1"/>
      <c r="AT880" s="1"/>
      <c r="AU880" s="1"/>
      <c r="AV880" s="1"/>
      <c r="AW880" s="1"/>
      <c r="AX880" s="1"/>
      <c r="AY880" s="1"/>
      <c r="AZ880" s="1"/>
      <c r="BA880" s="1"/>
      <c r="BB880" s="1"/>
      <c r="BC880" s="1"/>
      <c r="BD880" s="1"/>
    </row>
    <row r="881" spans="35:56">
      <c r="AI881" s="1"/>
      <c r="AJ881" s="1"/>
      <c r="AK881" s="1"/>
      <c r="AL881" s="1"/>
      <c r="AM881" s="1"/>
      <c r="AN881" s="1"/>
      <c r="AO881" s="1"/>
      <c r="AP881" s="1"/>
      <c r="AQ881" s="1"/>
      <c r="AR881" s="1"/>
      <c r="AS881" s="1"/>
      <c r="AT881" s="1"/>
      <c r="AU881" s="1"/>
      <c r="AV881" s="1"/>
      <c r="AW881" s="1"/>
      <c r="AX881" s="1"/>
      <c r="AY881" s="1"/>
      <c r="AZ881" s="1"/>
      <c r="BA881" s="1"/>
      <c r="BB881" s="1"/>
      <c r="BC881" s="1"/>
      <c r="BD881" s="1"/>
    </row>
    <row r="882" spans="35:56">
      <c r="AI882" s="1"/>
      <c r="AJ882" s="1"/>
      <c r="AK882" s="1"/>
      <c r="AL882" s="1"/>
      <c r="AM882" s="1"/>
      <c r="AN882" s="1"/>
      <c r="AO882" s="1"/>
      <c r="AP882" s="1"/>
      <c r="AQ882" s="1"/>
      <c r="AR882" s="1"/>
      <c r="AS882" s="1"/>
      <c r="AT882" s="1"/>
      <c r="AU882" s="1"/>
      <c r="AV882" s="1"/>
      <c r="AW882" s="1"/>
      <c r="AX882" s="1"/>
      <c r="AY882" s="1"/>
      <c r="AZ882" s="1"/>
      <c r="BA882" s="1"/>
      <c r="BB882" s="1"/>
      <c r="BC882" s="1"/>
      <c r="BD882" s="1"/>
    </row>
    <row r="883" spans="35:56">
      <c r="AI883" s="1"/>
      <c r="AJ883" s="1"/>
      <c r="AK883" s="1"/>
      <c r="AL883" s="1"/>
      <c r="AM883" s="1"/>
      <c r="AN883" s="1"/>
      <c r="AO883" s="1"/>
      <c r="AP883" s="1"/>
      <c r="AQ883" s="1"/>
      <c r="AR883" s="1"/>
      <c r="AS883" s="1"/>
      <c r="AT883" s="1"/>
      <c r="AU883" s="1"/>
      <c r="AV883" s="1"/>
      <c r="AW883" s="1"/>
      <c r="AX883" s="1"/>
      <c r="AY883" s="1"/>
      <c r="AZ883" s="1"/>
      <c r="BA883" s="1"/>
      <c r="BB883" s="1"/>
      <c r="BC883" s="1"/>
      <c r="BD883" s="1"/>
    </row>
    <row r="884" spans="35:56">
      <c r="AI884" s="1"/>
      <c r="AJ884" s="1"/>
      <c r="AK884" s="1"/>
      <c r="AL884" s="1"/>
      <c r="AM884" s="1"/>
      <c r="AN884" s="1"/>
      <c r="AO884" s="1"/>
      <c r="AP884" s="1"/>
      <c r="AQ884" s="1"/>
      <c r="AR884" s="1"/>
      <c r="AS884" s="1"/>
      <c r="AT884" s="1"/>
      <c r="AU884" s="1"/>
      <c r="AV884" s="1"/>
      <c r="AW884" s="1"/>
      <c r="AX884" s="1"/>
      <c r="AY884" s="1"/>
      <c r="AZ884" s="1"/>
      <c r="BA884" s="1"/>
      <c r="BB884" s="1"/>
      <c r="BC884" s="1"/>
      <c r="BD884" s="1"/>
    </row>
    <row r="885" spans="35:56">
      <c r="AI885" s="1"/>
      <c r="AJ885" s="1"/>
      <c r="AK885" s="1"/>
      <c r="AL885" s="1"/>
      <c r="AM885" s="1"/>
      <c r="AN885" s="1"/>
      <c r="AO885" s="1"/>
      <c r="AP885" s="1"/>
      <c r="AQ885" s="1"/>
      <c r="AR885" s="1"/>
      <c r="AS885" s="1"/>
      <c r="AT885" s="1"/>
      <c r="AU885" s="1"/>
      <c r="AV885" s="1"/>
      <c r="AW885" s="1"/>
      <c r="AX885" s="1"/>
      <c r="AY885" s="1"/>
      <c r="AZ885" s="1"/>
      <c r="BA885" s="1"/>
      <c r="BB885" s="1"/>
      <c r="BC885" s="1"/>
      <c r="BD885" s="1"/>
    </row>
    <row r="886" spans="35:56">
      <c r="AI886" s="1"/>
      <c r="AJ886" s="1"/>
      <c r="AK886" s="1"/>
      <c r="AL886" s="1"/>
      <c r="AM886" s="1"/>
      <c r="AN886" s="1"/>
      <c r="AO886" s="1"/>
      <c r="AP886" s="1"/>
      <c r="AQ886" s="1"/>
      <c r="AR886" s="1"/>
      <c r="AS886" s="1"/>
      <c r="AT886" s="1"/>
      <c r="AU886" s="1"/>
      <c r="AV886" s="1"/>
      <c r="AW886" s="1"/>
      <c r="AX886" s="1"/>
      <c r="AY886" s="1"/>
      <c r="AZ886" s="1"/>
      <c r="BA886" s="1"/>
      <c r="BB886" s="1"/>
      <c r="BC886" s="1"/>
      <c r="BD886" s="1"/>
    </row>
    <row r="887" spans="35:56">
      <c r="AI887" s="1"/>
      <c r="AJ887" s="1"/>
      <c r="AK887" s="1"/>
      <c r="AL887" s="1"/>
      <c r="AM887" s="1"/>
      <c r="AN887" s="1"/>
      <c r="AO887" s="1"/>
      <c r="AP887" s="1"/>
      <c r="AQ887" s="1"/>
      <c r="AR887" s="1"/>
      <c r="AS887" s="1"/>
      <c r="AT887" s="1"/>
      <c r="AU887" s="1"/>
      <c r="AV887" s="1"/>
      <c r="AW887" s="1"/>
      <c r="AX887" s="1"/>
      <c r="AY887" s="1"/>
      <c r="AZ887" s="1"/>
      <c r="BA887" s="1"/>
      <c r="BB887" s="1"/>
      <c r="BC887" s="1"/>
      <c r="BD887" s="1"/>
    </row>
    <row r="888" spans="35:56">
      <c r="AI888" s="1"/>
      <c r="AJ888" s="1"/>
      <c r="AK888" s="1"/>
      <c r="AL888" s="1"/>
      <c r="AM888" s="1"/>
      <c r="AN888" s="1"/>
      <c r="AO888" s="1"/>
      <c r="AP888" s="1"/>
      <c r="AQ888" s="1"/>
      <c r="AR888" s="1"/>
      <c r="AS888" s="1"/>
      <c r="AT888" s="1"/>
      <c r="AU888" s="1"/>
      <c r="AV888" s="1"/>
      <c r="AW888" s="1"/>
      <c r="AX888" s="1"/>
      <c r="AY888" s="1"/>
      <c r="AZ888" s="1"/>
      <c r="BA888" s="1"/>
      <c r="BB888" s="1"/>
      <c r="BC888" s="1"/>
      <c r="BD888" s="1"/>
    </row>
    <row r="889" spans="35:56">
      <c r="AI889" s="1"/>
      <c r="AJ889" s="1"/>
      <c r="AK889" s="1"/>
      <c r="AL889" s="1"/>
      <c r="AM889" s="1"/>
      <c r="AN889" s="1"/>
      <c r="AO889" s="1"/>
      <c r="AP889" s="1"/>
      <c r="AQ889" s="1"/>
      <c r="AR889" s="1"/>
      <c r="AS889" s="1"/>
      <c r="AT889" s="1"/>
      <c r="AU889" s="1"/>
      <c r="AV889" s="1"/>
      <c r="AW889" s="1"/>
      <c r="AX889" s="1"/>
      <c r="AY889" s="1"/>
      <c r="AZ889" s="1"/>
      <c r="BA889" s="1"/>
      <c r="BB889" s="1"/>
      <c r="BC889" s="1"/>
      <c r="BD889" s="1"/>
    </row>
    <row r="890" spans="35:56">
      <c r="AI890" s="1"/>
      <c r="AJ890" s="1"/>
      <c r="AK890" s="1"/>
      <c r="AL890" s="1"/>
      <c r="AM890" s="1"/>
      <c r="AN890" s="1"/>
      <c r="AO890" s="1"/>
      <c r="AP890" s="1"/>
      <c r="AQ890" s="1"/>
      <c r="AR890" s="1"/>
      <c r="AS890" s="1"/>
      <c r="AT890" s="1"/>
      <c r="AU890" s="1"/>
      <c r="AV890" s="1"/>
      <c r="AW890" s="1"/>
      <c r="AX890" s="1"/>
      <c r="AY890" s="1"/>
      <c r="AZ890" s="1"/>
      <c r="BA890" s="1"/>
      <c r="BB890" s="1"/>
      <c r="BC890" s="1"/>
      <c r="BD890" s="1"/>
    </row>
    <row r="891" spans="35:56">
      <c r="AI891" s="1"/>
      <c r="AJ891" s="1"/>
      <c r="AK891" s="1"/>
      <c r="AL891" s="1"/>
      <c r="AM891" s="1"/>
      <c r="AN891" s="1"/>
      <c r="AO891" s="1"/>
      <c r="AP891" s="1"/>
      <c r="AQ891" s="1"/>
      <c r="AR891" s="1"/>
      <c r="AS891" s="1"/>
      <c r="AT891" s="1"/>
      <c r="AU891" s="1"/>
      <c r="AV891" s="1"/>
      <c r="AW891" s="1"/>
      <c r="AX891" s="1"/>
      <c r="AY891" s="1"/>
      <c r="AZ891" s="1"/>
      <c r="BA891" s="1"/>
      <c r="BB891" s="1"/>
      <c r="BC891" s="1"/>
      <c r="BD891" s="1"/>
    </row>
    <row r="892" spans="35:56">
      <c r="AI892" s="1"/>
      <c r="AJ892" s="1"/>
      <c r="AK892" s="1"/>
      <c r="AL892" s="1"/>
      <c r="AM892" s="1"/>
      <c r="AN892" s="1"/>
      <c r="AO892" s="1"/>
      <c r="AP892" s="1"/>
      <c r="AQ892" s="1"/>
      <c r="AR892" s="1"/>
      <c r="AS892" s="1"/>
      <c r="AT892" s="1"/>
      <c r="AU892" s="1"/>
      <c r="AV892" s="1"/>
      <c r="AW892" s="1"/>
      <c r="AX892" s="1"/>
      <c r="AY892" s="1"/>
      <c r="AZ892" s="1"/>
      <c r="BA892" s="1"/>
      <c r="BB892" s="1"/>
      <c r="BC892" s="1"/>
      <c r="BD892" s="1"/>
    </row>
    <row r="893" spans="35:56">
      <c r="AI893" s="1"/>
      <c r="AJ893" s="1"/>
      <c r="AK893" s="1"/>
      <c r="AL893" s="1"/>
      <c r="AM893" s="1"/>
      <c r="AN893" s="1"/>
      <c r="AO893" s="1"/>
      <c r="AP893" s="1"/>
      <c r="AQ893" s="1"/>
      <c r="AR893" s="1"/>
      <c r="AS893" s="1"/>
      <c r="AT893" s="1"/>
      <c r="AU893" s="1"/>
      <c r="AV893" s="1"/>
      <c r="AW893" s="1"/>
      <c r="AX893" s="1"/>
      <c r="AY893" s="1"/>
      <c r="AZ893" s="1"/>
      <c r="BA893" s="1"/>
      <c r="BB893" s="1"/>
      <c r="BC893" s="1"/>
      <c r="BD893" s="1"/>
    </row>
    <row r="894" spans="35:56">
      <c r="AI894" s="1"/>
      <c r="AJ894" s="1"/>
      <c r="AK894" s="1"/>
      <c r="AL894" s="1"/>
      <c r="AM894" s="1"/>
      <c r="AN894" s="1"/>
      <c r="AO894" s="1"/>
      <c r="AP894" s="1"/>
      <c r="AQ894" s="1"/>
      <c r="AR894" s="1"/>
      <c r="AS894" s="1"/>
      <c r="AT894" s="1"/>
      <c r="AU894" s="1"/>
      <c r="AV894" s="1"/>
      <c r="AW894" s="1"/>
      <c r="AX894" s="1"/>
      <c r="AY894" s="1"/>
      <c r="AZ894" s="1"/>
      <c r="BA894" s="1"/>
      <c r="BB894" s="1"/>
      <c r="BC894" s="1"/>
      <c r="BD894" s="1"/>
    </row>
    <row r="895" spans="35:56">
      <c r="AI895" s="1"/>
      <c r="AJ895" s="1"/>
      <c r="AK895" s="1"/>
      <c r="AL895" s="1"/>
      <c r="AM895" s="1"/>
      <c r="AN895" s="1"/>
      <c r="AO895" s="1"/>
      <c r="AP895" s="1"/>
      <c r="AQ895" s="1"/>
      <c r="AR895" s="1"/>
      <c r="AS895" s="1"/>
      <c r="AT895" s="1"/>
      <c r="AU895" s="1"/>
      <c r="AV895" s="1"/>
      <c r="AW895" s="1"/>
      <c r="AX895" s="1"/>
      <c r="AY895" s="1"/>
      <c r="AZ895" s="1"/>
      <c r="BA895" s="1"/>
      <c r="BB895" s="1"/>
      <c r="BC895" s="1"/>
      <c r="BD895" s="1"/>
    </row>
    <row r="896" spans="35:56">
      <c r="AI896" s="1"/>
      <c r="AJ896" s="1"/>
      <c r="AK896" s="1"/>
      <c r="AL896" s="1"/>
      <c r="AM896" s="1"/>
      <c r="AN896" s="1"/>
      <c r="AO896" s="1"/>
      <c r="AP896" s="1"/>
      <c r="AQ896" s="1"/>
      <c r="AR896" s="1"/>
      <c r="AS896" s="1"/>
      <c r="AT896" s="1"/>
      <c r="AU896" s="1"/>
      <c r="AV896" s="1"/>
      <c r="AW896" s="1"/>
      <c r="AX896" s="1"/>
      <c r="AY896" s="1"/>
      <c r="AZ896" s="1"/>
      <c r="BA896" s="1"/>
      <c r="BB896" s="1"/>
      <c r="BC896" s="1"/>
      <c r="BD896" s="1"/>
    </row>
    <row r="897" spans="35:56">
      <c r="AI897" s="1"/>
      <c r="AJ897" s="1"/>
      <c r="AK897" s="1"/>
      <c r="AL897" s="1"/>
      <c r="AM897" s="1"/>
      <c r="AN897" s="1"/>
      <c r="AO897" s="1"/>
      <c r="AP897" s="1"/>
      <c r="AQ897" s="1"/>
      <c r="AR897" s="1"/>
      <c r="AS897" s="1"/>
      <c r="AT897" s="1"/>
      <c r="AU897" s="1"/>
      <c r="AV897" s="1"/>
      <c r="AW897" s="1"/>
      <c r="AX897" s="1"/>
      <c r="AY897" s="1"/>
      <c r="AZ897" s="1"/>
      <c r="BA897" s="1"/>
      <c r="BB897" s="1"/>
      <c r="BC897" s="1"/>
      <c r="BD897" s="1"/>
    </row>
    <row r="898" spans="35:56">
      <c r="AI898" s="1"/>
      <c r="AJ898" s="1"/>
      <c r="AK898" s="1"/>
      <c r="AL898" s="1"/>
      <c r="AM898" s="1"/>
      <c r="AN898" s="1"/>
      <c r="AO898" s="1"/>
      <c r="AP898" s="1"/>
      <c r="AQ898" s="1"/>
      <c r="AR898" s="1"/>
      <c r="AS898" s="1"/>
      <c r="AT898" s="1"/>
      <c r="AU898" s="1"/>
      <c r="AV898" s="1"/>
      <c r="AW898" s="1"/>
      <c r="AX898" s="1"/>
      <c r="AY898" s="1"/>
      <c r="AZ898" s="1"/>
      <c r="BA898" s="1"/>
      <c r="BB898" s="1"/>
      <c r="BC898" s="1"/>
      <c r="BD898" s="1"/>
    </row>
    <row r="899" spans="35:56">
      <c r="AI899" s="1"/>
      <c r="AJ899" s="1"/>
      <c r="AK899" s="1"/>
      <c r="AL899" s="1"/>
      <c r="AM899" s="1"/>
      <c r="AN899" s="1"/>
      <c r="AO899" s="1"/>
      <c r="AP899" s="1"/>
      <c r="AQ899" s="1"/>
      <c r="AR899" s="1"/>
      <c r="AS899" s="1"/>
      <c r="AT899" s="1"/>
      <c r="AU899" s="1"/>
      <c r="AV899" s="1"/>
      <c r="AW899" s="1"/>
      <c r="AX899" s="1"/>
      <c r="AY899" s="1"/>
      <c r="AZ899" s="1"/>
      <c r="BA899" s="1"/>
      <c r="BB899" s="1"/>
      <c r="BC899" s="1"/>
      <c r="BD899" s="1"/>
    </row>
    <row r="900" spans="35:56">
      <c r="AI900" s="1"/>
      <c r="AJ900" s="1"/>
      <c r="AK900" s="1"/>
      <c r="AL900" s="1"/>
      <c r="AM900" s="1"/>
      <c r="AN900" s="1"/>
      <c r="AO900" s="1"/>
      <c r="AP900" s="1"/>
      <c r="AQ900" s="1"/>
      <c r="AR900" s="1"/>
      <c r="AS900" s="1"/>
      <c r="AT900" s="1"/>
      <c r="AU900" s="1"/>
      <c r="AV900" s="1"/>
      <c r="AW900" s="1"/>
      <c r="AX900" s="1"/>
      <c r="AY900" s="1"/>
      <c r="AZ900" s="1"/>
      <c r="BA900" s="1"/>
      <c r="BB900" s="1"/>
      <c r="BC900" s="1"/>
      <c r="BD900" s="1"/>
    </row>
    <row r="901" spans="35:56">
      <c r="AI901" s="1"/>
      <c r="AJ901" s="1"/>
      <c r="AK901" s="1"/>
      <c r="AL901" s="1"/>
      <c r="AM901" s="1"/>
      <c r="AN901" s="1"/>
      <c r="AO901" s="1"/>
      <c r="AP901" s="1"/>
      <c r="AQ901" s="1"/>
      <c r="AR901" s="1"/>
      <c r="AS901" s="1"/>
      <c r="AT901" s="1"/>
      <c r="AU901" s="1"/>
      <c r="AV901" s="1"/>
      <c r="AW901" s="1"/>
      <c r="AX901" s="1"/>
      <c r="AY901" s="1"/>
      <c r="AZ901" s="1"/>
      <c r="BA901" s="1"/>
      <c r="BB901" s="1"/>
      <c r="BC901" s="1"/>
      <c r="BD901" s="1"/>
    </row>
    <row r="902" spans="35:56">
      <c r="AI902" s="1"/>
      <c r="AJ902" s="1"/>
      <c r="AK902" s="1"/>
      <c r="AL902" s="1"/>
      <c r="AM902" s="1"/>
      <c r="AN902" s="1"/>
      <c r="AO902" s="1"/>
      <c r="AP902" s="1"/>
      <c r="AQ902" s="1"/>
      <c r="AR902" s="1"/>
      <c r="AS902" s="1"/>
      <c r="AT902" s="1"/>
      <c r="AU902" s="1"/>
      <c r="AV902" s="1"/>
      <c r="AW902" s="1"/>
      <c r="AX902" s="1"/>
      <c r="AY902" s="1"/>
      <c r="AZ902" s="1"/>
      <c r="BA902" s="1"/>
      <c r="BB902" s="1"/>
      <c r="BC902" s="1"/>
      <c r="BD902" s="1"/>
    </row>
    <row r="903" spans="35:56">
      <c r="AI903" s="1"/>
      <c r="AJ903" s="1"/>
      <c r="AK903" s="1"/>
      <c r="AL903" s="1"/>
      <c r="AM903" s="1"/>
      <c r="AN903" s="1"/>
      <c r="AO903" s="1"/>
      <c r="AP903" s="1"/>
      <c r="AQ903" s="1"/>
      <c r="AR903" s="1"/>
      <c r="AS903" s="1"/>
      <c r="AT903" s="1"/>
      <c r="AU903" s="1"/>
      <c r="AV903" s="1"/>
      <c r="AW903" s="1"/>
      <c r="AX903" s="1"/>
      <c r="AY903" s="1"/>
      <c r="AZ903" s="1"/>
      <c r="BA903" s="1"/>
      <c r="BB903" s="1"/>
      <c r="BC903" s="1"/>
      <c r="BD903" s="1"/>
    </row>
    <row r="904" spans="35:56">
      <c r="AI904" s="1"/>
      <c r="AJ904" s="1"/>
      <c r="AK904" s="1"/>
      <c r="AL904" s="1"/>
      <c r="AM904" s="1"/>
      <c r="AN904" s="1"/>
      <c r="AO904" s="1"/>
      <c r="AP904" s="1"/>
      <c r="AQ904" s="1"/>
      <c r="AR904" s="1"/>
      <c r="AS904" s="1"/>
      <c r="AT904" s="1"/>
      <c r="AU904" s="1"/>
      <c r="AV904" s="1"/>
      <c r="AW904" s="1"/>
      <c r="AX904" s="1"/>
      <c r="AY904" s="1"/>
      <c r="AZ904" s="1"/>
      <c r="BA904" s="1"/>
      <c r="BB904" s="1"/>
      <c r="BC904" s="1"/>
      <c r="BD904" s="1"/>
    </row>
    <row r="905" spans="35:56">
      <c r="AI905" s="1"/>
      <c r="AJ905" s="1"/>
      <c r="AK905" s="1"/>
      <c r="AL905" s="1"/>
      <c r="AM905" s="1"/>
      <c r="AN905" s="1"/>
      <c r="AO905" s="1"/>
      <c r="AP905" s="1"/>
      <c r="AQ905" s="1"/>
      <c r="AR905" s="1"/>
      <c r="AS905" s="1"/>
      <c r="AT905" s="1"/>
      <c r="AU905" s="1"/>
      <c r="AV905" s="1"/>
      <c r="AW905" s="1"/>
      <c r="AX905" s="1"/>
      <c r="AY905" s="1"/>
      <c r="AZ905" s="1"/>
      <c r="BA905" s="1"/>
      <c r="BB905" s="1"/>
      <c r="BC905" s="1"/>
      <c r="BD905" s="1"/>
    </row>
    <row r="906" spans="35:56">
      <c r="AI906" s="1"/>
      <c r="AJ906" s="1"/>
      <c r="AK906" s="1"/>
      <c r="AL906" s="1"/>
      <c r="AM906" s="1"/>
      <c r="AN906" s="1"/>
      <c r="AO906" s="1"/>
      <c r="AP906" s="1"/>
      <c r="AQ906" s="1"/>
      <c r="AR906" s="1"/>
      <c r="AS906" s="1"/>
      <c r="AT906" s="1"/>
      <c r="AU906" s="1"/>
      <c r="AV906" s="1"/>
      <c r="AW906" s="1"/>
      <c r="AX906" s="1"/>
      <c r="AY906" s="1"/>
      <c r="AZ906" s="1"/>
      <c r="BA906" s="1"/>
      <c r="BB906" s="1"/>
      <c r="BC906" s="1"/>
      <c r="BD906" s="1"/>
    </row>
    <row r="907" spans="35:56">
      <c r="AI907" s="1"/>
      <c r="AJ907" s="1"/>
      <c r="AK907" s="1"/>
      <c r="AL907" s="1"/>
      <c r="AM907" s="1"/>
      <c r="AN907" s="1"/>
      <c r="AO907" s="1"/>
      <c r="AP907" s="1"/>
      <c r="AQ907" s="1"/>
      <c r="AR907" s="1"/>
      <c r="AS907" s="1"/>
      <c r="AT907" s="1"/>
      <c r="AU907" s="1"/>
      <c r="AV907" s="1"/>
      <c r="AW907" s="1"/>
      <c r="AX907" s="1"/>
      <c r="AY907" s="1"/>
      <c r="AZ907" s="1"/>
      <c r="BA907" s="1"/>
      <c r="BB907" s="1"/>
      <c r="BC907" s="1"/>
      <c r="BD907" s="1"/>
    </row>
    <row r="908" spans="35:56">
      <c r="AI908" s="1"/>
      <c r="AJ908" s="1"/>
      <c r="AK908" s="1"/>
      <c r="AL908" s="1"/>
      <c r="AM908" s="1"/>
      <c r="AN908" s="1"/>
      <c r="AO908" s="1"/>
      <c r="AP908" s="1"/>
      <c r="AQ908" s="1"/>
      <c r="AR908" s="1"/>
      <c r="AS908" s="1"/>
      <c r="AT908" s="1"/>
      <c r="AU908" s="1"/>
      <c r="AV908" s="1"/>
      <c r="AW908" s="1"/>
      <c r="AX908" s="1"/>
      <c r="AY908" s="1"/>
      <c r="AZ908" s="1"/>
      <c r="BA908" s="1"/>
      <c r="BB908" s="1"/>
      <c r="BC908" s="1"/>
      <c r="BD908" s="1"/>
    </row>
    <row r="909" spans="35:56">
      <c r="AI909" s="1"/>
      <c r="AJ909" s="1"/>
      <c r="AK909" s="1"/>
      <c r="AL909" s="1"/>
      <c r="AM909" s="1"/>
      <c r="AN909" s="1"/>
      <c r="AO909" s="1"/>
      <c r="AP909" s="1"/>
      <c r="AQ909" s="1"/>
      <c r="AR909" s="1"/>
      <c r="AS909" s="1"/>
      <c r="AT909" s="1"/>
      <c r="AU909" s="1"/>
      <c r="AV909" s="1"/>
      <c r="AW909" s="1"/>
      <c r="AX909" s="1"/>
      <c r="AY909" s="1"/>
      <c r="AZ909" s="1"/>
      <c r="BA909" s="1"/>
      <c r="BB909" s="1"/>
      <c r="BC909" s="1"/>
      <c r="BD909" s="1"/>
    </row>
    <row r="910" spans="35:56">
      <c r="AI910" s="1"/>
      <c r="AJ910" s="1"/>
      <c r="AK910" s="1"/>
      <c r="AL910" s="1"/>
      <c r="AM910" s="1"/>
      <c r="AN910" s="1"/>
      <c r="AO910" s="1"/>
      <c r="AP910" s="1"/>
      <c r="AQ910" s="1"/>
      <c r="AR910" s="1"/>
      <c r="AS910" s="1"/>
      <c r="AT910" s="1"/>
      <c r="AU910" s="1"/>
      <c r="AV910" s="1"/>
      <c r="AW910" s="1"/>
      <c r="AX910" s="1"/>
      <c r="AY910" s="1"/>
      <c r="AZ910" s="1"/>
      <c r="BA910" s="1"/>
      <c r="BB910" s="1"/>
      <c r="BC910" s="1"/>
      <c r="BD910" s="1"/>
    </row>
    <row r="911" spans="35:56">
      <c r="AI911" s="1"/>
      <c r="AJ911" s="1"/>
      <c r="AK911" s="1"/>
      <c r="AL911" s="1"/>
      <c r="AM911" s="1"/>
      <c r="AN911" s="1"/>
      <c r="AO911" s="1"/>
      <c r="AP911" s="1"/>
      <c r="AQ911" s="1"/>
      <c r="AR911" s="1"/>
      <c r="AS911" s="1"/>
      <c r="AT911" s="1"/>
      <c r="AU911" s="1"/>
      <c r="AV911" s="1"/>
      <c r="AW911" s="1"/>
      <c r="AX911" s="1"/>
      <c r="AY911" s="1"/>
      <c r="AZ911" s="1"/>
      <c r="BA911" s="1"/>
      <c r="BB911" s="1"/>
      <c r="BC911" s="1"/>
      <c r="BD911" s="1"/>
    </row>
    <row r="912" spans="35:56">
      <c r="AI912" s="1"/>
      <c r="AJ912" s="1"/>
      <c r="AK912" s="1"/>
      <c r="AL912" s="1"/>
      <c r="AM912" s="1"/>
      <c r="AN912" s="1"/>
      <c r="AO912" s="1"/>
      <c r="AP912" s="1"/>
      <c r="AQ912" s="1"/>
      <c r="AR912" s="1"/>
      <c r="AS912" s="1"/>
      <c r="AT912" s="1"/>
      <c r="AU912" s="1"/>
      <c r="AV912" s="1"/>
      <c r="AW912" s="1"/>
      <c r="AX912" s="1"/>
      <c r="AY912" s="1"/>
      <c r="AZ912" s="1"/>
      <c r="BA912" s="1"/>
      <c r="BB912" s="1"/>
      <c r="BC912" s="1"/>
      <c r="BD912" s="1"/>
    </row>
    <row r="913" spans="35:56">
      <c r="AI913" s="1"/>
      <c r="AJ913" s="1"/>
      <c r="AK913" s="1"/>
      <c r="AL913" s="1"/>
      <c r="AM913" s="1"/>
      <c r="AN913" s="1"/>
      <c r="AO913" s="1"/>
      <c r="AP913" s="1"/>
      <c r="AQ913" s="1"/>
      <c r="AR913" s="1"/>
      <c r="AS913" s="1"/>
      <c r="AT913" s="1"/>
      <c r="AU913" s="1"/>
      <c r="AV913" s="1"/>
      <c r="AW913" s="1"/>
      <c r="AX913" s="1"/>
      <c r="AY913" s="1"/>
      <c r="AZ913" s="1"/>
      <c r="BA913" s="1"/>
      <c r="BB913" s="1"/>
      <c r="BC913" s="1"/>
      <c r="BD913" s="1"/>
    </row>
    <row r="914" spans="35:56">
      <c r="AI914" s="1"/>
      <c r="AJ914" s="1"/>
      <c r="AK914" s="1"/>
      <c r="AL914" s="1"/>
      <c r="AM914" s="1"/>
      <c r="AN914" s="1"/>
      <c r="AO914" s="1"/>
      <c r="AP914" s="1"/>
      <c r="AQ914" s="1"/>
      <c r="AR914" s="1"/>
      <c r="AS914" s="1"/>
      <c r="AT914" s="1"/>
      <c r="AU914" s="1"/>
      <c r="AV914" s="1"/>
      <c r="AW914" s="1"/>
      <c r="AX914" s="1"/>
      <c r="AY914" s="1"/>
      <c r="AZ914" s="1"/>
      <c r="BA914" s="1"/>
      <c r="BB914" s="1"/>
      <c r="BC914" s="1"/>
      <c r="BD914" s="1"/>
    </row>
    <row r="915" spans="35:56">
      <c r="AI915" s="1"/>
      <c r="AJ915" s="1"/>
      <c r="AK915" s="1"/>
      <c r="AL915" s="1"/>
      <c r="AM915" s="1"/>
      <c r="AN915" s="1"/>
      <c r="AO915" s="1"/>
      <c r="AP915" s="1"/>
      <c r="AQ915" s="1"/>
      <c r="AR915" s="1"/>
      <c r="AS915" s="1"/>
      <c r="AT915" s="1"/>
      <c r="AU915" s="1"/>
      <c r="AV915" s="1"/>
      <c r="AW915" s="1"/>
      <c r="AX915" s="1"/>
      <c r="AY915" s="1"/>
      <c r="AZ915" s="1"/>
      <c r="BA915" s="1"/>
      <c r="BB915" s="1"/>
      <c r="BC915" s="1"/>
      <c r="BD915" s="1"/>
    </row>
    <row r="916" spans="35:56">
      <c r="AI916" s="1"/>
      <c r="AJ916" s="1"/>
      <c r="AK916" s="1"/>
      <c r="AL916" s="1"/>
      <c r="AM916" s="1"/>
      <c r="AN916" s="1"/>
      <c r="AO916" s="1"/>
      <c r="AP916" s="1"/>
      <c r="AQ916" s="1"/>
      <c r="AR916" s="1"/>
      <c r="AS916" s="1"/>
      <c r="AT916" s="1"/>
      <c r="AU916" s="1"/>
      <c r="AV916" s="1"/>
      <c r="AW916" s="1"/>
      <c r="AX916" s="1"/>
      <c r="AY916" s="1"/>
      <c r="AZ916" s="1"/>
      <c r="BA916" s="1"/>
      <c r="BB916" s="1"/>
      <c r="BC916" s="1"/>
      <c r="BD916" s="1"/>
    </row>
    <row r="917" spans="35:56">
      <c r="AI917" s="1"/>
      <c r="AJ917" s="1"/>
      <c r="AK917" s="1"/>
      <c r="AL917" s="1"/>
      <c r="AM917" s="1"/>
      <c r="AN917" s="1"/>
      <c r="AO917" s="1"/>
      <c r="AP917" s="1"/>
      <c r="AQ917" s="1"/>
      <c r="AR917" s="1"/>
      <c r="AS917" s="1"/>
      <c r="AT917" s="1"/>
      <c r="AU917" s="1"/>
      <c r="AV917" s="1"/>
      <c r="AW917" s="1"/>
      <c r="AX917" s="1"/>
      <c r="AY917" s="1"/>
      <c r="AZ917" s="1"/>
      <c r="BA917" s="1"/>
      <c r="BB917" s="1"/>
      <c r="BC917" s="1"/>
      <c r="BD917" s="1"/>
    </row>
    <row r="918" spans="35:56">
      <c r="AI918" s="1"/>
      <c r="AJ918" s="1"/>
      <c r="AK918" s="1"/>
      <c r="AL918" s="1"/>
      <c r="AM918" s="1"/>
      <c r="AN918" s="1"/>
      <c r="AO918" s="1"/>
      <c r="AP918" s="1"/>
      <c r="AQ918" s="1"/>
      <c r="AR918" s="1"/>
      <c r="AS918" s="1"/>
      <c r="AT918" s="1"/>
      <c r="AU918" s="1"/>
      <c r="AV918" s="1"/>
      <c r="AW918" s="1"/>
      <c r="AX918" s="1"/>
      <c r="AY918" s="1"/>
      <c r="AZ918" s="1"/>
      <c r="BA918" s="1"/>
      <c r="BB918" s="1"/>
      <c r="BC918" s="1"/>
      <c r="BD918" s="1"/>
    </row>
    <row r="919" spans="35:56">
      <c r="AI919" s="1"/>
      <c r="AJ919" s="1"/>
      <c r="AK919" s="1"/>
      <c r="AL919" s="1"/>
      <c r="AM919" s="1"/>
      <c r="AN919" s="1"/>
      <c r="AO919" s="1"/>
      <c r="AP919" s="1"/>
      <c r="AQ919" s="1"/>
      <c r="AR919" s="1"/>
      <c r="AS919" s="1"/>
      <c r="AT919" s="1"/>
      <c r="AU919" s="1"/>
      <c r="AV919" s="1"/>
      <c r="AW919" s="1"/>
      <c r="AX919" s="1"/>
      <c r="AY919" s="1"/>
      <c r="AZ919" s="1"/>
      <c r="BA919" s="1"/>
      <c r="BB919" s="1"/>
      <c r="BC919" s="1"/>
      <c r="BD919" s="1"/>
    </row>
    <row r="920" spans="35:56">
      <c r="AI920" s="1"/>
      <c r="AJ920" s="1"/>
      <c r="AK920" s="1"/>
      <c r="AL920" s="1"/>
      <c r="AM920" s="1"/>
      <c r="AN920" s="1"/>
      <c r="AO920" s="1"/>
      <c r="AP920" s="1"/>
      <c r="AQ920" s="1"/>
      <c r="AR920" s="1"/>
      <c r="AS920" s="1"/>
      <c r="AT920" s="1"/>
      <c r="AU920" s="1"/>
      <c r="AV920" s="1"/>
      <c r="AW920" s="1"/>
      <c r="AX920" s="1"/>
      <c r="AY920" s="1"/>
      <c r="AZ920" s="1"/>
      <c r="BA920" s="1"/>
      <c r="BB920" s="1"/>
      <c r="BC920" s="1"/>
      <c r="BD920" s="1"/>
    </row>
    <row r="921" spans="35:56">
      <c r="AI921" s="1"/>
      <c r="AJ921" s="1"/>
      <c r="AK921" s="1"/>
      <c r="AL921" s="1"/>
      <c r="AM921" s="1"/>
      <c r="AN921" s="1"/>
      <c r="AO921" s="1"/>
      <c r="AP921" s="1"/>
      <c r="AQ921" s="1"/>
      <c r="AR921" s="1"/>
      <c r="AS921" s="1"/>
      <c r="AT921" s="1"/>
      <c r="AU921" s="1"/>
      <c r="AV921" s="1"/>
      <c r="AW921" s="1"/>
      <c r="AX921" s="1"/>
      <c r="AY921" s="1"/>
      <c r="AZ921" s="1"/>
      <c r="BA921" s="1"/>
      <c r="BB921" s="1"/>
      <c r="BC921" s="1"/>
      <c r="BD921" s="1"/>
    </row>
    <row r="922" spans="35:56">
      <c r="AI922" s="1"/>
      <c r="AJ922" s="1"/>
      <c r="AK922" s="1"/>
      <c r="AL922" s="1"/>
      <c r="AM922" s="1"/>
      <c r="AN922" s="1"/>
      <c r="AO922" s="1"/>
      <c r="AP922" s="1"/>
      <c r="AQ922" s="1"/>
      <c r="AR922" s="1"/>
      <c r="AS922" s="1"/>
      <c r="AT922" s="1"/>
      <c r="AU922" s="1"/>
      <c r="AV922" s="1"/>
      <c r="AW922" s="1"/>
      <c r="AX922" s="1"/>
      <c r="AY922" s="1"/>
      <c r="AZ922" s="1"/>
      <c r="BA922" s="1"/>
      <c r="BB922" s="1"/>
      <c r="BC922" s="1"/>
      <c r="BD922" s="1"/>
    </row>
    <row r="923" spans="35:56">
      <c r="AI923" s="1"/>
      <c r="AJ923" s="1"/>
      <c r="AK923" s="1"/>
      <c r="AL923" s="1"/>
      <c r="AM923" s="1"/>
      <c r="AN923" s="1"/>
      <c r="AO923" s="1"/>
      <c r="AP923" s="1"/>
      <c r="AQ923" s="1"/>
      <c r="AR923" s="1"/>
      <c r="AS923" s="1"/>
      <c r="AT923" s="1"/>
      <c r="AU923" s="1"/>
      <c r="AV923" s="1"/>
      <c r="AW923" s="1"/>
      <c r="AX923" s="1"/>
      <c r="AY923" s="1"/>
      <c r="AZ923" s="1"/>
      <c r="BA923" s="1"/>
      <c r="BB923" s="1"/>
      <c r="BC923" s="1"/>
      <c r="BD923" s="1"/>
    </row>
    <row r="924" spans="35:56">
      <c r="AI924" s="1"/>
      <c r="AJ924" s="1"/>
      <c r="AK924" s="1"/>
      <c r="AL924" s="1"/>
      <c r="AM924" s="1"/>
      <c r="AN924" s="1"/>
      <c r="AO924" s="1"/>
      <c r="AP924" s="1"/>
      <c r="AQ924" s="1"/>
      <c r="AR924" s="1"/>
      <c r="AS924" s="1"/>
      <c r="AT924" s="1"/>
      <c r="AU924" s="1"/>
      <c r="AV924" s="1"/>
      <c r="AW924" s="1"/>
      <c r="AX924" s="1"/>
      <c r="AY924" s="1"/>
      <c r="AZ924" s="1"/>
      <c r="BA924" s="1"/>
      <c r="BB924" s="1"/>
      <c r="BC924" s="1"/>
      <c r="BD924" s="1"/>
    </row>
    <row r="925" spans="35:56">
      <c r="AI925" s="1"/>
      <c r="AJ925" s="1"/>
      <c r="AK925" s="1"/>
      <c r="AL925" s="1"/>
      <c r="AM925" s="1"/>
      <c r="AN925" s="1"/>
      <c r="AO925" s="1"/>
      <c r="AP925" s="1"/>
      <c r="AQ925" s="1"/>
      <c r="AR925" s="1"/>
      <c r="AS925" s="1"/>
      <c r="AT925" s="1"/>
      <c r="AU925" s="1"/>
      <c r="AV925" s="1"/>
      <c r="AW925" s="1"/>
      <c r="AX925" s="1"/>
      <c r="AY925" s="1"/>
      <c r="AZ925" s="1"/>
      <c r="BA925" s="1"/>
      <c r="BB925" s="1"/>
      <c r="BC925" s="1"/>
      <c r="BD925" s="1"/>
    </row>
    <row r="926" spans="35:56">
      <c r="AI926" s="1"/>
      <c r="AJ926" s="1"/>
      <c r="AK926" s="1"/>
      <c r="AL926" s="1"/>
      <c r="AM926" s="1"/>
      <c r="AN926" s="1"/>
      <c r="AO926" s="1"/>
      <c r="AP926" s="1"/>
      <c r="AQ926" s="1"/>
      <c r="AR926" s="1"/>
      <c r="AS926" s="1"/>
      <c r="AT926" s="1"/>
      <c r="AU926" s="1"/>
      <c r="AV926" s="1"/>
      <c r="AW926" s="1"/>
      <c r="AX926" s="1"/>
      <c r="AY926" s="1"/>
      <c r="AZ926" s="1"/>
      <c r="BA926" s="1"/>
      <c r="BB926" s="1"/>
      <c r="BC926" s="1"/>
      <c r="BD926" s="1"/>
    </row>
    <row r="927" spans="35:56">
      <c r="AI927" s="1"/>
      <c r="AJ927" s="1"/>
      <c r="AK927" s="1"/>
      <c r="AL927" s="1"/>
      <c r="AM927" s="1"/>
      <c r="AN927" s="1"/>
      <c r="AO927" s="1"/>
      <c r="AP927" s="1"/>
      <c r="AQ927" s="1"/>
      <c r="AR927" s="1"/>
      <c r="AS927" s="1"/>
      <c r="AT927" s="1"/>
      <c r="AU927" s="1"/>
      <c r="AV927" s="1"/>
      <c r="AW927" s="1"/>
      <c r="AX927" s="1"/>
      <c r="AY927" s="1"/>
      <c r="AZ927" s="1"/>
      <c r="BA927" s="1"/>
      <c r="BB927" s="1"/>
      <c r="BC927" s="1"/>
      <c r="BD927" s="1"/>
    </row>
    <row r="928" spans="35:56">
      <c r="AI928" s="1"/>
      <c r="AJ928" s="1"/>
      <c r="AK928" s="1"/>
      <c r="AL928" s="1"/>
      <c r="AM928" s="1"/>
      <c r="AN928" s="1"/>
      <c r="AO928" s="1"/>
      <c r="AP928" s="1"/>
      <c r="AQ928" s="1"/>
      <c r="AR928" s="1"/>
      <c r="AS928" s="1"/>
      <c r="AT928" s="1"/>
      <c r="AU928" s="1"/>
      <c r="AV928" s="1"/>
      <c r="AW928" s="1"/>
      <c r="AX928" s="1"/>
      <c r="AY928" s="1"/>
      <c r="AZ928" s="1"/>
      <c r="BA928" s="1"/>
      <c r="BB928" s="1"/>
      <c r="BC928" s="1"/>
      <c r="BD928" s="1"/>
    </row>
    <row r="929" spans="35:56">
      <c r="AI929" s="1"/>
      <c r="AJ929" s="1"/>
      <c r="AK929" s="1"/>
      <c r="AL929" s="1"/>
      <c r="AM929" s="1"/>
      <c r="AN929" s="1"/>
      <c r="AO929" s="1"/>
      <c r="AP929" s="1"/>
      <c r="AQ929" s="1"/>
      <c r="AR929" s="1"/>
      <c r="AS929" s="1"/>
      <c r="AT929" s="1"/>
      <c r="AU929" s="1"/>
      <c r="AV929" s="1"/>
      <c r="AW929" s="1"/>
      <c r="AX929" s="1"/>
      <c r="AY929" s="1"/>
      <c r="AZ929" s="1"/>
      <c r="BA929" s="1"/>
      <c r="BB929" s="1"/>
      <c r="BC929" s="1"/>
      <c r="BD929" s="1"/>
    </row>
    <row r="930" spans="35:56">
      <c r="AI930" s="1"/>
      <c r="AJ930" s="1"/>
      <c r="AK930" s="1"/>
      <c r="AL930" s="1"/>
      <c r="AM930" s="1"/>
      <c r="AN930" s="1"/>
      <c r="AO930" s="1"/>
      <c r="AP930" s="1"/>
      <c r="AQ930" s="1"/>
      <c r="AR930" s="1"/>
      <c r="AS930" s="1"/>
      <c r="AT930" s="1"/>
      <c r="AU930" s="1"/>
      <c r="AV930" s="1"/>
      <c r="AW930" s="1"/>
      <c r="AX930" s="1"/>
      <c r="AY930" s="1"/>
      <c r="AZ930" s="1"/>
      <c r="BA930" s="1"/>
      <c r="BB930" s="1"/>
      <c r="BC930" s="1"/>
      <c r="BD930" s="1"/>
    </row>
    <row r="931" spans="35:56">
      <c r="AI931" s="1"/>
      <c r="AJ931" s="1"/>
      <c r="AK931" s="1"/>
      <c r="AL931" s="1"/>
      <c r="AM931" s="1"/>
      <c r="AN931" s="1"/>
      <c r="AO931" s="1"/>
      <c r="AP931" s="1"/>
      <c r="AQ931" s="1"/>
      <c r="AR931" s="1"/>
      <c r="AS931" s="1"/>
      <c r="AT931" s="1"/>
      <c r="AU931" s="1"/>
      <c r="AV931" s="1"/>
      <c r="AW931" s="1"/>
      <c r="AX931" s="1"/>
      <c r="AY931" s="1"/>
      <c r="AZ931" s="1"/>
      <c r="BA931" s="1"/>
      <c r="BB931" s="1"/>
      <c r="BC931" s="1"/>
      <c r="BD931" s="1"/>
    </row>
    <row r="932" spans="35:56">
      <c r="AI932" s="1"/>
      <c r="AJ932" s="1"/>
      <c r="AK932" s="1"/>
      <c r="AL932" s="1"/>
      <c r="AM932" s="1"/>
      <c r="AN932" s="1"/>
      <c r="AO932" s="1"/>
      <c r="AP932" s="1"/>
      <c r="AQ932" s="1"/>
      <c r="AR932" s="1"/>
      <c r="AS932" s="1"/>
      <c r="AT932" s="1"/>
      <c r="AU932" s="1"/>
      <c r="AV932" s="1"/>
      <c r="AW932" s="1"/>
      <c r="AX932" s="1"/>
      <c r="AY932" s="1"/>
      <c r="AZ932" s="1"/>
      <c r="BA932" s="1"/>
      <c r="BB932" s="1"/>
      <c r="BC932" s="1"/>
      <c r="BD932" s="1"/>
    </row>
    <row r="933" spans="35:56">
      <c r="AI933" s="1"/>
      <c r="AJ933" s="1"/>
      <c r="AK933" s="1"/>
      <c r="AL933" s="1"/>
      <c r="AM933" s="1"/>
      <c r="AN933" s="1"/>
      <c r="AO933" s="1"/>
      <c r="AP933" s="1"/>
      <c r="AQ933" s="1"/>
      <c r="AR933" s="1"/>
      <c r="AS933" s="1"/>
      <c r="AT933" s="1"/>
      <c r="AU933" s="1"/>
      <c r="AV933" s="1"/>
      <c r="AW933" s="1"/>
      <c r="AX933" s="1"/>
      <c r="AY933" s="1"/>
      <c r="AZ933" s="1"/>
      <c r="BA933" s="1"/>
      <c r="BB933" s="1"/>
      <c r="BC933" s="1"/>
      <c r="BD933" s="1"/>
    </row>
    <row r="934" spans="35:56">
      <c r="AI934" s="1"/>
      <c r="AJ934" s="1"/>
      <c r="AK934" s="1"/>
      <c r="AL934" s="1"/>
      <c r="AM934" s="1"/>
      <c r="AN934" s="1"/>
      <c r="AO934" s="1"/>
      <c r="AP934" s="1"/>
      <c r="AQ934" s="1"/>
      <c r="AR934" s="1"/>
      <c r="AS934" s="1"/>
      <c r="AT934" s="1"/>
      <c r="AU934" s="1"/>
      <c r="AV934" s="1"/>
      <c r="AW934" s="1"/>
      <c r="AX934" s="1"/>
      <c r="AY934" s="1"/>
      <c r="AZ934" s="1"/>
      <c r="BA934" s="1"/>
      <c r="BB934" s="1"/>
      <c r="BC934" s="1"/>
      <c r="BD934" s="1"/>
    </row>
    <row r="935" spans="35:56">
      <c r="AI935" s="1"/>
      <c r="AJ935" s="1"/>
      <c r="AK935" s="1"/>
      <c r="AL935" s="1"/>
      <c r="AM935" s="1"/>
      <c r="AN935" s="1"/>
      <c r="AO935" s="1"/>
      <c r="AP935" s="1"/>
      <c r="AQ935" s="1"/>
      <c r="AR935" s="1"/>
      <c r="AS935" s="1"/>
      <c r="AT935" s="1"/>
      <c r="AU935" s="1"/>
      <c r="AV935" s="1"/>
      <c r="AW935" s="1"/>
      <c r="AX935" s="1"/>
      <c r="AY935" s="1"/>
      <c r="AZ935" s="1"/>
      <c r="BA935" s="1"/>
      <c r="BB935" s="1"/>
      <c r="BC935" s="1"/>
      <c r="BD935" s="1"/>
    </row>
    <row r="936" spans="35:56">
      <c r="AI936" s="1"/>
      <c r="AJ936" s="1"/>
      <c r="AK936" s="1"/>
      <c r="AL936" s="1"/>
      <c r="AM936" s="1"/>
      <c r="AN936" s="1"/>
      <c r="AO936" s="1"/>
      <c r="AP936" s="1"/>
      <c r="AQ936" s="1"/>
      <c r="AR936" s="1"/>
      <c r="AS936" s="1"/>
      <c r="AT936" s="1"/>
      <c r="AU936" s="1"/>
      <c r="AV936" s="1"/>
      <c r="AW936" s="1"/>
      <c r="AX936" s="1"/>
      <c r="AY936" s="1"/>
      <c r="AZ936" s="1"/>
      <c r="BA936" s="1"/>
      <c r="BB936" s="1"/>
      <c r="BC936" s="1"/>
      <c r="BD936" s="1"/>
    </row>
    <row r="937" spans="35:56">
      <c r="AI937" s="1"/>
      <c r="AJ937" s="1"/>
      <c r="AK937" s="1"/>
      <c r="AL937" s="1"/>
      <c r="AM937" s="1"/>
      <c r="AN937" s="1"/>
      <c r="AO937" s="1"/>
      <c r="AP937" s="1"/>
      <c r="AQ937" s="1"/>
      <c r="AR937" s="1"/>
      <c r="AS937" s="1"/>
      <c r="AT937" s="1"/>
      <c r="AU937" s="1"/>
      <c r="AV937" s="1"/>
      <c r="AW937" s="1"/>
      <c r="AX937" s="1"/>
      <c r="AY937" s="1"/>
      <c r="AZ937" s="1"/>
      <c r="BA937" s="1"/>
      <c r="BB937" s="1"/>
      <c r="BC937" s="1"/>
      <c r="BD937" s="1"/>
    </row>
    <row r="938" spans="35:56">
      <c r="AI938" s="1"/>
      <c r="AJ938" s="1"/>
      <c r="AK938" s="1"/>
      <c r="AL938" s="1"/>
      <c r="AM938" s="1"/>
      <c r="AN938" s="1"/>
      <c r="AO938" s="1"/>
      <c r="AP938" s="1"/>
      <c r="AQ938" s="1"/>
      <c r="AR938" s="1"/>
      <c r="AS938" s="1"/>
      <c r="AT938" s="1"/>
      <c r="AU938" s="1"/>
      <c r="AV938" s="1"/>
      <c r="AW938" s="1"/>
      <c r="AX938" s="1"/>
      <c r="AY938" s="1"/>
      <c r="AZ938" s="1"/>
      <c r="BA938" s="1"/>
      <c r="BB938" s="1"/>
      <c r="BC938" s="1"/>
      <c r="BD938" s="1"/>
    </row>
    <row r="939" spans="35:56">
      <c r="AI939" s="1"/>
      <c r="AJ939" s="1"/>
      <c r="AK939" s="1"/>
      <c r="AL939" s="1"/>
      <c r="AM939" s="1"/>
      <c r="AN939" s="1"/>
      <c r="AO939" s="1"/>
      <c r="AP939" s="1"/>
      <c r="AQ939" s="1"/>
      <c r="AR939" s="1"/>
      <c r="AS939" s="1"/>
      <c r="AT939" s="1"/>
      <c r="AU939" s="1"/>
      <c r="AV939" s="1"/>
      <c r="AW939" s="1"/>
      <c r="AX939" s="1"/>
      <c r="AY939" s="1"/>
      <c r="AZ939" s="1"/>
      <c r="BA939" s="1"/>
      <c r="BB939" s="1"/>
      <c r="BC939" s="1"/>
      <c r="BD939" s="1"/>
    </row>
    <row r="940" spans="35:56">
      <c r="AI940" s="1"/>
      <c r="AJ940" s="1"/>
      <c r="AK940" s="1"/>
      <c r="AL940" s="1"/>
      <c r="AM940" s="1"/>
      <c r="AN940" s="1"/>
      <c r="AO940" s="1"/>
      <c r="AP940" s="1"/>
      <c r="AQ940" s="1"/>
      <c r="AR940" s="1"/>
      <c r="AS940" s="1"/>
      <c r="AT940" s="1"/>
      <c r="AU940" s="1"/>
      <c r="AV940" s="1"/>
      <c r="AW940" s="1"/>
      <c r="AX940" s="1"/>
      <c r="AY940" s="1"/>
      <c r="AZ940" s="1"/>
      <c r="BA940" s="1"/>
      <c r="BB940" s="1"/>
      <c r="BC940" s="1"/>
      <c r="BD940" s="1"/>
    </row>
    <row r="941" spans="35:56">
      <c r="AI941" s="1"/>
      <c r="AJ941" s="1"/>
      <c r="AK941" s="1"/>
      <c r="AL941" s="1"/>
      <c r="AM941" s="1"/>
      <c r="AN941" s="1"/>
      <c r="AO941" s="1"/>
      <c r="AP941" s="1"/>
      <c r="AQ941" s="1"/>
      <c r="AR941" s="1"/>
      <c r="AS941" s="1"/>
      <c r="AT941" s="1"/>
      <c r="AU941" s="1"/>
      <c r="AV941" s="1"/>
      <c r="AW941" s="1"/>
      <c r="AX941" s="1"/>
      <c r="AY941" s="1"/>
      <c r="AZ941" s="1"/>
      <c r="BA941" s="1"/>
      <c r="BB941" s="1"/>
      <c r="BC941" s="1"/>
      <c r="BD941" s="1"/>
    </row>
    <row r="942" spans="35:56">
      <c r="AI942" s="1"/>
      <c r="AJ942" s="1"/>
      <c r="AK942" s="1"/>
      <c r="AL942" s="1"/>
      <c r="AM942" s="1"/>
      <c r="AN942" s="1"/>
      <c r="AO942" s="1"/>
      <c r="AP942" s="1"/>
      <c r="AQ942" s="1"/>
      <c r="AR942" s="1"/>
      <c r="AS942" s="1"/>
      <c r="AT942" s="1"/>
      <c r="AU942" s="1"/>
      <c r="AV942" s="1"/>
      <c r="AW942" s="1"/>
      <c r="AX942" s="1"/>
      <c r="AY942" s="1"/>
      <c r="AZ942" s="1"/>
      <c r="BA942" s="1"/>
      <c r="BB942" s="1"/>
      <c r="BC942" s="1"/>
      <c r="BD942" s="1"/>
    </row>
    <row r="943" spans="35:56">
      <c r="AI943" s="1"/>
      <c r="AJ943" s="1"/>
      <c r="AK943" s="1"/>
      <c r="AL943" s="1"/>
      <c r="AM943" s="1"/>
      <c r="AN943" s="1"/>
      <c r="AO943" s="1"/>
      <c r="AP943" s="1"/>
      <c r="AQ943" s="1"/>
      <c r="AR943" s="1"/>
      <c r="AS943" s="1"/>
      <c r="AT943" s="1"/>
      <c r="AU943" s="1"/>
      <c r="AV943" s="1"/>
      <c r="AW943" s="1"/>
      <c r="AX943" s="1"/>
      <c r="AY943" s="1"/>
      <c r="AZ943" s="1"/>
      <c r="BA943" s="1"/>
      <c r="BB943" s="1"/>
      <c r="BC943" s="1"/>
      <c r="BD943" s="1"/>
    </row>
    <row r="944" spans="35:56">
      <c r="AI944" s="1"/>
      <c r="AJ944" s="1"/>
      <c r="AK944" s="1"/>
      <c r="AL944" s="1"/>
      <c r="AM944" s="1"/>
      <c r="AN944" s="1"/>
      <c r="AO944" s="1"/>
      <c r="AP944" s="1"/>
      <c r="AQ944" s="1"/>
      <c r="AR944" s="1"/>
      <c r="AS944" s="1"/>
      <c r="AT944" s="1"/>
      <c r="AU944" s="1"/>
      <c r="AV944" s="1"/>
      <c r="AW944" s="1"/>
      <c r="AX944" s="1"/>
      <c r="AY944" s="1"/>
      <c r="AZ944" s="1"/>
      <c r="BA944" s="1"/>
      <c r="BB944" s="1"/>
      <c r="BC944" s="1"/>
      <c r="BD944" s="1"/>
    </row>
    <row r="945" spans="35:56">
      <c r="AI945" s="1"/>
      <c r="AJ945" s="1"/>
      <c r="AK945" s="1"/>
      <c r="AL945" s="1"/>
      <c r="AM945" s="1"/>
      <c r="AN945" s="1"/>
      <c r="AO945" s="1"/>
      <c r="AP945" s="1"/>
      <c r="AQ945" s="1"/>
      <c r="AR945" s="1"/>
      <c r="AS945" s="1"/>
      <c r="AT945" s="1"/>
      <c r="AU945" s="1"/>
      <c r="AV945" s="1"/>
      <c r="AW945" s="1"/>
      <c r="AX945" s="1"/>
      <c r="AY945" s="1"/>
      <c r="AZ945" s="1"/>
      <c r="BA945" s="1"/>
      <c r="BB945" s="1"/>
      <c r="BC945" s="1"/>
      <c r="BD945" s="1"/>
    </row>
    <row r="946" spans="35:56">
      <c r="AI946" s="1"/>
      <c r="AJ946" s="1"/>
      <c r="AK946" s="1"/>
      <c r="AL946" s="1"/>
      <c r="AM946" s="1"/>
      <c r="AN946" s="1"/>
      <c r="AO946" s="1"/>
      <c r="AP946" s="1"/>
      <c r="AQ946" s="1"/>
      <c r="AR946" s="1"/>
      <c r="AS946" s="1"/>
      <c r="AT946" s="1"/>
      <c r="AU946" s="1"/>
      <c r="AV946" s="1"/>
      <c r="AW946" s="1"/>
      <c r="AX946" s="1"/>
      <c r="AY946" s="1"/>
      <c r="AZ946" s="1"/>
      <c r="BA946" s="1"/>
      <c r="BB946" s="1"/>
      <c r="BC946" s="1"/>
      <c r="BD946" s="1"/>
    </row>
    <row r="947" spans="35:56">
      <c r="AI947" s="1"/>
      <c r="AJ947" s="1"/>
      <c r="AK947" s="1"/>
      <c r="AL947" s="1"/>
      <c r="AM947" s="1"/>
      <c r="AN947" s="1"/>
      <c r="AO947" s="1"/>
      <c r="AP947" s="1"/>
      <c r="AQ947" s="1"/>
      <c r="AR947" s="1"/>
      <c r="AS947" s="1"/>
      <c r="AT947" s="1"/>
      <c r="AU947" s="1"/>
      <c r="AV947" s="1"/>
      <c r="AW947" s="1"/>
      <c r="AX947" s="1"/>
      <c r="AY947" s="1"/>
      <c r="AZ947" s="1"/>
      <c r="BA947" s="1"/>
      <c r="BB947" s="1"/>
      <c r="BC947" s="1"/>
      <c r="BD947" s="1"/>
    </row>
    <row r="948" spans="35:56">
      <c r="AI948" s="1"/>
      <c r="AJ948" s="1"/>
      <c r="AK948" s="1"/>
      <c r="AL948" s="1"/>
      <c r="AM948" s="1"/>
      <c r="AN948" s="1"/>
      <c r="AO948" s="1"/>
      <c r="AP948" s="1"/>
      <c r="AQ948" s="1"/>
      <c r="AR948" s="1"/>
      <c r="AS948" s="1"/>
      <c r="AT948" s="1"/>
      <c r="AU948" s="1"/>
      <c r="AV948" s="1"/>
      <c r="AW948" s="1"/>
      <c r="AX948" s="1"/>
      <c r="AY948" s="1"/>
      <c r="AZ948" s="1"/>
      <c r="BA948" s="1"/>
      <c r="BB948" s="1"/>
      <c r="BC948" s="1"/>
      <c r="BD948" s="1"/>
    </row>
    <row r="949" spans="35:56">
      <c r="AI949" s="1"/>
      <c r="AJ949" s="1"/>
      <c r="AK949" s="1"/>
      <c r="AL949" s="1"/>
      <c r="AM949" s="1"/>
      <c r="AN949" s="1"/>
      <c r="AO949" s="1"/>
      <c r="AP949" s="1"/>
      <c r="AQ949" s="1"/>
      <c r="AR949" s="1"/>
      <c r="AS949" s="1"/>
      <c r="AT949" s="1"/>
      <c r="AU949" s="1"/>
      <c r="AV949" s="1"/>
      <c r="AW949" s="1"/>
      <c r="AX949" s="1"/>
      <c r="AY949" s="1"/>
      <c r="AZ949" s="1"/>
      <c r="BA949" s="1"/>
      <c r="BB949" s="1"/>
      <c r="BC949" s="1"/>
      <c r="BD949" s="1"/>
    </row>
    <row r="950" spans="35:56">
      <c r="AI950" s="1"/>
      <c r="AJ950" s="1"/>
      <c r="AK950" s="1"/>
      <c r="AL950" s="1"/>
      <c r="AM950" s="1"/>
      <c r="AN950" s="1"/>
      <c r="AO950" s="1"/>
      <c r="AP950" s="1"/>
      <c r="AQ950" s="1"/>
      <c r="AR950" s="1"/>
      <c r="AS950" s="1"/>
      <c r="AT950" s="1"/>
      <c r="AU950" s="1"/>
      <c r="AV950" s="1"/>
      <c r="AW950" s="1"/>
      <c r="AX950" s="1"/>
      <c r="AY950" s="1"/>
      <c r="AZ950" s="1"/>
      <c r="BA950" s="1"/>
      <c r="BB950" s="1"/>
      <c r="BC950" s="1"/>
      <c r="BD950" s="1"/>
    </row>
    <row r="951" spans="35:56">
      <c r="AI951" s="1"/>
      <c r="AJ951" s="1"/>
      <c r="AK951" s="1"/>
      <c r="AL951" s="1"/>
      <c r="AM951" s="1"/>
      <c r="AN951" s="1"/>
      <c r="AO951" s="1"/>
      <c r="AP951" s="1"/>
      <c r="AQ951" s="1"/>
      <c r="AR951" s="1"/>
      <c r="AS951" s="1"/>
      <c r="AT951" s="1"/>
      <c r="AU951" s="1"/>
      <c r="AV951" s="1"/>
      <c r="AW951" s="1"/>
      <c r="AX951" s="1"/>
      <c r="AY951" s="1"/>
      <c r="AZ951" s="1"/>
      <c r="BA951" s="1"/>
      <c r="BB951" s="1"/>
      <c r="BC951" s="1"/>
      <c r="BD951" s="1"/>
    </row>
    <row r="952" spans="35:56">
      <c r="AI952" s="1"/>
      <c r="AJ952" s="1"/>
      <c r="AK952" s="1"/>
      <c r="AL952" s="1"/>
      <c r="AM952" s="1"/>
      <c r="AN952" s="1"/>
      <c r="AO952" s="1"/>
      <c r="AP952" s="1"/>
      <c r="AQ952" s="1"/>
      <c r="AR952" s="1"/>
      <c r="AS952" s="1"/>
      <c r="AT952" s="1"/>
      <c r="AU952" s="1"/>
      <c r="AV952" s="1"/>
      <c r="AW952" s="1"/>
      <c r="AX952" s="1"/>
      <c r="AY952" s="1"/>
      <c r="AZ952" s="1"/>
      <c r="BA952" s="1"/>
      <c r="BB952" s="1"/>
      <c r="BC952" s="1"/>
      <c r="BD952" s="1"/>
    </row>
    <row r="953" spans="35:56">
      <c r="AI953" s="1"/>
      <c r="AJ953" s="1"/>
      <c r="AK953" s="1"/>
      <c r="AL953" s="1"/>
      <c r="AM953" s="1"/>
      <c r="AN953" s="1"/>
      <c r="AO953" s="1"/>
      <c r="AP953" s="1"/>
      <c r="AQ953" s="1"/>
      <c r="AR953" s="1"/>
      <c r="AS953" s="1"/>
      <c r="AT953" s="1"/>
      <c r="AU953" s="1"/>
      <c r="AV953" s="1"/>
      <c r="AW953" s="1"/>
      <c r="AX953" s="1"/>
      <c r="AY953" s="1"/>
      <c r="AZ953" s="1"/>
      <c r="BA953" s="1"/>
      <c r="BB953" s="1"/>
      <c r="BC953" s="1"/>
      <c r="BD953" s="1"/>
    </row>
    <row r="954" spans="35:56">
      <c r="AI954" s="1"/>
      <c r="AJ954" s="1"/>
      <c r="AK954" s="1"/>
      <c r="AL954" s="1"/>
      <c r="AM954" s="1"/>
      <c r="AN954" s="1"/>
      <c r="AO954" s="1"/>
      <c r="AP954" s="1"/>
      <c r="AQ954" s="1"/>
      <c r="AR954" s="1"/>
      <c r="AS954" s="1"/>
      <c r="AT954" s="1"/>
      <c r="AU954" s="1"/>
      <c r="AV954" s="1"/>
      <c r="AW954" s="1"/>
      <c r="AX954" s="1"/>
      <c r="AY954" s="1"/>
      <c r="AZ954" s="1"/>
      <c r="BA954" s="1"/>
      <c r="BB954" s="1"/>
      <c r="BC954" s="1"/>
      <c r="BD954" s="1"/>
    </row>
    <row r="955" spans="35:56">
      <c r="AI955" s="1"/>
      <c r="AJ955" s="1"/>
      <c r="AK955" s="1"/>
      <c r="AL955" s="1"/>
      <c r="AM955" s="1"/>
      <c r="AN955" s="1"/>
      <c r="AO955" s="1"/>
      <c r="AP955" s="1"/>
      <c r="AQ955" s="1"/>
      <c r="AR955" s="1"/>
      <c r="AS955" s="1"/>
      <c r="AT955" s="1"/>
      <c r="AU955" s="1"/>
      <c r="AV955" s="1"/>
      <c r="AW955" s="1"/>
      <c r="AX955" s="1"/>
      <c r="AY955" s="1"/>
      <c r="AZ955" s="1"/>
      <c r="BA955" s="1"/>
      <c r="BB955" s="1"/>
      <c r="BC955" s="1"/>
      <c r="BD955" s="1"/>
    </row>
    <row r="956" spans="35:56">
      <c r="AI956" s="1"/>
      <c r="AJ956" s="1"/>
      <c r="AK956" s="1"/>
      <c r="AL956" s="1"/>
      <c r="AM956" s="1"/>
      <c r="AN956" s="1"/>
      <c r="AO956" s="1"/>
      <c r="AP956" s="1"/>
      <c r="AQ956" s="1"/>
      <c r="AR956" s="1"/>
      <c r="AS956" s="1"/>
      <c r="AT956" s="1"/>
      <c r="AU956" s="1"/>
      <c r="AV956" s="1"/>
      <c r="AW956" s="1"/>
      <c r="AX956" s="1"/>
      <c r="AY956" s="1"/>
      <c r="AZ956" s="1"/>
      <c r="BA956" s="1"/>
      <c r="BB956" s="1"/>
      <c r="BC956" s="1"/>
      <c r="BD956" s="1"/>
    </row>
    <row r="957" spans="35:56">
      <c r="AI957" s="1"/>
      <c r="AJ957" s="1"/>
      <c r="AK957" s="1"/>
      <c r="AL957" s="1"/>
      <c r="AM957" s="1"/>
      <c r="AN957" s="1"/>
      <c r="AO957" s="1"/>
      <c r="AP957" s="1"/>
      <c r="AQ957" s="1"/>
      <c r="AR957" s="1"/>
      <c r="AS957" s="1"/>
      <c r="AT957" s="1"/>
      <c r="AU957" s="1"/>
      <c r="AV957" s="1"/>
      <c r="AW957" s="1"/>
      <c r="AX957" s="1"/>
      <c r="AY957" s="1"/>
      <c r="AZ957" s="1"/>
      <c r="BA957" s="1"/>
      <c r="BB957" s="1"/>
      <c r="BC957" s="1"/>
      <c r="BD957" s="1"/>
    </row>
    <row r="958" spans="35:56">
      <c r="AI958" s="1"/>
      <c r="AJ958" s="1"/>
      <c r="AK958" s="1"/>
      <c r="AL958" s="1"/>
      <c r="AM958" s="1"/>
      <c r="AN958" s="1"/>
      <c r="AO958" s="1"/>
      <c r="AP958" s="1"/>
      <c r="AQ958" s="1"/>
      <c r="AR958" s="1"/>
      <c r="AS958" s="1"/>
      <c r="AT958" s="1"/>
      <c r="AU958" s="1"/>
      <c r="AV958" s="1"/>
      <c r="AW958" s="1"/>
      <c r="AX958" s="1"/>
      <c r="AY958" s="1"/>
      <c r="AZ958" s="1"/>
      <c r="BA958" s="1"/>
      <c r="BB958" s="1"/>
      <c r="BC958" s="1"/>
      <c r="BD958" s="1"/>
    </row>
    <row r="959" spans="35:56">
      <c r="AI959" s="1"/>
      <c r="AJ959" s="1"/>
      <c r="AK959" s="1"/>
      <c r="AL959" s="1"/>
      <c r="AM959" s="1"/>
      <c r="AN959" s="1"/>
      <c r="AO959" s="1"/>
      <c r="AP959" s="1"/>
      <c r="AQ959" s="1"/>
      <c r="AR959" s="1"/>
      <c r="AS959" s="1"/>
      <c r="AT959" s="1"/>
      <c r="AU959" s="1"/>
      <c r="AV959" s="1"/>
      <c r="AW959" s="1"/>
      <c r="AX959" s="1"/>
      <c r="AY959" s="1"/>
      <c r="AZ959" s="1"/>
      <c r="BA959" s="1"/>
      <c r="BB959" s="1"/>
      <c r="BC959" s="1"/>
      <c r="BD959" s="1"/>
    </row>
    <row r="960" spans="35:56">
      <c r="AI960" s="1"/>
      <c r="AJ960" s="1"/>
      <c r="AK960" s="1"/>
      <c r="AL960" s="1"/>
      <c r="AM960" s="1"/>
      <c r="AN960" s="1"/>
      <c r="AO960" s="1"/>
      <c r="AP960" s="1"/>
      <c r="AQ960" s="1"/>
      <c r="AR960" s="1"/>
      <c r="AS960" s="1"/>
      <c r="AT960" s="1"/>
      <c r="AU960" s="1"/>
      <c r="AV960" s="1"/>
      <c r="AW960" s="1"/>
      <c r="AX960" s="1"/>
      <c r="AY960" s="1"/>
      <c r="AZ960" s="1"/>
      <c r="BA960" s="1"/>
      <c r="BB960" s="1"/>
      <c r="BC960" s="1"/>
      <c r="BD960" s="1"/>
    </row>
    <row r="961" spans="35:56">
      <c r="AI961" s="1"/>
      <c r="AJ961" s="1"/>
      <c r="AK961" s="1"/>
      <c r="AL961" s="1"/>
      <c r="AM961" s="1"/>
      <c r="AN961" s="1"/>
      <c r="AO961" s="1"/>
      <c r="AP961" s="1"/>
      <c r="AQ961" s="1"/>
      <c r="AR961" s="1"/>
      <c r="AS961" s="1"/>
      <c r="AT961" s="1"/>
      <c r="AU961" s="1"/>
      <c r="AV961" s="1"/>
      <c r="AW961" s="1"/>
      <c r="AX961" s="1"/>
      <c r="AY961" s="1"/>
      <c r="AZ961" s="1"/>
      <c r="BA961" s="1"/>
      <c r="BB961" s="1"/>
      <c r="BC961" s="1"/>
      <c r="BD961" s="1"/>
    </row>
    <row r="962" spans="35:56">
      <c r="AI962" s="1"/>
      <c r="AJ962" s="1"/>
      <c r="AK962" s="1"/>
      <c r="AL962" s="1"/>
      <c r="AM962" s="1"/>
      <c r="AN962" s="1"/>
      <c r="AO962" s="1"/>
      <c r="AP962" s="1"/>
      <c r="AQ962" s="1"/>
      <c r="AR962" s="1"/>
      <c r="AS962" s="1"/>
      <c r="AT962" s="1"/>
      <c r="AU962" s="1"/>
      <c r="AV962" s="1"/>
      <c r="AW962" s="1"/>
      <c r="AX962" s="1"/>
      <c r="AY962" s="1"/>
      <c r="AZ962" s="1"/>
      <c r="BA962" s="1"/>
      <c r="BB962" s="1"/>
      <c r="BC962" s="1"/>
      <c r="BD962" s="1"/>
    </row>
    <row r="963" spans="35:56">
      <c r="AI963" s="1"/>
      <c r="AJ963" s="1"/>
      <c r="AK963" s="1"/>
      <c r="AL963" s="1"/>
      <c r="AM963" s="1"/>
      <c r="AN963" s="1"/>
      <c r="AO963" s="1"/>
      <c r="AP963" s="1"/>
      <c r="AQ963" s="1"/>
      <c r="AR963" s="1"/>
      <c r="AS963" s="1"/>
      <c r="AT963" s="1"/>
      <c r="AU963" s="1"/>
      <c r="AV963" s="1"/>
      <c r="AW963" s="1"/>
      <c r="AX963" s="1"/>
      <c r="AY963" s="1"/>
      <c r="AZ963" s="1"/>
      <c r="BA963" s="1"/>
      <c r="BB963" s="1"/>
      <c r="BC963" s="1"/>
      <c r="BD963" s="1"/>
    </row>
    <row r="964" spans="35:56">
      <c r="AI964" s="1"/>
      <c r="AJ964" s="1"/>
      <c r="AK964" s="1"/>
      <c r="AL964" s="1"/>
      <c r="AM964" s="1"/>
      <c r="AN964" s="1"/>
      <c r="AO964" s="1"/>
      <c r="AP964" s="1"/>
      <c r="AQ964" s="1"/>
      <c r="AR964" s="1"/>
      <c r="AS964" s="1"/>
      <c r="AT964" s="1"/>
      <c r="AU964" s="1"/>
      <c r="AV964" s="1"/>
      <c r="AW964" s="1"/>
      <c r="AX964" s="1"/>
      <c r="AY964" s="1"/>
      <c r="AZ964" s="1"/>
      <c r="BA964" s="1"/>
      <c r="BB964" s="1"/>
      <c r="BC964" s="1"/>
      <c r="BD964" s="1"/>
    </row>
    <row r="965" spans="35:56">
      <c r="AI965" s="1"/>
      <c r="AJ965" s="1"/>
      <c r="AK965" s="1"/>
      <c r="AL965" s="1"/>
      <c r="AM965" s="1"/>
      <c r="AN965" s="1"/>
      <c r="AO965" s="1"/>
      <c r="AP965" s="1"/>
      <c r="AQ965" s="1"/>
      <c r="AR965" s="1"/>
      <c r="AS965" s="1"/>
      <c r="AT965" s="1"/>
      <c r="AU965" s="1"/>
      <c r="AV965" s="1"/>
      <c r="AW965" s="1"/>
      <c r="AX965" s="1"/>
      <c r="AY965" s="1"/>
      <c r="AZ965" s="1"/>
      <c r="BA965" s="1"/>
      <c r="BB965" s="1"/>
      <c r="BC965" s="1"/>
      <c r="BD965" s="1"/>
    </row>
    <row r="966" spans="35:56">
      <c r="AI966" s="1"/>
      <c r="AJ966" s="1"/>
      <c r="AK966" s="1"/>
      <c r="AL966" s="1"/>
      <c r="AM966" s="1"/>
      <c r="AN966" s="1"/>
      <c r="AO966" s="1"/>
      <c r="AP966" s="1"/>
      <c r="AQ966" s="1"/>
      <c r="AR966" s="1"/>
      <c r="AS966" s="1"/>
      <c r="AT966" s="1"/>
      <c r="AU966" s="1"/>
      <c r="AV966" s="1"/>
      <c r="AW966" s="1"/>
      <c r="AX966" s="1"/>
      <c r="AY966" s="1"/>
      <c r="AZ966" s="1"/>
      <c r="BA966" s="1"/>
      <c r="BB966" s="1"/>
      <c r="BC966" s="1"/>
      <c r="BD966" s="1"/>
    </row>
    <row r="967" spans="35:56">
      <c r="AI967" s="1"/>
      <c r="AJ967" s="1"/>
      <c r="AK967" s="1"/>
      <c r="AL967" s="1"/>
      <c r="AM967" s="1"/>
      <c r="AN967" s="1"/>
      <c r="AO967" s="1"/>
      <c r="AP967" s="1"/>
      <c r="AQ967" s="1"/>
      <c r="AR967" s="1"/>
      <c r="AS967" s="1"/>
      <c r="AT967" s="1"/>
      <c r="AU967" s="1"/>
      <c r="AV967" s="1"/>
      <c r="AW967" s="1"/>
      <c r="AX967" s="1"/>
      <c r="AY967" s="1"/>
      <c r="AZ967" s="1"/>
      <c r="BA967" s="1"/>
      <c r="BB967" s="1"/>
      <c r="BC967" s="1"/>
      <c r="BD967" s="1"/>
    </row>
    <row r="968" spans="35:56">
      <c r="AI968" s="1"/>
      <c r="AJ968" s="1"/>
      <c r="AK968" s="1"/>
      <c r="AL968" s="1"/>
      <c r="AM968" s="1"/>
      <c r="AN968" s="1"/>
      <c r="AO968" s="1"/>
      <c r="AP968" s="1"/>
      <c r="AQ968" s="1"/>
      <c r="AR968" s="1"/>
      <c r="AS968" s="1"/>
      <c r="AT968" s="1"/>
      <c r="AU968" s="1"/>
      <c r="AV968" s="1"/>
      <c r="AW968" s="1"/>
      <c r="AX968" s="1"/>
      <c r="AY968" s="1"/>
      <c r="AZ968" s="1"/>
      <c r="BA968" s="1"/>
      <c r="BB968" s="1"/>
      <c r="BC968" s="1"/>
      <c r="BD968" s="1"/>
    </row>
    <row r="969" spans="35:56">
      <c r="AI969" s="1"/>
      <c r="AJ969" s="1"/>
      <c r="AK969" s="1"/>
      <c r="AL969" s="1"/>
      <c r="AM969" s="1"/>
      <c r="AN969" s="1"/>
      <c r="AO969" s="1"/>
      <c r="AP969" s="1"/>
      <c r="AQ969" s="1"/>
      <c r="AR969" s="1"/>
      <c r="AS969" s="1"/>
      <c r="AT969" s="1"/>
      <c r="AU969" s="1"/>
      <c r="AV969" s="1"/>
      <c r="AW969" s="1"/>
      <c r="AX969" s="1"/>
      <c r="AY969" s="1"/>
      <c r="AZ969" s="1"/>
      <c r="BA969" s="1"/>
      <c r="BB969" s="1"/>
      <c r="BC969" s="1"/>
      <c r="BD969" s="1"/>
    </row>
    <row r="970" spans="35:56">
      <c r="AI970" s="1"/>
      <c r="AJ970" s="1"/>
      <c r="AK970" s="1"/>
      <c r="AL970" s="1"/>
      <c r="AM970" s="1"/>
      <c r="AN970" s="1"/>
      <c r="AO970" s="1"/>
      <c r="AP970" s="1"/>
      <c r="AQ970" s="1"/>
      <c r="AR970" s="1"/>
      <c r="AS970" s="1"/>
      <c r="AT970" s="1"/>
      <c r="AU970" s="1"/>
      <c r="AV970" s="1"/>
      <c r="AW970" s="1"/>
      <c r="AX970" s="1"/>
      <c r="AY970" s="1"/>
      <c r="AZ970" s="1"/>
      <c r="BA970" s="1"/>
      <c r="BB970" s="1"/>
      <c r="BC970" s="1"/>
      <c r="BD970" s="1"/>
    </row>
    <row r="971" spans="35:56">
      <c r="AI971" s="1"/>
      <c r="AJ971" s="1"/>
      <c r="AK971" s="1"/>
      <c r="AL971" s="1"/>
      <c r="AM971" s="1"/>
      <c r="AN971" s="1"/>
      <c r="AO971" s="1"/>
      <c r="AP971" s="1"/>
      <c r="AQ971" s="1"/>
      <c r="AR971" s="1"/>
      <c r="AS971" s="1"/>
      <c r="AT971" s="1"/>
      <c r="AU971" s="1"/>
      <c r="AV971" s="1"/>
      <c r="AW971" s="1"/>
      <c r="AX971" s="1"/>
      <c r="AY971" s="1"/>
      <c r="AZ971" s="1"/>
      <c r="BA971" s="1"/>
      <c r="BB971" s="1"/>
      <c r="BC971" s="1"/>
      <c r="BD971" s="1"/>
    </row>
    <row r="972" spans="35:56">
      <c r="AI972" s="1"/>
      <c r="AJ972" s="1"/>
      <c r="AK972" s="1"/>
      <c r="AL972" s="1"/>
      <c r="AM972" s="1"/>
      <c r="AN972" s="1"/>
      <c r="AO972" s="1"/>
      <c r="AP972" s="1"/>
      <c r="AQ972" s="1"/>
      <c r="AR972" s="1"/>
      <c r="AS972" s="1"/>
      <c r="AT972" s="1"/>
      <c r="AU972" s="1"/>
      <c r="AV972" s="1"/>
      <c r="AW972" s="1"/>
      <c r="AX972" s="1"/>
      <c r="AY972" s="1"/>
      <c r="AZ972" s="1"/>
      <c r="BA972" s="1"/>
      <c r="BB972" s="1"/>
      <c r="BC972" s="1"/>
      <c r="BD972" s="1"/>
    </row>
    <row r="973" spans="35:56">
      <c r="AI973" s="1"/>
      <c r="AJ973" s="1"/>
      <c r="AK973" s="1"/>
      <c r="AL973" s="1"/>
      <c r="AM973" s="1"/>
      <c r="AN973" s="1"/>
      <c r="AO973" s="1"/>
      <c r="AP973" s="1"/>
      <c r="AQ973" s="1"/>
      <c r="AR973" s="1"/>
      <c r="AS973" s="1"/>
      <c r="AT973" s="1"/>
      <c r="AU973" s="1"/>
      <c r="AV973" s="1"/>
      <c r="AW973" s="1"/>
      <c r="AX973" s="1"/>
      <c r="AY973" s="1"/>
      <c r="AZ973" s="1"/>
      <c r="BA973" s="1"/>
      <c r="BB973" s="1"/>
      <c r="BC973" s="1"/>
      <c r="BD973" s="1"/>
    </row>
    <row r="974" spans="35:56">
      <c r="AI974" s="1"/>
      <c r="AJ974" s="1"/>
      <c r="AK974" s="1"/>
      <c r="AL974" s="1"/>
      <c r="AM974" s="1"/>
      <c r="AN974" s="1"/>
      <c r="AO974" s="1"/>
      <c r="AP974" s="1"/>
      <c r="AQ974" s="1"/>
      <c r="AR974" s="1"/>
      <c r="AS974" s="1"/>
      <c r="AT974" s="1"/>
      <c r="AU974" s="1"/>
      <c r="AV974" s="1"/>
      <c r="AW974" s="1"/>
      <c r="AX974" s="1"/>
      <c r="AY974" s="1"/>
      <c r="AZ974" s="1"/>
      <c r="BA974" s="1"/>
      <c r="BB974" s="1"/>
      <c r="BC974" s="1"/>
      <c r="BD974" s="1"/>
    </row>
    <row r="975" spans="35:56">
      <c r="AI975" s="1"/>
      <c r="AJ975" s="1"/>
      <c r="AK975" s="1"/>
      <c r="AL975" s="1"/>
      <c r="AM975" s="1"/>
      <c r="AN975" s="1"/>
      <c r="AO975" s="1"/>
      <c r="AP975" s="1"/>
      <c r="AQ975" s="1"/>
      <c r="AR975" s="1"/>
      <c r="AS975" s="1"/>
      <c r="AT975" s="1"/>
      <c r="AU975" s="1"/>
      <c r="AV975" s="1"/>
      <c r="AW975" s="1"/>
      <c r="AX975" s="1"/>
      <c r="AY975" s="1"/>
      <c r="AZ975" s="1"/>
      <c r="BA975" s="1"/>
      <c r="BB975" s="1"/>
      <c r="BC975" s="1"/>
      <c r="BD975" s="1"/>
    </row>
    <row r="976" spans="35:56">
      <c r="AI976" s="1"/>
      <c r="AJ976" s="1"/>
      <c r="AK976" s="1"/>
      <c r="AL976" s="1"/>
      <c r="AM976" s="1"/>
      <c r="AN976" s="1"/>
      <c r="AO976" s="1"/>
      <c r="AP976" s="1"/>
      <c r="AQ976" s="1"/>
      <c r="AR976" s="1"/>
      <c r="AS976" s="1"/>
      <c r="AT976" s="1"/>
      <c r="AU976" s="1"/>
      <c r="AV976" s="1"/>
      <c r="AW976" s="1"/>
      <c r="AX976" s="1"/>
      <c r="AY976" s="1"/>
      <c r="AZ976" s="1"/>
      <c r="BA976" s="1"/>
      <c r="BB976" s="1"/>
      <c r="BC976" s="1"/>
      <c r="BD976" s="1"/>
    </row>
    <row r="977" spans="35:56">
      <c r="AI977" s="1"/>
      <c r="AJ977" s="1"/>
      <c r="AK977" s="1"/>
      <c r="AL977" s="1"/>
      <c r="AM977" s="1"/>
      <c r="AN977" s="1"/>
      <c r="AO977" s="1"/>
      <c r="AP977" s="1"/>
      <c r="AQ977" s="1"/>
      <c r="AR977" s="1"/>
      <c r="AS977" s="1"/>
      <c r="AT977" s="1"/>
      <c r="AU977" s="1"/>
      <c r="AV977" s="1"/>
      <c r="AW977" s="1"/>
      <c r="AX977" s="1"/>
      <c r="AY977" s="1"/>
      <c r="AZ977" s="1"/>
      <c r="BA977" s="1"/>
      <c r="BB977" s="1"/>
      <c r="BC977" s="1"/>
      <c r="BD977" s="1"/>
    </row>
    <row r="978" spans="35:56">
      <c r="AI978" s="1"/>
      <c r="AJ978" s="1"/>
      <c r="AK978" s="1"/>
      <c r="AL978" s="1"/>
      <c r="AM978" s="1"/>
      <c r="AN978" s="1"/>
      <c r="AO978" s="1"/>
      <c r="AP978" s="1"/>
      <c r="AQ978" s="1"/>
      <c r="AR978" s="1"/>
      <c r="AS978" s="1"/>
      <c r="AT978" s="1"/>
      <c r="AU978" s="1"/>
      <c r="AV978" s="1"/>
      <c r="AW978" s="1"/>
      <c r="AX978" s="1"/>
      <c r="AY978" s="1"/>
      <c r="AZ978" s="1"/>
      <c r="BA978" s="1"/>
      <c r="BB978" s="1"/>
      <c r="BC978" s="1"/>
      <c r="BD978" s="1"/>
    </row>
    <row r="979" spans="35:56">
      <c r="AI979" s="1"/>
      <c r="AJ979" s="1"/>
      <c r="AK979" s="1"/>
      <c r="AL979" s="1"/>
      <c r="AM979" s="1"/>
      <c r="AN979" s="1"/>
      <c r="AO979" s="1"/>
      <c r="AP979" s="1"/>
      <c r="AQ979" s="1"/>
      <c r="AR979" s="1"/>
      <c r="AS979" s="1"/>
      <c r="AT979" s="1"/>
      <c r="AU979" s="1"/>
      <c r="AV979" s="1"/>
      <c r="AW979" s="1"/>
      <c r="AX979" s="1"/>
      <c r="AY979" s="1"/>
      <c r="AZ979" s="1"/>
      <c r="BA979" s="1"/>
      <c r="BB979" s="1"/>
      <c r="BC979" s="1"/>
      <c r="BD979" s="1"/>
    </row>
    <row r="980" spans="35:56">
      <c r="AI980" s="1"/>
      <c r="AJ980" s="1"/>
      <c r="AK980" s="1"/>
      <c r="AL980" s="1"/>
      <c r="AM980" s="1"/>
      <c r="AN980" s="1"/>
      <c r="AO980" s="1"/>
      <c r="AP980" s="1"/>
      <c r="AQ980" s="1"/>
      <c r="AR980" s="1"/>
      <c r="AS980" s="1"/>
      <c r="AT980" s="1"/>
      <c r="AU980" s="1"/>
      <c r="AV980" s="1"/>
      <c r="AW980" s="1"/>
      <c r="AX980" s="1"/>
      <c r="AY980" s="1"/>
      <c r="AZ980" s="1"/>
      <c r="BA980" s="1"/>
      <c r="BB980" s="1"/>
      <c r="BC980" s="1"/>
      <c r="BD980" s="1"/>
    </row>
    <row r="981" spans="35:56">
      <c r="AI981" s="1"/>
      <c r="AJ981" s="1"/>
      <c r="AK981" s="1"/>
      <c r="AL981" s="1"/>
      <c r="AM981" s="1"/>
      <c r="AN981" s="1"/>
      <c r="AO981" s="1"/>
      <c r="AP981" s="1"/>
      <c r="AQ981" s="1"/>
      <c r="AR981" s="1"/>
      <c r="AS981" s="1"/>
      <c r="AT981" s="1"/>
      <c r="AU981" s="1"/>
      <c r="AV981" s="1"/>
      <c r="AW981" s="1"/>
      <c r="AX981" s="1"/>
      <c r="AY981" s="1"/>
      <c r="AZ981" s="1"/>
      <c r="BA981" s="1"/>
      <c r="BB981" s="1"/>
      <c r="BC981" s="1"/>
      <c r="BD981" s="1"/>
    </row>
    <row r="982" spans="35:56">
      <c r="AI982" s="1"/>
      <c r="AJ982" s="1"/>
      <c r="AK982" s="1"/>
      <c r="AL982" s="1"/>
      <c r="AM982" s="1"/>
      <c r="AN982" s="1"/>
      <c r="AO982" s="1"/>
      <c r="AP982" s="1"/>
      <c r="AQ982" s="1"/>
      <c r="AR982" s="1"/>
      <c r="AS982" s="1"/>
      <c r="AT982" s="1"/>
      <c r="AU982" s="1"/>
      <c r="AV982" s="1"/>
      <c r="AW982" s="1"/>
      <c r="AX982" s="1"/>
      <c r="AY982" s="1"/>
      <c r="AZ982" s="1"/>
      <c r="BA982" s="1"/>
      <c r="BB982" s="1"/>
      <c r="BC982" s="1"/>
      <c r="BD982" s="1"/>
    </row>
    <row r="983" spans="35:56">
      <c r="AI983" s="1"/>
      <c r="AJ983" s="1"/>
      <c r="AK983" s="1"/>
      <c r="AL983" s="1"/>
      <c r="AM983" s="1"/>
      <c r="AN983" s="1"/>
      <c r="AO983" s="1"/>
      <c r="AP983" s="1"/>
      <c r="AQ983" s="1"/>
      <c r="AR983" s="1"/>
      <c r="AS983" s="1"/>
      <c r="AT983" s="1"/>
      <c r="AU983" s="1"/>
      <c r="AV983" s="1"/>
      <c r="AW983" s="1"/>
      <c r="AX983" s="1"/>
      <c r="AY983" s="1"/>
      <c r="AZ983" s="1"/>
      <c r="BA983" s="1"/>
      <c r="BB983" s="1"/>
      <c r="BC983" s="1"/>
      <c r="BD983" s="1"/>
    </row>
    <row r="984" spans="35:56">
      <c r="AI984" s="1"/>
      <c r="AJ984" s="1"/>
      <c r="AK984" s="1"/>
      <c r="AL984" s="1"/>
      <c r="AM984" s="1"/>
      <c r="AN984" s="1"/>
      <c r="AO984" s="1"/>
      <c r="AP984" s="1"/>
      <c r="AQ984" s="1"/>
      <c r="AR984" s="1"/>
      <c r="AS984" s="1"/>
      <c r="AT984" s="1"/>
      <c r="AU984" s="1"/>
      <c r="AV984" s="1"/>
      <c r="AW984" s="1"/>
      <c r="AX984" s="1"/>
      <c r="AY984" s="1"/>
      <c r="AZ984" s="1"/>
      <c r="BA984" s="1"/>
      <c r="BB984" s="1"/>
      <c r="BC984" s="1"/>
      <c r="BD984" s="1"/>
    </row>
    <row r="985" spans="35:56">
      <c r="AI985" s="1"/>
      <c r="AJ985" s="1"/>
      <c r="AK985" s="1"/>
      <c r="AL985" s="1"/>
      <c r="AM985" s="1"/>
      <c r="AN985" s="1"/>
      <c r="AO985" s="1"/>
      <c r="AP985" s="1"/>
      <c r="AQ985" s="1"/>
      <c r="AR985" s="1"/>
      <c r="AS985" s="1"/>
      <c r="AT985" s="1"/>
      <c r="AU985" s="1"/>
      <c r="AV985" s="1"/>
      <c r="AW985" s="1"/>
      <c r="AX985" s="1"/>
      <c r="AY985" s="1"/>
      <c r="AZ985" s="1"/>
      <c r="BA985" s="1"/>
      <c r="BB985" s="1"/>
      <c r="BC985" s="1"/>
      <c r="BD985" s="1"/>
    </row>
    <row r="986" spans="35:56">
      <c r="AI986" s="1"/>
      <c r="AJ986" s="1"/>
      <c r="AK986" s="1"/>
      <c r="AL986" s="1"/>
      <c r="AM986" s="1"/>
      <c r="AN986" s="1"/>
      <c r="AO986" s="1"/>
      <c r="AP986" s="1"/>
      <c r="AQ986" s="1"/>
      <c r="AR986" s="1"/>
      <c r="AS986" s="1"/>
      <c r="AT986" s="1"/>
      <c r="AU986" s="1"/>
      <c r="AV986" s="1"/>
      <c r="AW986" s="1"/>
      <c r="AX986" s="1"/>
      <c r="AY986" s="1"/>
      <c r="AZ986" s="1"/>
      <c r="BA986" s="1"/>
      <c r="BB986" s="1"/>
      <c r="BC986" s="1"/>
      <c r="BD986" s="1"/>
    </row>
    <row r="987" spans="35:56">
      <c r="AI987" s="1"/>
      <c r="AJ987" s="1"/>
      <c r="AK987" s="1"/>
      <c r="AL987" s="1"/>
      <c r="AM987" s="1"/>
      <c r="AN987" s="1"/>
      <c r="AO987" s="1"/>
      <c r="AP987" s="1"/>
      <c r="AQ987" s="1"/>
      <c r="AR987" s="1"/>
      <c r="AS987" s="1"/>
      <c r="AT987" s="1"/>
      <c r="AU987" s="1"/>
      <c r="AV987" s="1"/>
      <c r="AW987" s="1"/>
      <c r="AX987" s="1"/>
      <c r="AY987" s="1"/>
      <c r="AZ987" s="1"/>
      <c r="BA987" s="1"/>
      <c r="BB987" s="1"/>
      <c r="BC987" s="1"/>
      <c r="BD987" s="1"/>
    </row>
    <row r="988" spans="35:56">
      <c r="AI988" s="1"/>
      <c r="AJ988" s="1"/>
      <c r="AK988" s="1"/>
      <c r="AL988" s="1"/>
      <c r="AM988" s="1"/>
      <c r="AN988" s="1"/>
      <c r="AO988" s="1"/>
      <c r="AP988" s="1"/>
      <c r="AQ988" s="1"/>
      <c r="AR988" s="1"/>
      <c r="AS988" s="1"/>
      <c r="AT988" s="1"/>
      <c r="AU988" s="1"/>
      <c r="AV988" s="1"/>
      <c r="AW988" s="1"/>
      <c r="AX988" s="1"/>
      <c r="AY988" s="1"/>
      <c r="AZ988" s="1"/>
      <c r="BA988" s="1"/>
      <c r="BB988" s="1"/>
      <c r="BC988" s="1"/>
      <c r="BD988" s="1"/>
    </row>
    <row r="989" spans="35:56">
      <c r="AI989" s="1"/>
      <c r="AJ989" s="1"/>
      <c r="AK989" s="1"/>
      <c r="AL989" s="1"/>
      <c r="AM989" s="1"/>
      <c r="AN989" s="1"/>
      <c r="AO989" s="1"/>
      <c r="AP989" s="1"/>
      <c r="AQ989" s="1"/>
      <c r="AR989" s="1"/>
      <c r="AS989" s="1"/>
      <c r="AT989" s="1"/>
      <c r="AU989" s="1"/>
      <c r="AV989" s="1"/>
      <c r="AW989" s="1"/>
      <c r="AX989" s="1"/>
      <c r="AY989" s="1"/>
      <c r="AZ989" s="1"/>
      <c r="BA989" s="1"/>
      <c r="BB989" s="1"/>
      <c r="BC989" s="1"/>
      <c r="BD989" s="1"/>
    </row>
    <row r="990" spans="35:56">
      <c r="AI990" s="1"/>
      <c r="AJ990" s="1"/>
      <c r="AK990" s="1"/>
      <c r="AL990" s="1"/>
      <c r="AM990" s="1"/>
      <c r="AN990" s="1"/>
      <c r="AO990" s="1"/>
      <c r="AP990" s="1"/>
      <c r="AQ990" s="1"/>
      <c r="AR990" s="1"/>
      <c r="AS990" s="1"/>
      <c r="AT990" s="1"/>
      <c r="AU990" s="1"/>
      <c r="AV990" s="1"/>
      <c r="AW990" s="1"/>
      <c r="AX990" s="1"/>
      <c r="AY990" s="1"/>
      <c r="AZ990" s="1"/>
      <c r="BA990" s="1"/>
      <c r="BB990" s="1"/>
      <c r="BC990" s="1"/>
      <c r="BD990" s="1"/>
    </row>
    <row r="991" spans="35:56">
      <c r="AI991" s="1"/>
      <c r="AJ991" s="1"/>
      <c r="AK991" s="1"/>
      <c r="AL991" s="1"/>
      <c r="AM991" s="1"/>
      <c r="AN991" s="1"/>
      <c r="AO991" s="1"/>
      <c r="AP991" s="1"/>
      <c r="AQ991" s="1"/>
      <c r="AR991" s="1"/>
      <c r="AS991" s="1"/>
      <c r="AT991" s="1"/>
      <c r="AU991" s="1"/>
      <c r="AV991" s="1"/>
      <c r="AW991" s="1"/>
      <c r="AX991" s="1"/>
      <c r="AY991" s="1"/>
      <c r="AZ991" s="1"/>
      <c r="BA991" s="1"/>
      <c r="BB991" s="1"/>
      <c r="BC991" s="1"/>
      <c r="BD991" s="1"/>
    </row>
    <row r="992" spans="35:56">
      <c r="AI992" s="1"/>
      <c r="AJ992" s="1"/>
      <c r="AK992" s="1"/>
      <c r="AL992" s="1"/>
      <c r="AM992" s="1"/>
      <c r="AN992" s="1"/>
      <c r="AO992" s="1"/>
      <c r="AP992" s="1"/>
      <c r="AQ992" s="1"/>
      <c r="AR992" s="1"/>
      <c r="AS992" s="1"/>
      <c r="AT992" s="1"/>
      <c r="AU992" s="1"/>
      <c r="AV992" s="1"/>
      <c r="AW992" s="1"/>
      <c r="AX992" s="1"/>
      <c r="AY992" s="1"/>
      <c r="AZ992" s="1"/>
      <c r="BA992" s="1"/>
      <c r="BB992" s="1"/>
      <c r="BC992" s="1"/>
      <c r="BD992" s="1"/>
    </row>
    <row r="993" spans="35:56">
      <c r="AI993" s="1"/>
      <c r="AJ993" s="1"/>
      <c r="AK993" s="1"/>
      <c r="AL993" s="1"/>
      <c r="AM993" s="1"/>
      <c r="AN993" s="1"/>
      <c r="AO993" s="1"/>
      <c r="AP993" s="1"/>
      <c r="AQ993" s="1"/>
      <c r="AR993" s="1"/>
      <c r="AS993" s="1"/>
      <c r="AT993" s="1"/>
      <c r="AU993" s="1"/>
      <c r="AV993" s="1"/>
      <c r="AW993" s="1"/>
      <c r="AX993" s="1"/>
      <c r="AY993" s="1"/>
      <c r="AZ993" s="1"/>
      <c r="BA993" s="1"/>
      <c r="BB993" s="1"/>
      <c r="BC993" s="1"/>
      <c r="BD993" s="1"/>
    </row>
    <row r="994" spans="35:56">
      <c r="AI994" s="1"/>
      <c r="AJ994" s="1"/>
      <c r="AK994" s="1"/>
      <c r="AL994" s="1"/>
      <c r="AM994" s="1"/>
      <c r="AN994" s="1"/>
      <c r="AO994" s="1"/>
      <c r="AP994" s="1"/>
      <c r="AQ994" s="1"/>
      <c r="AR994" s="1"/>
      <c r="AS994" s="1"/>
      <c r="AT994" s="1"/>
      <c r="AU994" s="1"/>
      <c r="AV994" s="1"/>
      <c r="AW994" s="1"/>
      <c r="AX994" s="1"/>
      <c r="AY994" s="1"/>
      <c r="AZ994" s="1"/>
      <c r="BA994" s="1"/>
      <c r="BB994" s="1"/>
      <c r="BC994" s="1"/>
      <c r="BD994" s="1"/>
    </row>
    <row r="995" spans="35:56">
      <c r="AI995" s="1"/>
      <c r="AJ995" s="1"/>
      <c r="AK995" s="1"/>
      <c r="AL995" s="1"/>
      <c r="AM995" s="1"/>
      <c r="AN995" s="1"/>
      <c r="AO995" s="1"/>
      <c r="AP995" s="1"/>
      <c r="AQ995" s="1"/>
      <c r="AR995" s="1"/>
      <c r="AS995" s="1"/>
      <c r="AT995" s="1"/>
      <c r="AU995" s="1"/>
      <c r="AV995" s="1"/>
      <c r="AW995" s="1"/>
      <c r="AX995" s="1"/>
      <c r="AY995" s="1"/>
      <c r="AZ995" s="1"/>
      <c r="BA995" s="1"/>
      <c r="BB995" s="1"/>
      <c r="BC995" s="1"/>
      <c r="BD995" s="1"/>
    </row>
    <row r="996" spans="35:56">
      <c r="AI996" s="1"/>
      <c r="AJ996" s="1"/>
      <c r="AK996" s="1"/>
      <c r="AL996" s="1"/>
      <c r="AM996" s="1"/>
      <c r="AN996" s="1"/>
      <c r="AO996" s="1"/>
      <c r="AP996" s="1"/>
      <c r="AQ996" s="1"/>
      <c r="AR996" s="1"/>
      <c r="AS996" s="1"/>
      <c r="AT996" s="1"/>
      <c r="AU996" s="1"/>
      <c r="AV996" s="1"/>
      <c r="AW996" s="1"/>
      <c r="AX996" s="1"/>
      <c r="AY996" s="1"/>
      <c r="AZ996" s="1"/>
      <c r="BA996" s="1"/>
      <c r="BB996" s="1"/>
      <c r="BC996" s="1"/>
      <c r="BD996" s="1"/>
    </row>
    <row r="997" spans="35:56">
      <c r="AI997" s="1"/>
      <c r="AJ997" s="1"/>
      <c r="AK997" s="1"/>
      <c r="AL997" s="1"/>
      <c r="AM997" s="1"/>
      <c r="AN997" s="1"/>
      <c r="AO997" s="1"/>
      <c r="AP997" s="1"/>
      <c r="AQ997" s="1"/>
      <c r="AR997" s="1"/>
      <c r="AS997" s="1"/>
      <c r="AT997" s="1"/>
      <c r="AU997" s="1"/>
      <c r="AV997" s="1"/>
      <c r="AW997" s="1"/>
      <c r="AX997" s="1"/>
      <c r="AY997" s="1"/>
      <c r="AZ997" s="1"/>
      <c r="BA997" s="1"/>
      <c r="BB997" s="1"/>
      <c r="BC997" s="1"/>
      <c r="BD997" s="1"/>
    </row>
    <row r="998" spans="35:56">
      <c r="AI998" s="1"/>
      <c r="AJ998" s="1"/>
      <c r="AK998" s="1"/>
      <c r="AL998" s="1"/>
      <c r="AM998" s="1"/>
      <c r="AN998" s="1"/>
      <c r="AO998" s="1"/>
      <c r="AP998" s="1"/>
      <c r="AQ998" s="1"/>
      <c r="AR998" s="1"/>
      <c r="AS998" s="1"/>
      <c r="AT998" s="1"/>
      <c r="AU998" s="1"/>
      <c r="AV998" s="1"/>
      <c r="AW998" s="1"/>
      <c r="AX998" s="1"/>
      <c r="AY998" s="1"/>
      <c r="AZ998" s="1"/>
      <c r="BA998" s="1"/>
      <c r="BB998" s="1"/>
      <c r="BC998" s="1"/>
      <c r="BD998" s="1"/>
    </row>
    <row r="999" spans="35:56">
      <c r="AI999" s="1"/>
      <c r="AJ999" s="1"/>
      <c r="AK999" s="1"/>
      <c r="AL999" s="1"/>
      <c r="AM999" s="1"/>
      <c r="AN999" s="1"/>
      <c r="AO999" s="1"/>
      <c r="AP999" s="1"/>
      <c r="AQ999" s="1"/>
      <c r="AR999" s="1"/>
      <c r="AS999" s="1"/>
      <c r="AT999" s="1"/>
      <c r="AU999" s="1"/>
      <c r="AV999" s="1"/>
      <c r="AW999" s="1"/>
      <c r="AX999" s="1"/>
      <c r="AY999" s="1"/>
      <c r="AZ999" s="1"/>
      <c r="BA999" s="1"/>
      <c r="BB999" s="1"/>
      <c r="BC999" s="1"/>
      <c r="BD999" s="1"/>
    </row>
    <row r="1000" spans="35:56">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row>
    <row r="1001" spans="35:56">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row>
    <row r="1002" spans="35:56">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row>
    <row r="1003" spans="35:56">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row>
    <row r="1004" spans="35:56">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row>
    <row r="1005" spans="35:56">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row>
    <row r="1006" spans="35:56">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row>
    <row r="1007" spans="35:56">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row>
    <row r="1008" spans="35:56">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row>
    <row r="1009" spans="35:56">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row>
    <row r="1010" spans="35:56">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row>
    <row r="1011" spans="35:56">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row>
    <row r="1012" spans="35:56">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row>
    <row r="1013" spans="35:56">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row>
    <row r="1014" spans="35:56">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row>
    <row r="1015" spans="35:56">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row>
    <row r="1016" spans="35:56">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row>
    <row r="1017" spans="35:56">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row>
    <row r="1018" spans="35:56">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row>
    <row r="1019" spans="35:56">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row>
    <row r="1020" spans="35:56">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row>
    <row r="1021" spans="35:56">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row>
    <row r="1022" spans="35:56">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row>
    <row r="1023" spans="35:56">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row>
    <row r="1024" spans="35:56">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row>
    <row r="1025" spans="35:56">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row>
    <row r="1026" spans="35:56">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row>
    <row r="1027" spans="35:56">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row>
    <row r="1028" spans="35:56">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row>
    <row r="1029" spans="35:56">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row>
    <row r="1030" spans="35:56">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row>
    <row r="1031" spans="35:56">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row>
    <row r="1032" spans="35:56">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row>
    <row r="1033" spans="35:56">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row>
    <row r="1034" spans="35:56">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row>
    <row r="1035" spans="35:56">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row>
    <row r="1036" spans="35:56">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row>
    <row r="1037" spans="35:56">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row>
    <row r="1038" spans="35:56">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row>
    <row r="1039" spans="35:56">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row>
    <row r="1040" spans="35:56">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row>
    <row r="1041" spans="35:56">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row>
    <row r="1042" spans="35:56">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row>
    <row r="1043" spans="35:56">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row>
    <row r="1044" spans="35:56">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row>
    <row r="1045" spans="35:56">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row>
    <row r="1046" spans="35:56">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row>
    <row r="1047" spans="35:56">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row>
    <row r="1048" spans="35:56">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row>
    <row r="1049" spans="35:56">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row>
    <row r="1050" spans="35:56">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row>
    <row r="1051" spans="35:56">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row>
    <row r="1052" spans="35:56">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row>
    <row r="1053" spans="35:56">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row>
    <row r="1054" spans="35:56">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row>
    <row r="1055" spans="35:56">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row>
    <row r="1056" spans="35:56">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row>
    <row r="1057" spans="35:56">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row>
    <row r="1058" spans="35:56">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row>
    <row r="1059" spans="35:56">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row>
    <row r="1060" spans="35:56">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row>
    <row r="1061" spans="35:56">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row>
    <row r="1062" spans="35:56">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row>
    <row r="1063" spans="35:56">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row>
    <row r="1064" spans="35:56">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row>
    <row r="1065" spans="35:56">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row>
    <row r="1066" spans="35:56">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row>
    <row r="1067" spans="35:56">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row>
    <row r="1068" spans="35:56">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row>
    <row r="1069" spans="35:56">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row>
    <row r="1070" spans="35:56">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row>
    <row r="1071" spans="35:56">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row>
    <row r="1072" spans="35:56">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row>
    <row r="1073" spans="35:56">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row>
    <row r="1074" spans="35:56">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row>
    <row r="1075" spans="35:56">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row>
    <row r="1076" spans="35:56">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row>
    <row r="1077" spans="35:56">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row>
    <row r="1078" spans="35:56">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row>
    <row r="1079" spans="35:56">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row>
    <row r="1080" spans="35:56">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row>
    <row r="1081" spans="35:56">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row>
    <row r="1082" spans="35:56">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row>
    <row r="1083" spans="35:56">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row>
    <row r="1084" spans="35:56">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row>
    <row r="1085" spans="35:56">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row>
    <row r="1086" spans="35:56">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row>
    <row r="1087" spans="35:56">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row>
    <row r="1088" spans="35:56">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row>
    <row r="1089" spans="35:56">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row>
    <row r="1090" spans="35:56">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row>
    <row r="1091" spans="35:56">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row>
    <row r="1092" spans="35:56">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row>
    <row r="1093" spans="35:56">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row>
    <row r="1094" spans="35:56">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row>
    <row r="1095" spans="35:56">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row>
    <row r="1096" spans="35:56">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row>
    <row r="1097" spans="35:56">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row>
    <row r="1098" spans="35:56">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row>
    <row r="1099" spans="35:56">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row>
    <row r="1100" spans="35:56">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row>
    <row r="1101" spans="35:56">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row>
    <row r="1102" spans="35:56">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row>
    <row r="1103" spans="35:56">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row>
    <row r="1104" spans="35:56">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row>
    <row r="1105" spans="35:56">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row>
    <row r="1106" spans="35:56">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row>
    <row r="1107" spans="35:56">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row>
    <row r="1108" spans="35:56">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row>
    <row r="1109" spans="35:56">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row>
    <row r="1110" spans="35:56">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row>
    <row r="1111" spans="35:56">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row>
    <row r="1112" spans="35:56">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row>
    <row r="1113" spans="35:56">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row>
    <row r="1114" spans="35:56">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row>
    <row r="1115" spans="35:56">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row>
    <row r="1116" spans="35:56">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row>
    <row r="1117" spans="35:56">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row>
    <row r="1118" spans="35:56">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row>
    <row r="1119" spans="35:56">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row>
    <row r="1120" spans="35:56">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row>
    <row r="1121" spans="35:56">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row>
    <row r="1122" spans="35:56">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row>
    <row r="1123" spans="35:56">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row>
    <row r="1124" spans="35:56">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row>
    <row r="1125" spans="35:56">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row>
    <row r="1126" spans="35:56">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row>
    <row r="1127" spans="35:56">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row>
    <row r="1128" spans="35:56">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row>
    <row r="1129" spans="35:56">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row>
    <row r="1130" spans="35:56">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row>
    <row r="1131" spans="35:56">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row>
    <row r="1132" spans="35:56">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row>
    <row r="1133" spans="35:56">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row>
    <row r="1134" spans="35:56">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row>
    <row r="1135" spans="35:56">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row>
    <row r="1136" spans="35:56">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row>
    <row r="1137" spans="35:56">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row>
    <row r="1138" spans="35:56">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row>
    <row r="1139" spans="35:56">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row>
    <row r="1140" spans="35:56">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row>
    <row r="1141" spans="35:56">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row>
    <row r="1142" spans="35:56">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row>
    <row r="1143" spans="35:56">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row>
    <row r="1144" spans="35:56">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row>
    <row r="1145" spans="35:56">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row>
    <row r="1146" spans="35:56">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row>
    <row r="1147" spans="35:56">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row>
    <row r="1148" spans="35:56">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row>
    <row r="1149" spans="35:56">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row>
    <row r="1150" spans="35:56">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row>
    <row r="1151" spans="35:56">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row>
    <row r="1152" spans="35:56">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row>
    <row r="1153" spans="35:56">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row>
    <row r="1154" spans="35:56">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row>
    <row r="1155" spans="35:56">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row>
    <row r="1156" spans="35:56">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row>
    <row r="1157" spans="35:56">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row>
    <row r="1158" spans="35:56">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row>
    <row r="1159" spans="35:56">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row>
    <row r="1160" spans="35:56">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row>
    <row r="1161" spans="35:56">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row>
    <row r="1162" spans="35:56">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row>
    <row r="1163" spans="35:56">
      <c r="AI1163" s="1"/>
      <c r="AJ1163" s="1"/>
      <c r="AK1163" s="1"/>
      <c r="AL1163" s="1"/>
      <c r="AM1163" s="1"/>
      <c r="AN1163" s="1"/>
      <c r="AO1163" s="1"/>
      <c r="AP1163" s="1"/>
      <c r="AQ1163" s="1"/>
      <c r="AR1163" s="1"/>
      <c r="AS1163" s="1"/>
      <c r="AT1163" s="1"/>
      <c r="AU1163" s="1"/>
      <c r="AV1163" s="1"/>
      <c r="AW1163" s="1"/>
      <c r="AX1163" s="1"/>
      <c r="AY1163" s="1"/>
      <c r="AZ1163" s="1"/>
      <c r="BA1163" s="1"/>
      <c r="BB1163" s="1"/>
      <c r="BC1163" s="1"/>
      <c r="BD1163" s="1"/>
    </row>
    <row r="1164" spans="35:56">
      <c r="AI1164" s="1"/>
      <c r="AJ1164" s="1"/>
      <c r="AK1164" s="1"/>
      <c r="AL1164" s="1"/>
      <c r="AM1164" s="1"/>
      <c r="AN1164" s="1"/>
      <c r="AO1164" s="1"/>
      <c r="AP1164" s="1"/>
      <c r="AQ1164" s="1"/>
      <c r="AR1164" s="1"/>
      <c r="AS1164" s="1"/>
      <c r="AT1164" s="1"/>
      <c r="AU1164" s="1"/>
      <c r="AV1164" s="1"/>
      <c r="AW1164" s="1"/>
      <c r="AX1164" s="1"/>
      <c r="AY1164" s="1"/>
      <c r="AZ1164" s="1"/>
      <c r="BA1164" s="1"/>
      <c r="BB1164" s="1"/>
      <c r="BC1164" s="1"/>
      <c r="BD1164" s="1"/>
    </row>
    <row r="1165" spans="35:56">
      <c r="AI1165" s="1"/>
      <c r="AJ1165" s="1"/>
      <c r="AK1165" s="1"/>
      <c r="AL1165" s="1"/>
      <c r="AM1165" s="1"/>
      <c r="AN1165" s="1"/>
      <c r="AO1165" s="1"/>
      <c r="AP1165" s="1"/>
      <c r="AQ1165" s="1"/>
      <c r="AR1165" s="1"/>
      <c r="AS1165" s="1"/>
      <c r="AT1165" s="1"/>
      <c r="AU1165" s="1"/>
      <c r="AV1165" s="1"/>
      <c r="AW1165" s="1"/>
      <c r="AX1165" s="1"/>
      <c r="AY1165" s="1"/>
      <c r="AZ1165" s="1"/>
      <c r="BA1165" s="1"/>
      <c r="BB1165" s="1"/>
      <c r="BC1165" s="1"/>
      <c r="BD1165" s="1"/>
    </row>
    <row r="1166" spans="35:56">
      <c r="AI1166" s="1"/>
      <c r="AJ1166" s="1"/>
      <c r="AK1166" s="1"/>
      <c r="AL1166" s="1"/>
      <c r="AM1166" s="1"/>
      <c r="AN1166" s="1"/>
      <c r="AO1166" s="1"/>
      <c r="AP1166" s="1"/>
      <c r="AQ1166" s="1"/>
      <c r="AR1166" s="1"/>
      <c r="AS1166" s="1"/>
      <c r="AT1166" s="1"/>
      <c r="AU1166" s="1"/>
      <c r="AV1166" s="1"/>
      <c r="AW1166" s="1"/>
      <c r="AX1166" s="1"/>
      <c r="AY1166" s="1"/>
      <c r="AZ1166" s="1"/>
      <c r="BA1166" s="1"/>
      <c r="BB1166" s="1"/>
      <c r="BC1166" s="1"/>
      <c r="BD1166" s="1"/>
    </row>
    <row r="1167" spans="35:56">
      <c r="AI1167" s="1"/>
      <c r="AJ1167" s="1"/>
      <c r="AK1167" s="1"/>
      <c r="AL1167" s="1"/>
      <c r="AM1167" s="1"/>
      <c r="AN1167" s="1"/>
      <c r="AO1167" s="1"/>
      <c r="AP1167" s="1"/>
      <c r="AQ1167" s="1"/>
      <c r="AR1167" s="1"/>
      <c r="AS1167" s="1"/>
      <c r="AT1167" s="1"/>
      <c r="AU1167" s="1"/>
      <c r="AV1167" s="1"/>
      <c r="AW1167" s="1"/>
      <c r="AX1167" s="1"/>
      <c r="AY1167" s="1"/>
      <c r="AZ1167" s="1"/>
      <c r="BA1167" s="1"/>
      <c r="BB1167" s="1"/>
      <c r="BC1167" s="1"/>
      <c r="BD1167" s="1"/>
    </row>
    <row r="1168" spans="35:56">
      <c r="AI1168" s="1"/>
      <c r="AJ1168" s="1"/>
      <c r="AK1168" s="1"/>
      <c r="AL1168" s="1"/>
      <c r="AM1168" s="1"/>
      <c r="AN1168" s="1"/>
      <c r="AO1168" s="1"/>
      <c r="AP1168" s="1"/>
      <c r="AQ1168" s="1"/>
      <c r="AR1168" s="1"/>
      <c r="AS1168" s="1"/>
      <c r="AT1168" s="1"/>
      <c r="AU1168" s="1"/>
      <c r="AV1168" s="1"/>
      <c r="AW1168" s="1"/>
      <c r="AX1168" s="1"/>
      <c r="AY1168" s="1"/>
      <c r="AZ1168" s="1"/>
      <c r="BA1168" s="1"/>
      <c r="BB1168" s="1"/>
      <c r="BC1168" s="1"/>
      <c r="BD1168" s="1"/>
    </row>
    <row r="1169" spans="35:56">
      <c r="AI1169" s="1"/>
      <c r="AJ1169" s="1"/>
      <c r="AK1169" s="1"/>
      <c r="AL1169" s="1"/>
      <c r="AM1169" s="1"/>
      <c r="AN1169" s="1"/>
      <c r="AO1169" s="1"/>
      <c r="AP1169" s="1"/>
      <c r="AQ1169" s="1"/>
      <c r="AR1169" s="1"/>
      <c r="AS1169" s="1"/>
      <c r="AT1169" s="1"/>
      <c r="AU1169" s="1"/>
      <c r="AV1169" s="1"/>
      <c r="AW1169" s="1"/>
      <c r="AX1169" s="1"/>
      <c r="AY1169" s="1"/>
      <c r="AZ1169" s="1"/>
      <c r="BA1169" s="1"/>
      <c r="BB1169" s="1"/>
      <c r="BC1169" s="1"/>
      <c r="BD1169" s="1"/>
    </row>
    <row r="1170" spans="35:56">
      <c r="AI1170" s="1"/>
      <c r="AJ1170" s="1"/>
      <c r="AK1170" s="1"/>
      <c r="AL1170" s="1"/>
      <c r="AM1170" s="1"/>
      <c r="AN1170" s="1"/>
      <c r="AO1170" s="1"/>
      <c r="AP1170" s="1"/>
      <c r="AQ1170" s="1"/>
      <c r="AR1170" s="1"/>
      <c r="AS1170" s="1"/>
      <c r="AT1170" s="1"/>
      <c r="AU1170" s="1"/>
      <c r="AV1170" s="1"/>
      <c r="AW1170" s="1"/>
      <c r="AX1170" s="1"/>
      <c r="AY1170" s="1"/>
      <c r="AZ1170" s="1"/>
      <c r="BA1170" s="1"/>
      <c r="BB1170" s="1"/>
      <c r="BC1170" s="1"/>
      <c r="BD1170" s="1"/>
    </row>
    <row r="1171" spans="35:56">
      <c r="AI1171" s="1"/>
      <c r="AJ1171" s="1"/>
      <c r="AK1171" s="1"/>
      <c r="AL1171" s="1"/>
      <c r="AM1171" s="1"/>
      <c r="AN1171" s="1"/>
      <c r="AO1171" s="1"/>
      <c r="AP1171" s="1"/>
      <c r="AQ1171" s="1"/>
      <c r="AR1171" s="1"/>
      <c r="AS1171" s="1"/>
      <c r="AT1171" s="1"/>
      <c r="AU1171" s="1"/>
      <c r="AV1171" s="1"/>
      <c r="AW1171" s="1"/>
      <c r="AX1171" s="1"/>
      <c r="AY1171" s="1"/>
      <c r="AZ1171" s="1"/>
      <c r="BA1171" s="1"/>
      <c r="BB1171" s="1"/>
      <c r="BC1171" s="1"/>
      <c r="BD1171" s="1"/>
    </row>
    <row r="1172" spans="35:56">
      <c r="AI1172" s="1"/>
      <c r="AJ1172" s="1"/>
      <c r="AK1172" s="1"/>
      <c r="AL1172" s="1"/>
      <c r="AM1172" s="1"/>
      <c r="AN1172" s="1"/>
      <c r="AO1172" s="1"/>
      <c r="AP1172" s="1"/>
      <c r="AQ1172" s="1"/>
      <c r="AR1172" s="1"/>
      <c r="AS1172" s="1"/>
      <c r="AT1172" s="1"/>
      <c r="AU1172" s="1"/>
      <c r="AV1172" s="1"/>
      <c r="AW1172" s="1"/>
      <c r="AX1172" s="1"/>
      <c r="AY1172" s="1"/>
      <c r="AZ1172" s="1"/>
      <c r="BA1172" s="1"/>
      <c r="BB1172" s="1"/>
      <c r="BC1172" s="1"/>
      <c r="BD1172" s="1"/>
    </row>
    <row r="1173" spans="35:56">
      <c r="AI1173" s="1"/>
      <c r="AJ1173" s="1"/>
      <c r="AK1173" s="1"/>
      <c r="AL1173" s="1"/>
      <c r="AM1173" s="1"/>
      <c r="AN1173" s="1"/>
      <c r="AO1173" s="1"/>
      <c r="AP1173" s="1"/>
      <c r="AQ1173" s="1"/>
      <c r="AR1173" s="1"/>
      <c r="AS1173" s="1"/>
      <c r="AT1173" s="1"/>
      <c r="AU1173" s="1"/>
      <c r="AV1173" s="1"/>
      <c r="AW1173" s="1"/>
      <c r="AX1173" s="1"/>
      <c r="AY1173" s="1"/>
      <c r="AZ1173" s="1"/>
      <c r="BA1173" s="1"/>
      <c r="BB1173" s="1"/>
      <c r="BC1173" s="1"/>
      <c r="BD1173" s="1"/>
    </row>
    <row r="1174" spans="35:56">
      <c r="AI1174" s="1"/>
      <c r="AJ1174" s="1"/>
      <c r="AK1174" s="1"/>
      <c r="AL1174" s="1"/>
      <c r="AM1174" s="1"/>
      <c r="AN1174" s="1"/>
      <c r="AO1174" s="1"/>
      <c r="AP1174" s="1"/>
      <c r="AQ1174" s="1"/>
      <c r="AR1174" s="1"/>
      <c r="AS1174" s="1"/>
      <c r="AT1174" s="1"/>
      <c r="AU1174" s="1"/>
      <c r="AV1174" s="1"/>
      <c r="AW1174" s="1"/>
      <c r="AX1174" s="1"/>
      <c r="AY1174" s="1"/>
      <c r="AZ1174" s="1"/>
      <c r="BA1174" s="1"/>
      <c r="BB1174" s="1"/>
      <c r="BC1174" s="1"/>
      <c r="BD1174" s="1"/>
    </row>
    <row r="1175" spans="35:56">
      <c r="AI1175" s="1"/>
      <c r="AJ1175" s="1"/>
      <c r="AK1175" s="1"/>
      <c r="AL1175" s="1"/>
      <c r="AM1175" s="1"/>
      <c r="AN1175" s="1"/>
      <c r="AO1175" s="1"/>
      <c r="AP1175" s="1"/>
      <c r="AQ1175" s="1"/>
      <c r="AR1175" s="1"/>
      <c r="AS1175" s="1"/>
      <c r="AT1175" s="1"/>
      <c r="AU1175" s="1"/>
      <c r="AV1175" s="1"/>
      <c r="AW1175" s="1"/>
      <c r="AX1175" s="1"/>
      <c r="AY1175" s="1"/>
      <c r="AZ1175" s="1"/>
      <c r="BA1175" s="1"/>
      <c r="BB1175" s="1"/>
      <c r="BC1175" s="1"/>
      <c r="BD1175" s="1"/>
    </row>
    <row r="1176" spans="35:56">
      <c r="AI1176" s="1"/>
      <c r="AJ1176" s="1"/>
      <c r="AK1176" s="1"/>
      <c r="AL1176" s="1"/>
      <c r="AM1176" s="1"/>
      <c r="AN1176" s="1"/>
      <c r="AO1176" s="1"/>
      <c r="AP1176" s="1"/>
      <c r="AQ1176" s="1"/>
      <c r="AR1176" s="1"/>
      <c r="AS1176" s="1"/>
      <c r="AT1176" s="1"/>
      <c r="AU1176" s="1"/>
      <c r="AV1176" s="1"/>
      <c r="AW1176" s="1"/>
      <c r="AX1176" s="1"/>
      <c r="AY1176" s="1"/>
      <c r="AZ1176" s="1"/>
      <c r="BA1176" s="1"/>
      <c r="BB1176" s="1"/>
      <c r="BC1176" s="1"/>
      <c r="BD1176" s="1"/>
    </row>
    <row r="1177" spans="35:56">
      <c r="AI1177" s="1"/>
      <c r="AJ1177" s="1"/>
      <c r="AK1177" s="1"/>
      <c r="AL1177" s="1"/>
      <c r="AM1177" s="1"/>
      <c r="AN1177" s="1"/>
      <c r="AO1177" s="1"/>
      <c r="AP1177" s="1"/>
      <c r="AQ1177" s="1"/>
      <c r="AR1177" s="1"/>
      <c r="AS1177" s="1"/>
      <c r="AT1177" s="1"/>
      <c r="AU1177" s="1"/>
      <c r="AV1177" s="1"/>
      <c r="AW1177" s="1"/>
      <c r="AX1177" s="1"/>
      <c r="AY1177" s="1"/>
      <c r="AZ1177" s="1"/>
      <c r="BA1177" s="1"/>
      <c r="BB1177" s="1"/>
      <c r="BC1177" s="1"/>
      <c r="BD1177" s="1"/>
    </row>
    <row r="1178" spans="35:56">
      <c r="AI1178" s="1"/>
      <c r="AJ1178" s="1"/>
      <c r="AK1178" s="1"/>
      <c r="AL1178" s="1"/>
      <c r="AM1178" s="1"/>
      <c r="AN1178" s="1"/>
      <c r="AO1178" s="1"/>
      <c r="AP1178" s="1"/>
      <c r="AQ1178" s="1"/>
      <c r="AR1178" s="1"/>
      <c r="AS1178" s="1"/>
      <c r="AT1178" s="1"/>
      <c r="AU1178" s="1"/>
      <c r="AV1178" s="1"/>
      <c r="AW1178" s="1"/>
      <c r="AX1178" s="1"/>
      <c r="AY1178" s="1"/>
      <c r="AZ1178" s="1"/>
      <c r="BA1178" s="1"/>
      <c r="BB1178" s="1"/>
      <c r="BC1178" s="1"/>
      <c r="BD1178" s="1"/>
    </row>
    <row r="1179" spans="35:56">
      <c r="AI1179" s="1"/>
      <c r="AJ1179" s="1"/>
      <c r="AK1179" s="1"/>
      <c r="AL1179" s="1"/>
      <c r="AM1179" s="1"/>
      <c r="AN1179" s="1"/>
      <c r="AO1179" s="1"/>
      <c r="AP1179" s="1"/>
      <c r="AQ1179" s="1"/>
      <c r="AR1179" s="1"/>
      <c r="AS1179" s="1"/>
      <c r="AT1179" s="1"/>
      <c r="AU1179" s="1"/>
      <c r="AV1179" s="1"/>
      <c r="AW1179" s="1"/>
      <c r="AX1179" s="1"/>
      <c r="AY1179" s="1"/>
      <c r="AZ1179" s="1"/>
      <c r="BA1179" s="1"/>
      <c r="BB1179" s="1"/>
      <c r="BC1179" s="1"/>
      <c r="BD1179" s="1"/>
    </row>
    <row r="1180" spans="35:56">
      <c r="AI1180" s="1"/>
      <c r="AJ1180" s="1"/>
      <c r="AK1180" s="1"/>
      <c r="AL1180" s="1"/>
      <c r="AM1180" s="1"/>
      <c r="AN1180" s="1"/>
      <c r="AO1180" s="1"/>
      <c r="AP1180" s="1"/>
      <c r="AQ1180" s="1"/>
      <c r="AR1180" s="1"/>
      <c r="AS1180" s="1"/>
      <c r="AT1180" s="1"/>
      <c r="AU1180" s="1"/>
      <c r="AV1180" s="1"/>
      <c r="AW1180" s="1"/>
      <c r="AX1180" s="1"/>
      <c r="AY1180" s="1"/>
      <c r="AZ1180" s="1"/>
      <c r="BA1180" s="1"/>
      <c r="BB1180" s="1"/>
      <c r="BC1180" s="1"/>
      <c r="BD1180" s="1"/>
    </row>
    <row r="1181" spans="35:56">
      <c r="AI1181" s="1"/>
      <c r="AJ1181" s="1"/>
      <c r="AK1181" s="1"/>
      <c r="AL1181" s="1"/>
      <c r="AM1181" s="1"/>
      <c r="AN1181" s="1"/>
      <c r="AO1181" s="1"/>
      <c r="AP1181" s="1"/>
      <c r="AQ1181" s="1"/>
      <c r="AR1181" s="1"/>
      <c r="AS1181" s="1"/>
      <c r="AT1181" s="1"/>
      <c r="AU1181" s="1"/>
      <c r="AV1181" s="1"/>
      <c r="AW1181" s="1"/>
      <c r="AX1181" s="1"/>
      <c r="AY1181" s="1"/>
      <c r="AZ1181" s="1"/>
      <c r="BA1181" s="1"/>
      <c r="BB1181" s="1"/>
      <c r="BC1181" s="1"/>
      <c r="BD1181" s="1"/>
    </row>
    <row r="1182" spans="35:56">
      <c r="AI1182" s="1"/>
      <c r="AJ1182" s="1"/>
      <c r="AK1182" s="1"/>
      <c r="AL1182" s="1"/>
      <c r="AM1182" s="1"/>
      <c r="AN1182" s="1"/>
      <c r="AO1182" s="1"/>
      <c r="AP1182" s="1"/>
      <c r="AQ1182" s="1"/>
      <c r="AR1182" s="1"/>
      <c r="AS1182" s="1"/>
      <c r="AT1182" s="1"/>
      <c r="AU1182" s="1"/>
      <c r="AV1182" s="1"/>
      <c r="AW1182" s="1"/>
      <c r="AX1182" s="1"/>
      <c r="AY1182" s="1"/>
      <c r="AZ1182" s="1"/>
      <c r="BA1182" s="1"/>
      <c r="BB1182" s="1"/>
      <c r="BC1182" s="1"/>
      <c r="BD1182" s="1"/>
    </row>
    <row r="1183" spans="35:56">
      <c r="AI1183" s="1"/>
      <c r="AJ1183" s="1"/>
      <c r="AK1183" s="1"/>
      <c r="AL1183" s="1"/>
      <c r="AM1183" s="1"/>
      <c r="AN1183" s="1"/>
      <c r="AO1183" s="1"/>
      <c r="AP1183" s="1"/>
      <c r="AQ1183" s="1"/>
      <c r="AR1183" s="1"/>
      <c r="AS1183" s="1"/>
      <c r="AT1183" s="1"/>
      <c r="AU1183" s="1"/>
      <c r="AV1183" s="1"/>
      <c r="AW1183" s="1"/>
      <c r="AX1183" s="1"/>
      <c r="AY1183" s="1"/>
      <c r="AZ1183" s="1"/>
      <c r="BA1183" s="1"/>
      <c r="BB1183" s="1"/>
      <c r="BC1183" s="1"/>
      <c r="BD1183" s="1"/>
    </row>
    <row r="1184" spans="35:56">
      <c r="AI1184" s="1"/>
      <c r="AJ1184" s="1"/>
      <c r="AK1184" s="1"/>
      <c r="AL1184" s="1"/>
      <c r="AM1184" s="1"/>
      <c r="AN1184" s="1"/>
      <c r="AO1184" s="1"/>
      <c r="AP1184" s="1"/>
      <c r="AQ1184" s="1"/>
      <c r="AR1184" s="1"/>
      <c r="AS1184" s="1"/>
      <c r="AT1184" s="1"/>
      <c r="AU1184" s="1"/>
      <c r="AV1184" s="1"/>
      <c r="AW1184" s="1"/>
      <c r="AX1184" s="1"/>
      <c r="AY1184" s="1"/>
      <c r="AZ1184" s="1"/>
      <c r="BA1184" s="1"/>
      <c r="BB1184" s="1"/>
      <c r="BC1184" s="1"/>
      <c r="BD1184" s="1"/>
    </row>
    <row r="1185" spans="35:56">
      <c r="AI1185" s="1"/>
      <c r="AJ1185" s="1"/>
      <c r="AK1185" s="1"/>
      <c r="AL1185" s="1"/>
      <c r="AM1185" s="1"/>
      <c r="AN1185" s="1"/>
      <c r="AO1185" s="1"/>
      <c r="AP1185" s="1"/>
      <c r="AQ1185" s="1"/>
      <c r="AR1185" s="1"/>
      <c r="AS1185" s="1"/>
      <c r="AT1185" s="1"/>
      <c r="AU1185" s="1"/>
      <c r="AV1185" s="1"/>
      <c r="AW1185" s="1"/>
      <c r="AX1185" s="1"/>
      <c r="AY1185" s="1"/>
      <c r="AZ1185" s="1"/>
      <c r="BA1185" s="1"/>
      <c r="BB1185" s="1"/>
      <c r="BC1185" s="1"/>
      <c r="BD1185" s="1"/>
    </row>
    <row r="1186" spans="35:56">
      <c r="AI1186" s="1"/>
      <c r="AJ1186" s="1"/>
      <c r="AK1186" s="1"/>
      <c r="AL1186" s="1"/>
      <c r="AM1186" s="1"/>
      <c r="AN1186" s="1"/>
      <c r="AO1186" s="1"/>
      <c r="AP1186" s="1"/>
      <c r="AQ1186" s="1"/>
      <c r="AR1186" s="1"/>
      <c r="AS1186" s="1"/>
      <c r="AT1186" s="1"/>
      <c r="AU1186" s="1"/>
      <c r="AV1186" s="1"/>
      <c r="AW1186" s="1"/>
      <c r="AX1186" s="1"/>
      <c r="AY1186" s="1"/>
      <c r="AZ1186" s="1"/>
      <c r="BA1186" s="1"/>
      <c r="BB1186" s="1"/>
      <c r="BC1186" s="1"/>
      <c r="BD1186" s="1"/>
    </row>
    <row r="1187" spans="35:56">
      <c r="AI1187" s="1"/>
      <c r="AJ1187" s="1"/>
      <c r="AK1187" s="1"/>
      <c r="AL1187" s="1"/>
      <c r="AM1187" s="1"/>
      <c r="AN1187" s="1"/>
      <c r="AO1187" s="1"/>
      <c r="AP1187" s="1"/>
      <c r="AQ1187" s="1"/>
      <c r="AR1187" s="1"/>
      <c r="AS1187" s="1"/>
      <c r="AT1187" s="1"/>
      <c r="AU1187" s="1"/>
      <c r="AV1187" s="1"/>
      <c r="AW1187" s="1"/>
      <c r="AX1187" s="1"/>
      <c r="AY1187" s="1"/>
      <c r="AZ1187" s="1"/>
      <c r="BA1187" s="1"/>
      <c r="BB1187" s="1"/>
      <c r="BC1187" s="1"/>
      <c r="BD1187" s="1"/>
    </row>
    <row r="1188" spans="35:56">
      <c r="AI1188" s="1"/>
      <c r="AJ1188" s="1"/>
      <c r="AK1188" s="1"/>
      <c r="AL1188" s="1"/>
      <c r="AM1188" s="1"/>
      <c r="AN1188" s="1"/>
      <c r="AO1188" s="1"/>
      <c r="AP1188" s="1"/>
      <c r="AQ1188" s="1"/>
      <c r="AR1188" s="1"/>
      <c r="AS1188" s="1"/>
      <c r="AT1188" s="1"/>
      <c r="AU1188" s="1"/>
      <c r="AV1188" s="1"/>
      <c r="AW1188" s="1"/>
      <c r="AX1188" s="1"/>
      <c r="AY1188" s="1"/>
      <c r="AZ1188" s="1"/>
      <c r="BA1188" s="1"/>
      <c r="BB1188" s="1"/>
      <c r="BC1188" s="1"/>
      <c r="BD1188" s="1"/>
    </row>
    <row r="1189" spans="35:56">
      <c r="AI1189" s="1"/>
      <c r="AJ1189" s="1"/>
      <c r="AK1189" s="1"/>
      <c r="AL1189" s="1"/>
      <c r="AM1189" s="1"/>
      <c r="AN1189" s="1"/>
      <c r="AO1189" s="1"/>
      <c r="AP1189" s="1"/>
      <c r="AQ1189" s="1"/>
      <c r="AR1189" s="1"/>
      <c r="AS1189" s="1"/>
      <c r="AT1189" s="1"/>
      <c r="AU1189" s="1"/>
      <c r="AV1189" s="1"/>
      <c r="AW1189" s="1"/>
      <c r="AX1189" s="1"/>
      <c r="AY1189" s="1"/>
      <c r="AZ1189" s="1"/>
      <c r="BA1189" s="1"/>
      <c r="BB1189" s="1"/>
      <c r="BC1189" s="1"/>
      <c r="BD1189" s="1"/>
    </row>
    <row r="1190" spans="35:56">
      <c r="AI1190" s="1"/>
      <c r="AJ1190" s="1"/>
      <c r="AK1190" s="1"/>
      <c r="AL1190" s="1"/>
      <c r="AM1190" s="1"/>
      <c r="AN1190" s="1"/>
      <c r="AO1190" s="1"/>
      <c r="AP1190" s="1"/>
      <c r="AQ1190" s="1"/>
      <c r="AR1190" s="1"/>
      <c r="AS1190" s="1"/>
      <c r="AT1190" s="1"/>
      <c r="AU1190" s="1"/>
      <c r="AV1190" s="1"/>
      <c r="AW1190" s="1"/>
      <c r="AX1190" s="1"/>
      <c r="AY1190" s="1"/>
      <c r="AZ1190" s="1"/>
      <c r="BA1190" s="1"/>
      <c r="BB1190" s="1"/>
      <c r="BC1190" s="1"/>
      <c r="BD1190" s="1"/>
    </row>
    <row r="1191" spans="35:56">
      <c r="AI1191" s="1"/>
      <c r="AJ1191" s="1"/>
      <c r="AK1191" s="1"/>
      <c r="AL1191" s="1"/>
      <c r="AM1191" s="1"/>
      <c r="AN1191" s="1"/>
      <c r="AO1191" s="1"/>
      <c r="AP1191" s="1"/>
      <c r="AQ1191" s="1"/>
      <c r="AR1191" s="1"/>
      <c r="AS1191" s="1"/>
      <c r="AT1191" s="1"/>
      <c r="AU1191" s="1"/>
      <c r="AV1191" s="1"/>
      <c r="AW1191" s="1"/>
      <c r="AX1191" s="1"/>
      <c r="AY1191" s="1"/>
      <c r="AZ1191" s="1"/>
      <c r="BA1191" s="1"/>
      <c r="BB1191" s="1"/>
      <c r="BC1191" s="1"/>
      <c r="BD1191" s="1"/>
    </row>
    <row r="1192" spans="35:56">
      <c r="AI1192" s="1"/>
      <c r="AJ1192" s="1"/>
      <c r="AK1192" s="1"/>
      <c r="AL1192" s="1"/>
      <c r="AM1192" s="1"/>
      <c r="AN1192" s="1"/>
      <c r="AO1192" s="1"/>
      <c r="AP1192" s="1"/>
      <c r="AQ1192" s="1"/>
      <c r="AR1192" s="1"/>
      <c r="AS1192" s="1"/>
      <c r="AT1192" s="1"/>
      <c r="AU1192" s="1"/>
      <c r="AV1192" s="1"/>
      <c r="AW1192" s="1"/>
      <c r="AX1192" s="1"/>
      <c r="AY1192" s="1"/>
      <c r="AZ1192" s="1"/>
      <c r="BA1192" s="1"/>
      <c r="BB1192" s="1"/>
      <c r="BC1192" s="1"/>
      <c r="BD1192" s="1"/>
    </row>
    <row r="1193" spans="35:56">
      <c r="AI1193" s="1"/>
      <c r="AJ1193" s="1"/>
      <c r="AK1193" s="1"/>
      <c r="AL1193" s="1"/>
      <c r="AM1193" s="1"/>
      <c r="AN1193" s="1"/>
      <c r="AO1193" s="1"/>
      <c r="AP1193" s="1"/>
      <c r="AQ1193" s="1"/>
      <c r="AR1193" s="1"/>
      <c r="AS1193" s="1"/>
      <c r="AT1193" s="1"/>
      <c r="AU1193" s="1"/>
      <c r="AV1193" s="1"/>
      <c r="AW1193" s="1"/>
      <c r="AX1193" s="1"/>
      <c r="AY1193" s="1"/>
      <c r="AZ1193" s="1"/>
      <c r="BA1193" s="1"/>
      <c r="BB1193" s="1"/>
      <c r="BC1193" s="1"/>
      <c r="BD1193" s="1"/>
    </row>
    <row r="1194" spans="35:56">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row>
    <row r="1195" spans="35:56">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row>
    <row r="1196" spans="35:56">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row>
    <row r="1197" spans="35:56">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row>
    <row r="1198" spans="35:56">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row>
    <row r="1199" spans="35:56">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row>
    <row r="1200" spans="35:56">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row>
    <row r="1201" spans="35:56">
      <c r="AI1201" s="1"/>
      <c r="AJ1201" s="1"/>
      <c r="AK1201" s="1"/>
      <c r="AL1201" s="1"/>
      <c r="AM1201" s="1"/>
      <c r="AN1201" s="1"/>
      <c r="AO1201" s="1"/>
      <c r="AP1201" s="1"/>
      <c r="AQ1201" s="1"/>
      <c r="AR1201" s="1"/>
      <c r="AS1201" s="1"/>
      <c r="AT1201" s="1"/>
      <c r="AU1201" s="1"/>
      <c r="AV1201" s="1"/>
      <c r="AW1201" s="1"/>
      <c r="AX1201" s="1"/>
      <c r="AY1201" s="1"/>
      <c r="AZ1201" s="1"/>
      <c r="BA1201" s="1"/>
      <c r="BB1201" s="1"/>
      <c r="BC1201" s="1"/>
      <c r="BD1201" s="1"/>
    </row>
    <row r="1202" spans="35:56">
      <c r="AI1202" s="1"/>
      <c r="AJ1202" s="1"/>
      <c r="AK1202" s="1"/>
      <c r="AL1202" s="1"/>
      <c r="AM1202" s="1"/>
      <c r="AN1202" s="1"/>
      <c r="AO1202" s="1"/>
      <c r="AP1202" s="1"/>
      <c r="AQ1202" s="1"/>
      <c r="AR1202" s="1"/>
      <c r="AS1202" s="1"/>
      <c r="AT1202" s="1"/>
      <c r="AU1202" s="1"/>
      <c r="AV1202" s="1"/>
      <c r="AW1202" s="1"/>
      <c r="AX1202" s="1"/>
      <c r="AY1202" s="1"/>
      <c r="AZ1202" s="1"/>
      <c r="BA1202" s="1"/>
      <c r="BB1202" s="1"/>
      <c r="BC1202" s="1"/>
      <c r="BD1202" s="1"/>
    </row>
    <row r="1203" spans="35:56">
      <c r="AI1203" s="1"/>
      <c r="AJ1203" s="1"/>
      <c r="AK1203" s="1"/>
      <c r="AL1203" s="1"/>
      <c r="AM1203" s="1"/>
      <c r="AN1203" s="1"/>
      <c r="AO1203" s="1"/>
      <c r="AP1203" s="1"/>
      <c r="AQ1203" s="1"/>
      <c r="AR1203" s="1"/>
      <c r="AS1203" s="1"/>
      <c r="AT1203" s="1"/>
      <c r="AU1203" s="1"/>
      <c r="AV1203" s="1"/>
      <c r="AW1203" s="1"/>
      <c r="AX1203" s="1"/>
      <c r="AY1203" s="1"/>
      <c r="AZ1203" s="1"/>
      <c r="BA1203" s="1"/>
      <c r="BB1203" s="1"/>
      <c r="BC1203" s="1"/>
      <c r="BD1203" s="1"/>
    </row>
    <row r="1204" spans="35:56">
      <c r="AI1204" s="1"/>
      <c r="AJ1204" s="1"/>
      <c r="AK1204" s="1"/>
      <c r="AL1204" s="1"/>
      <c r="AM1204" s="1"/>
      <c r="AN1204" s="1"/>
      <c r="AO1204" s="1"/>
      <c r="AP1204" s="1"/>
      <c r="AQ1204" s="1"/>
      <c r="AR1204" s="1"/>
      <c r="AS1204" s="1"/>
      <c r="AT1204" s="1"/>
      <c r="AU1204" s="1"/>
      <c r="AV1204" s="1"/>
      <c r="AW1204" s="1"/>
      <c r="AX1204" s="1"/>
      <c r="AY1204" s="1"/>
      <c r="AZ1204" s="1"/>
      <c r="BA1204" s="1"/>
      <c r="BB1204" s="1"/>
      <c r="BC1204" s="1"/>
      <c r="BD1204" s="1"/>
    </row>
    <row r="1205" spans="35:56">
      <c r="AI1205" s="1"/>
      <c r="AJ1205" s="1"/>
      <c r="AK1205" s="1"/>
      <c r="AL1205" s="1"/>
      <c r="AM1205" s="1"/>
      <c r="AN1205" s="1"/>
      <c r="AO1205" s="1"/>
      <c r="AP1205" s="1"/>
      <c r="AQ1205" s="1"/>
      <c r="AR1205" s="1"/>
      <c r="AS1205" s="1"/>
      <c r="AT1205" s="1"/>
      <c r="AU1205" s="1"/>
      <c r="AV1205" s="1"/>
      <c r="AW1205" s="1"/>
      <c r="AX1205" s="1"/>
      <c r="AY1205" s="1"/>
      <c r="AZ1205" s="1"/>
      <c r="BA1205" s="1"/>
      <c r="BB1205" s="1"/>
      <c r="BC1205" s="1"/>
      <c r="BD1205" s="1"/>
    </row>
    <row r="1206" spans="35:56">
      <c r="AI1206" s="1"/>
      <c r="AJ1206" s="1"/>
      <c r="AK1206" s="1"/>
      <c r="AL1206" s="1"/>
      <c r="AM1206" s="1"/>
      <c r="AN1206" s="1"/>
      <c r="AO1206" s="1"/>
      <c r="AP1206" s="1"/>
      <c r="AQ1206" s="1"/>
      <c r="AR1206" s="1"/>
      <c r="AS1206" s="1"/>
      <c r="AT1206" s="1"/>
      <c r="AU1206" s="1"/>
      <c r="AV1206" s="1"/>
      <c r="AW1206" s="1"/>
      <c r="AX1206" s="1"/>
      <c r="AY1206" s="1"/>
      <c r="AZ1206" s="1"/>
      <c r="BA1206" s="1"/>
      <c r="BB1206" s="1"/>
      <c r="BC1206" s="1"/>
      <c r="BD1206" s="1"/>
    </row>
    <row r="1207" spans="35:56">
      <c r="AI1207" s="1"/>
      <c r="AJ1207" s="1"/>
      <c r="AK1207" s="1"/>
      <c r="AL1207" s="1"/>
      <c r="AM1207" s="1"/>
      <c r="AN1207" s="1"/>
      <c r="AO1207" s="1"/>
      <c r="AP1207" s="1"/>
      <c r="AQ1207" s="1"/>
      <c r="AR1207" s="1"/>
      <c r="AS1207" s="1"/>
      <c r="AT1207" s="1"/>
      <c r="AU1207" s="1"/>
      <c r="AV1207" s="1"/>
      <c r="AW1207" s="1"/>
      <c r="AX1207" s="1"/>
      <c r="AY1207" s="1"/>
      <c r="AZ1207" s="1"/>
      <c r="BA1207" s="1"/>
      <c r="BB1207" s="1"/>
      <c r="BC1207" s="1"/>
      <c r="BD1207" s="1"/>
    </row>
    <row r="1208" spans="35:56">
      <c r="AI1208" s="1"/>
      <c r="AJ1208" s="1"/>
      <c r="AK1208" s="1"/>
      <c r="AL1208" s="1"/>
      <c r="AM1208" s="1"/>
      <c r="AN1208" s="1"/>
      <c r="AO1208" s="1"/>
      <c r="AP1208" s="1"/>
      <c r="AQ1208" s="1"/>
      <c r="AR1208" s="1"/>
      <c r="AS1208" s="1"/>
      <c r="AT1208" s="1"/>
      <c r="AU1208" s="1"/>
      <c r="AV1208" s="1"/>
      <c r="AW1208" s="1"/>
      <c r="AX1208" s="1"/>
      <c r="AY1208" s="1"/>
      <c r="AZ1208" s="1"/>
      <c r="BA1208" s="1"/>
      <c r="BB1208" s="1"/>
      <c r="BC1208" s="1"/>
      <c r="BD1208" s="1"/>
    </row>
    <row r="1209" spans="35:56">
      <c r="AI1209" s="1"/>
      <c r="AJ1209" s="1"/>
      <c r="AK1209" s="1"/>
      <c r="AL1209" s="1"/>
      <c r="AM1209" s="1"/>
      <c r="AN1209" s="1"/>
      <c r="AO1209" s="1"/>
      <c r="AP1209" s="1"/>
      <c r="AQ1209" s="1"/>
      <c r="AR1209" s="1"/>
      <c r="AS1209" s="1"/>
      <c r="AT1209" s="1"/>
      <c r="AU1209" s="1"/>
      <c r="AV1209" s="1"/>
      <c r="AW1209" s="1"/>
      <c r="AX1209" s="1"/>
      <c r="AY1209" s="1"/>
      <c r="AZ1209" s="1"/>
      <c r="BA1209" s="1"/>
      <c r="BB1209" s="1"/>
      <c r="BC1209" s="1"/>
      <c r="BD1209" s="1"/>
    </row>
    <row r="1210" spans="35:56">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row>
    <row r="1211" spans="35:56">
      <c r="AI1211" s="1"/>
      <c r="AJ1211" s="1"/>
      <c r="AK1211" s="1"/>
      <c r="AL1211" s="1"/>
      <c r="AM1211" s="1"/>
      <c r="AN1211" s="1"/>
      <c r="AO1211" s="1"/>
      <c r="AP1211" s="1"/>
      <c r="AQ1211" s="1"/>
      <c r="AR1211" s="1"/>
      <c r="AS1211" s="1"/>
      <c r="AT1211" s="1"/>
      <c r="AU1211" s="1"/>
      <c r="AV1211" s="1"/>
      <c r="AW1211" s="1"/>
      <c r="AX1211" s="1"/>
      <c r="AY1211" s="1"/>
      <c r="AZ1211" s="1"/>
      <c r="BA1211" s="1"/>
      <c r="BB1211" s="1"/>
      <c r="BC1211" s="1"/>
      <c r="BD1211" s="1"/>
    </row>
    <row r="1212" spans="35:56">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row>
    <row r="1213" spans="35:56">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row>
    <row r="1214" spans="35:56">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row>
    <row r="1215" spans="35:56">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row>
    <row r="1216" spans="35:56">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row>
    <row r="1217" spans="35:56">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row>
    <row r="1218" spans="35:56">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row>
    <row r="1219" spans="35:56">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row>
    <row r="1220" spans="35:56">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row>
    <row r="1221" spans="35:56">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row>
    <row r="1222" spans="35:56">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row>
    <row r="1223" spans="35:56">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row>
    <row r="1224" spans="35:56">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row>
    <row r="1225" spans="35:56">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row>
    <row r="1226" spans="35:56">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row>
    <row r="1227" spans="35:56">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row>
    <row r="1228" spans="35:56">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row>
    <row r="1229" spans="35:56">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row>
    <row r="1230" spans="35:56">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row>
    <row r="1231" spans="35:56">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row>
    <row r="1232" spans="35:56">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row>
    <row r="1233" spans="35:56">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row>
    <row r="1234" spans="35:56">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row>
    <row r="1235" spans="35:56">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row>
    <row r="1236" spans="35:56">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row>
    <row r="1237" spans="35:56">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row>
    <row r="1238" spans="35:56">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row>
    <row r="1239" spans="35:56">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row>
    <row r="1240" spans="35:56">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row>
    <row r="1241" spans="35:56">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row>
    <row r="1242" spans="35:56">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row>
    <row r="1243" spans="35:56">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row>
    <row r="1244" spans="35:56">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row>
    <row r="1245" spans="35:56">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row>
    <row r="1246" spans="35:56">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row>
    <row r="1247" spans="35:56">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row>
    <row r="1248" spans="35:56">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row>
    <row r="1249" spans="35:56">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row>
    <row r="1250" spans="35:56">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row>
    <row r="1251" spans="35:56">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row>
    <row r="1252" spans="35:56">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row>
    <row r="1253" spans="35:56">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row>
    <row r="1254" spans="35:56">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row>
    <row r="1255" spans="35:56">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row>
    <row r="1256" spans="35:56">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row>
    <row r="1257" spans="35:56">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row>
    <row r="1258" spans="35:56">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row>
    <row r="1259" spans="35:56">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row>
    <row r="1260" spans="35:56">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row>
    <row r="1261" spans="35:56">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row>
    <row r="1262" spans="35:56">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row>
    <row r="1263" spans="35:56">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row>
    <row r="1264" spans="35:56">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row>
    <row r="1265" spans="35:56">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row>
    <row r="1266" spans="35:56">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row>
    <row r="1267" spans="35:56">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row>
    <row r="1268" spans="35:56">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row>
    <row r="1269" spans="35:56">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row>
    <row r="1270" spans="35:56">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row>
    <row r="1271" spans="35:56">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row>
    <row r="1272" spans="35:56">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row>
    <row r="1273" spans="35:56">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row>
    <row r="1274" spans="35:56">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row>
    <row r="1275" spans="35:56">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row>
    <row r="1276" spans="35:56">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row>
    <row r="1277" spans="35:56">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row>
    <row r="1278" spans="35:56">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row>
    <row r="1279" spans="35:56">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row>
    <row r="1280" spans="35:56">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row>
    <row r="1281" spans="35:56">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row>
    <row r="1282" spans="35:56">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row>
    <row r="1283" spans="35:56">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row>
    <row r="1284" spans="35:56">
      <c r="AI1284" s="1"/>
      <c r="AJ1284" s="1"/>
      <c r="AK1284" s="1"/>
      <c r="AL1284" s="1"/>
      <c r="AM1284" s="1"/>
      <c r="AN1284" s="1"/>
      <c r="AO1284" s="1"/>
      <c r="AP1284" s="1"/>
      <c r="AQ1284" s="1"/>
      <c r="AR1284" s="1"/>
      <c r="AS1284" s="1"/>
      <c r="AT1284" s="1"/>
      <c r="AU1284" s="1"/>
      <c r="AV1284" s="1"/>
      <c r="AW1284" s="1"/>
      <c r="AX1284" s="1"/>
      <c r="AY1284" s="1"/>
      <c r="AZ1284" s="1"/>
      <c r="BA1284" s="1"/>
      <c r="BB1284" s="1"/>
      <c r="BC1284" s="1"/>
      <c r="BD1284" s="1"/>
    </row>
    <row r="1285" spans="35:56">
      <c r="AI1285" s="1"/>
      <c r="AJ1285" s="1"/>
      <c r="AK1285" s="1"/>
      <c r="AL1285" s="1"/>
      <c r="AM1285" s="1"/>
      <c r="AN1285" s="1"/>
      <c r="AO1285" s="1"/>
      <c r="AP1285" s="1"/>
      <c r="AQ1285" s="1"/>
      <c r="AR1285" s="1"/>
      <c r="AS1285" s="1"/>
      <c r="AT1285" s="1"/>
      <c r="AU1285" s="1"/>
      <c r="AV1285" s="1"/>
      <c r="AW1285" s="1"/>
      <c r="AX1285" s="1"/>
      <c r="AY1285" s="1"/>
      <c r="AZ1285" s="1"/>
      <c r="BA1285" s="1"/>
      <c r="BB1285" s="1"/>
      <c r="BC1285" s="1"/>
      <c r="BD1285" s="1"/>
    </row>
    <row r="1286" spans="35:56">
      <c r="AI1286" s="1"/>
      <c r="AJ1286" s="1"/>
      <c r="AK1286" s="1"/>
      <c r="AL1286" s="1"/>
      <c r="AM1286" s="1"/>
      <c r="AN1286" s="1"/>
      <c r="AO1286" s="1"/>
      <c r="AP1286" s="1"/>
      <c r="AQ1286" s="1"/>
      <c r="AR1286" s="1"/>
      <c r="AS1286" s="1"/>
      <c r="AT1286" s="1"/>
      <c r="AU1286" s="1"/>
      <c r="AV1286" s="1"/>
      <c r="AW1286" s="1"/>
      <c r="AX1286" s="1"/>
      <c r="AY1286" s="1"/>
      <c r="AZ1286" s="1"/>
      <c r="BA1286" s="1"/>
      <c r="BB1286" s="1"/>
      <c r="BC1286" s="1"/>
      <c r="BD1286" s="1"/>
    </row>
    <row r="1287" spans="35:56">
      <c r="AI1287" s="1"/>
      <c r="AJ1287" s="1"/>
      <c r="AK1287" s="1"/>
      <c r="AL1287" s="1"/>
      <c r="AM1287" s="1"/>
      <c r="AN1287" s="1"/>
      <c r="AO1287" s="1"/>
      <c r="AP1287" s="1"/>
      <c r="AQ1287" s="1"/>
      <c r="AR1287" s="1"/>
      <c r="AS1287" s="1"/>
      <c r="AT1287" s="1"/>
      <c r="AU1287" s="1"/>
      <c r="AV1287" s="1"/>
      <c r="AW1287" s="1"/>
      <c r="AX1287" s="1"/>
      <c r="AY1287" s="1"/>
      <c r="AZ1287" s="1"/>
      <c r="BA1287" s="1"/>
      <c r="BB1287" s="1"/>
      <c r="BC1287" s="1"/>
      <c r="BD1287" s="1"/>
    </row>
    <row r="1288" spans="35:56">
      <c r="AI1288" s="1"/>
      <c r="AJ1288" s="1"/>
      <c r="AK1288" s="1"/>
      <c r="AL1288" s="1"/>
      <c r="AM1288" s="1"/>
      <c r="AN1288" s="1"/>
      <c r="AO1288" s="1"/>
      <c r="AP1288" s="1"/>
      <c r="AQ1288" s="1"/>
      <c r="AR1288" s="1"/>
      <c r="AS1288" s="1"/>
      <c r="AT1288" s="1"/>
      <c r="AU1288" s="1"/>
      <c r="AV1288" s="1"/>
      <c r="AW1288" s="1"/>
      <c r="AX1288" s="1"/>
      <c r="AY1288" s="1"/>
      <c r="AZ1288" s="1"/>
      <c r="BA1288" s="1"/>
      <c r="BB1288" s="1"/>
      <c r="BC1288" s="1"/>
      <c r="BD1288" s="1"/>
    </row>
    <row r="1289" spans="35:56">
      <c r="AI1289" s="1"/>
      <c r="AJ1289" s="1"/>
      <c r="AK1289" s="1"/>
      <c r="AL1289" s="1"/>
      <c r="AM1289" s="1"/>
      <c r="AN1289" s="1"/>
      <c r="AO1289" s="1"/>
      <c r="AP1289" s="1"/>
      <c r="AQ1289" s="1"/>
      <c r="AR1289" s="1"/>
      <c r="AS1289" s="1"/>
      <c r="AT1289" s="1"/>
      <c r="AU1289" s="1"/>
      <c r="AV1289" s="1"/>
      <c r="AW1289" s="1"/>
      <c r="AX1289" s="1"/>
      <c r="AY1289" s="1"/>
      <c r="AZ1289" s="1"/>
      <c r="BA1289" s="1"/>
      <c r="BB1289" s="1"/>
      <c r="BC1289" s="1"/>
      <c r="BD1289" s="1"/>
    </row>
    <row r="1290" spans="35:56">
      <c r="AI1290" s="1"/>
      <c r="AJ1290" s="1"/>
      <c r="AK1290" s="1"/>
      <c r="AL1290" s="1"/>
      <c r="AM1290" s="1"/>
      <c r="AN1290" s="1"/>
      <c r="AO1290" s="1"/>
      <c r="AP1290" s="1"/>
      <c r="AQ1290" s="1"/>
      <c r="AR1290" s="1"/>
      <c r="AS1290" s="1"/>
      <c r="AT1290" s="1"/>
      <c r="AU1290" s="1"/>
      <c r="AV1290" s="1"/>
      <c r="AW1290" s="1"/>
      <c r="AX1290" s="1"/>
      <c r="AY1290" s="1"/>
      <c r="AZ1290" s="1"/>
      <c r="BA1290" s="1"/>
      <c r="BB1290" s="1"/>
      <c r="BC1290" s="1"/>
      <c r="BD1290" s="1"/>
    </row>
    <row r="1291" spans="35:56">
      <c r="AI1291" s="1"/>
      <c r="AJ1291" s="1"/>
      <c r="AK1291" s="1"/>
      <c r="AL1291" s="1"/>
      <c r="AM1291" s="1"/>
      <c r="AN1291" s="1"/>
      <c r="AO1291" s="1"/>
      <c r="AP1291" s="1"/>
      <c r="AQ1291" s="1"/>
      <c r="AR1291" s="1"/>
      <c r="AS1291" s="1"/>
      <c r="AT1291" s="1"/>
      <c r="AU1291" s="1"/>
      <c r="AV1291" s="1"/>
      <c r="AW1291" s="1"/>
      <c r="AX1291" s="1"/>
      <c r="AY1291" s="1"/>
      <c r="AZ1291" s="1"/>
      <c r="BA1291" s="1"/>
      <c r="BB1291" s="1"/>
      <c r="BC1291" s="1"/>
      <c r="BD1291" s="1"/>
    </row>
    <row r="1292" spans="35:56">
      <c r="AI1292" s="1"/>
      <c r="AJ1292" s="1"/>
      <c r="AK1292" s="1"/>
      <c r="AL1292" s="1"/>
      <c r="AM1292" s="1"/>
      <c r="AN1292" s="1"/>
      <c r="AO1292" s="1"/>
      <c r="AP1292" s="1"/>
      <c r="AQ1292" s="1"/>
      <c r="AR1292" s="1"/>
      <c r="AS1292" s="1"/>
      <c r="AT1292" s="1"/>
      <c r="AU1292" s="1"/>
      <c r="AV1292" s="1"/>
      <c r="AW1292" s="1"/>
      <c r="AX1292" s="1"/>
      <c r="AY1292" s="1"/>
      <c r="AZ1292" s="1"/>
      <c r="BA1292" s="1"/>
      <c r="BB1292" s="1"/>
      <c r="BC1292" s="1"/>
      <c r="BD1292" s="1"/>
    </row>
    <row r="1293" spans="35:56">
      <c r="AI1293" s="1"/>
      <c r="AJ1293" s="1"/>
      <c r="AK1293" s="1"/>
      <c r="AL1293" s="1"/>
      <c r="AM1293" s="1"/>
      <c r="AN1293" s="1"/>
      <c r="AO1293" s="1"/>
      <c r="AP1293" s="1"/>
      <c r="AQ1293" s="1"/>
      <c r="AR1293" s="1"/>
      <c r="AS1293" s="1"/>
      <c r="AT1293" s="1"/>
      <c r="AU1293" s="1"/>
      <c r="AV1293" s="1"/>
      <c r="AW1293" s="1"/>
      <c r="AX1293" s="1"/>
      <c r="AY1293" s="1"/>
      <c r="AZ1293" s="1"/>
      <c r="BA1293" s="1"/>
      <c r="BB1293" s="1"/>
      <c r="BC1293" s="1"/>
      <c r="BD1293" s="1"/>
    </row>
    <row r="1294" spans="35:56">
      <c r="AI1294" s="1"/>
      <c r="AJ1294" s="1"/>
      <c r="AK1294" s="1"/>
      <c r="AL1294" s="1"/>
      <c r="AM1294" s="1"/>
      <c r="AN1294" s="1"/>
      <c r="AO1294" s="1"/>
      <c r="AP1294" s="1"/>
      <c r="AQ1294" s="1"/>
      <c r="AR1294" s="1"/>
      <c r="AS1294" s="1"/>
      <c r="AT1294" s="1"/>
      <c r="AU1294" s="1"/>
      <c r="AV1294" s="1"/>
      <c r="AW1294" s="1"/>
      <c r="AX1294" s="1"/>
      <c r="AY1294" s="1"/>
      <c r="AZ1294" s="1"/>
      <c r="BA1294" s="1"/>
      <c r="BB1294" s="1"/>
      <c r="BC1294" s="1"/>
      <c r="BD1294" s="1"/>
    </row>
    <row r="1295" spans="35:56">
      <c r="AI1295" s="1"/>
      <c r="AJ1295" s="1"/>
      <c r="AK1295" s="1"/>
      <c r="AL1295" s="1"/>
      <c r="AM1295" s="1"/>
      <c r="AN1295" s="1"/>
      <c r="AO1295" s="1"/>
      <c r="AP1295" s="1"/>
      <c r="AQ1295" s="1"/>
      <c r="AR1295" s="1"/>
      <c r="AS1295" s="1"/>
      <c r="AT1295" s="1"/>
      <c r="AU1295" s="1"/>
      <c r="AV1295" s="1"/>
      <c r="AW1295" s="1"/>
      <c r="AX1295" s="1"/>
      <c r="AY1295" s="1"/>
      <c r="AZ1295" s="1"/>
      <c r="BA1295" s="1"/>
      <c r="BB1295" s="1"/>
      <c r="BC1295" s="1"/>
      <c r="BD1295" s="1"/>
    </row>
    <row r="1296" spans="35:56">
      <c r="AI1296" s="1"/>
      <c r="AJ1296" s="1"/>
      <c r="AK1296" s="1"/>
      <c r="AL1296" s="1"/>
      <c r="AM1296" s="1"/>
      <c r="AN1296" s="1"/>
      <c r="AO1296" s="1"/>
      <c r="AP1296" s="1"/>
      <c r="AQ1296" s="1"/>
      <c r="AR1296" s="1"/>
      <c r="AS1296" s="1"/>
      <c r="AT1296" s="1"/>
      <c r="AU1296" s="1"/>
      <c r="AV1296" s="1"/>
      <c r="AW1296" s="1"/>
      <c r="AX1296" s="1"/>
      <c r="AY1296" s="1"/>
      <c r="AZ1296" s="1"/>
      <c r="BA1296" s="1"/>
      <c r="BB1296" s="1"/>
      <c r="BC1296" s="1"/>
      <c r="BD1296" s="1"/>
    </row>
    <row r="1297" spans="35:56">
      <c r="AI1297" s="1"/>
      <c r="AJ1297" s="1"/>
      <c r="AK1297" s="1"/>
      <c r="AL1297" s="1"/>
      <c r="AM1297" s="1"/>
      <c r="AN1297" s="1"/>
      <c r="AO1297" s="1"/>
      <c r="AP1297" s="1"/>
      <c r="AQ1297" s="1"/>
      <c r="AR1297" s="1"/>
      <c r="AS1297" s="1"/>
      <c r="AT1297" s="1"/>
      <c r="AU1297" s="1"/>
      <c r="AV1297" s="1"/>
      <c r="AW1297" s="1"/>
      <c r="AX1297" s="1"/>
      <c r="AY1297" s="1"/>
      <c r="AZ1297" s="1"/>
      <c r="BA1297" s="1"/>
      <c r="BB1297" s="1"/>
      <c r="BC1297" s="1"/>
      <c r="BD1297" s="1"/>
    </row>
    <row r="1298" spans="35:56">
      <c r="AI1298" s="1"/>
      <c r="AJ1298" s="1"/>
      <c r="AK1298" s="1"/>
      <c r="AL1298" s="1"/>
      <c r="AM1298" s="1"/>
      <c r="AN1298" s="1"/>
      <c r="AO1298" s="1"/>
      <c r="AP1298" s="1"/>
      <c r="AQ1298" s="1"/>
      <c r="AR1298" s="1"/>
      <c r="AS1298" s="1"/>
      <c r="AT1298" s="1"/>
      <c r="AU1298" s="1"/>
      <c r="AV1298" s="1"/>
      <c r="AW1298" s="1"/>
      <c r="AX1298" s="1"/>
      <c r="AY1298" s="1"/>
      <c r="AZ1298" s="1"/>
      <c r="BA1298" s="1"/>
      <c r="BB1298" s="1"/>
      <c r="BC1298" s="1"/>
      <c r="BD1298" s="1"/>
    </row>
    <row r="1299" spans="35:56">
      <c r="AI1299" s="1"/>
      <c r="AJ1299" s="1"/>
      <c r="AK1299" s="1"/>
      <c r="AL1299" s="1"/>
      <c r="AM1299" s="1"/>
      <c r="AN1299" s="1"/>
      <c r="AO1299" s="1"/>
      <c r="AP1299" s="1"/>
      <c r="AQ1299" s="1"/>
      <c r="AR1299" s="1"/>
      <c r="AS1299" s="1"/>
      <c r="AT1299" s="1"/>
      <c r="AU1299" s="1"/>
      <c r="AV1299" s="1"/>
      <c r="AW1299" s="1"/>
      <c r="AX1299" s="1"/>
      <c r="AY1299" s="1"/>
      <c r="AZ1299" s="1"/>
      <c r="BA1299" s="1"/>
      <c r="BB1299" s="1"/>
      <c r="BC1299" s="1"/>
      <c r="BD1299" s="1"/>
    </row>
    <row r="1300" spans="35:56">
      <c r="AI1300" s="1"/>
      <c r="AJ1300" s="1"/>
      <c r="AK1300" s="1"/>
      <c r="AL1300" s="1"/>
      <c r="AM1300" s="1"/>
      <c r="AN1300" s="1"/>
      <c r="AO1300" s="1"/>
      <c r="AP1300" s="1"/>
      <c r="AQ1300" s="1"/>
      <c r="AR1300" s="1"/>
      <c r="AS1300" s="1"/>
      <c r="AT1300" s="1"/>
      <c r="AU1300" s="1"/>
      <c r="AV1300" s="1"/>
      <c r="AW1300" s="1"/>
      <c r="AX1300" s="1"/>
      <c r="AY1300" s="1"/>
      <c r="AZ1300" s="1"/>
      <c r="BA1300" s="1"/>
      <c r="BB1300" s="1"/>
      <c r="BC1300" s="1"/>
      <c r="BD1300" s="1"/>
    </row>
    <row r="1301" spans="35:56">
      <c r="AI1301" s="1"/>
      <c r="AJ1301" s="1"/>
      <c r="AK1301" s="1"/>
      <c r="AL1301" s="1"/>
      <c r="AM1301" s="1"/>
      <c r="AN1301" s="1"/>
      <c r="AO1301" s="1"/>
      <c r="AP1301" s="1"/>
      <c r="AQ1301" s="1"/>
      <c r="AR1301" s="1"/>
      <c r="AS1301" s="1"/>
      <c r="AT1301" s="1"/>
      <c r="AU1301" s="1"/>
      <c r="AV1301" s="1"/>
      <c r="AW1301" s="1"/>
      <c r="AX1301" s="1"/>
      <c r="AY1301" s="1"/>
      <c r="AZ1301" s="1"/>
      <c r="BA1301" s="1"/>
      <c r="BB1301" s="1"/>
      <c r="BC1301" s="1"/>
      <c r="BD1301" s="1"/>
    </row>
    <row r="1302" spans="35:56">
      <c r="AI1302" s="1"/>
      <c r="AJ1302" s="1"/>
      <c r="AK1302" s="1"/>
      <c r="AL1302" s="1"/>
      <c r="AM1302" s="1"/>
      <c r="AN1302" s="1"/>
      <c r="AO1302" s="1"/>
      <c r="AP1302" s="1"/>
      <c r="AQ1302" s="1"/>
      <c r="AR1302" s="1"/>
      <c r="AS1302" s="1"/>
      <c r="AT1302" s="1"/>
      <c r="AU1302" s="1"/>
      <c r="AV1302" s="1"/>
      <c r="AW1302" s="1"/>
      <c r="AX1302" s="1"/>
      <c r="AY1302" s="1"/>
      <c r="AZ1302" s="1"/>
      <c r="BA1302" s="1"/>
      <c r="BB1302" s="1"/>
      <c r="BC1302" s="1"/>
      <c r="BD1302" s="1"/>
    </row>
    <row r="1303" spans="35:56">
      <c r="AI1303" s="1"/>
      <c r="AJ1303" s="1"/>
      <c r="AK1303" s="1"/>
      <c r="AL1303" s="1"/>
      <c r="AM1303" s="1"/>
      <c r="AN1303" s="1"/>
      <c r="AO1303" s="1"/>
      <c r="AP1303" s="1"/>
      <c r="AQ1303" s="1"/>
      <c r="AR1303" s="1"/>
      <c r="AS1303" s="1"/>
      <c r="AT1303" s="1"/>
      <c r="AU1303" s="1"/>
      <c r="AV1303" s="1"/>
      <c r="AW1303" s="1"/>
      <c r="AX1303" s="1"/>
      <c r="AY1303" s="1"/>
      <c r="AZ1303" s="1"/>
      <c r="BA1303" s="1"/>
      <c r="BB1303" s="1"/>
      <c r="BC1303" s="1"/>
      <c r="BD1303" s="1"/>
    </row>
    <row r="1304" spans="35:56">
      <c r="AI1304" s="1"/>
      <c r="AJ1304" s="1"/>
      <c r="AK1304" s="1"/>
      <c r="AL1304" s="1"/>
      <c r="AM1304" s="1"/>
      <c r="AN1304" s="1"/>
      <c r="AO1304" s="1"/>
      <c r="AP1304" s="1"/>
      <c r="AQ1304" s="1"/>
      <c r="AR1304" s="1"/>
      <c r="AS1304" s="1"/>
      <c r="AT1304" s="1"/>
      <c r="AU1304" s="1"/>
      <c r="AV1304" s="1"/>
      <c r="AW1304" s="1"/>
      <c r="AX1304" s="1"/>
      <c r="AY1304" s="1"/>
      <c r="AZ1304" s="1"/>
      <c r="BA1304" s="1"/>
      <c r="BB1304" s="1"/>
      <c r="BC1304" s="1"/>
      <c r="BD1304" s="1"/>
    </row>
    <row r="1305" spans="35:56">
      <c r="AI1305" s="1"/>
      <c r="AJ1305" s="1"/>
      <c r="AK1305" s="1"/>
      <c r="AL1305" s="1"/>
      <c r="AM1305" s="1"/>
      <c r="AN1305" s="1"/>
      <c r="AO1305" s="1"/>
      <c r="AP1305" s="1"/>
      <c r="AQ1305" s="1"/>
      <c r="AR1305" s="1"/>
      <c r="AS1305" s="1"/>
      <c r="AT1305" s="1"/>
      <c r="AU1305" s="1"/>
      <c r="AV1305" s="1"/>
      <c r="AW1305" s="1"/>
      <c r="AX1305" s="1"/>
      <c r="AY1305" s="1"/>
      <c r="AZ1305" s="1"/>
      <c r="BA1305" s="1"/>
      <c r="BB1305" s="1"/>
      <c r="BC1305" s="1"/>
      <c r="BD1305" s="1"/>
    </row>
    <row r="1306" spans="35:56">
      <c r="AI1306" s="1"/>
      <c r="AJ1306" s="1"/>
      <c r="AK1306" s="1"/>
      <c r="AL1306" s="1"/>
      <c r="AM1306" s="1"/>
      <c r="AN1306" s="1"/>
      <c r="AO1306" s="1"/>
      <c r="AP1306" s="1"/>
      <c r="AQ1306" s="1"/>
      <c r="AR1306" s="1"/>
      <c r="AS1306" s="1"/>
      <c r="AT1306" s="1"/>
      <c r="AU1306" s="1"/>
      <c r="AV1306" s="1"/>
      <c r="AW1306" s="1"/>
      <c r="AX1306" s="1"/>
      <c r="AY1306" s="1"/>
      <c r="AZ1306" s="1"/>
      <c r="BA1306" s="1"/>
      <c r="BB1306" s="1"/>
      <c r="BC1306" s="1"/>
      <c r="BD1306" s="1"/>
    </row>
    <row r="1307" spans="35:56">
      <c r="AI1307" s="1"/>
      <c r="AJ1307" s="1"/>
      <c r="AK1307" s="1"/>
      <c r="AL1307" s="1"/>
      <c r="AM1307" s="1"/>
      <c r="AN1307" s="1"/>
      <c r="AO1307" s="1"/>
      <c r="AP1307" s="1"/>
      <c r="AQ1307" s="1"/>
      <c r="AR1307" s="1"/>
      <c r="AS1307" s="1"/>
      <c r="AT1307" s="1"/>
      <c r="AU1307" s="1"/>
      <c r="AV1307" s="1"/>
      <c r="AW1307" s="1"/>
      <c r="AX1307" s="1"/>
      <c r="AY1307" s="1"/>
      <c r="AZ1307" s="1"/>
      <c r="BA1307" s="1"/>
      <c r="BB1307" s="1"/>
      <c r="BC1307" s="1"/>
      <c r="BD1307" s="1"/>
    </row>
    <row r="1308" spans="35:56">
      <c r="AI1308" s="1"/>
      <c r="AJ1308" s="1"/>
      <c r="AK1308" s="1"/>
      <c r="AL1308" s="1"/>
      <c r="AM1308" s="1"/>
      <c r="AN1308" s="1"/>
      <c r="AO1308" s="1"/>
      <c r="AP1308" s="1"/>
      <c r="AQ1308" s="1"/>
      <c r="AR1308" s="1"/>
      <c r="AS1308" s="1"/>
      <c r="AT1308" s="1"/>
      <c r="AU1308" s="1"/>
      <c r="AV1308" s="1"/>
      <c r="AW1308" s="1"/>
      <c r="AX1308" s="1"/>
      <c r="AY1308" s="1"/>
      <c r="AZ1308" s="1"/>
      <c r="BA1308" s="1"/>
      <c r="BB1308" s="1"/>
      <c r="BC1308" s="1"/>
      <c r="BD1308" s="1"/>
    </row>
    <row r="1309" spans="35:56">
      <c r="AI1309" s="1"/>
      <c r="AJ1309" s="1"/>
      <c r="AK1309" s="1"/>
      <c r="AL1309" s="1"/>
      <c r="AM1309" s="1"/>
      <c r="AN1309" s="1"/>
      <c r="AO1309" s="1"/>
      <c r="AP1309" s="1"/>
      <c r="AQ1309" s="1"/>
      <c r="AR1309" s="1"/>
      <c r="AS1309" s="1"/>
      <c r="AT1309" s="1"/>
      <c r="AU1309" s="1"/>
      <c r="AV1309" s="1"/>
      <c r="AW1309" s="1"/>
      <c r="AX1309" s="1"/>
      <c r="AY1309" s="1"/>
      <c r="AZ1309" s="1"/>
      <c r="BA1309" s="1"/>
      <c r="BB1309" s="1"/>
      <c r="BC1309" s="1"/>
      <c r="BD1309" s="1"/>
    </row>
    <row r="1310" spans="35:56">
      <c r="AI1310" s="1"/>
      <c r="AJ1310" s="1"/>
      <c r="AK1310" s="1"/>
      <c r="AL1310" s="1"/>
      <c r="AM1310" s="1"/>
      <c r="AN1310" s="1"/>
      <c r="AO1310" s="1"/>
      <c r="AP1310" s="1"/>
      <c r="AQ1310" s="1"/>
      <c r="AR1310" s="1"/>
      <c r="AS1310" s="1"/>
      <c r="AT1310" s="1"/>
      <c r="AU1310" s="1"/>
      <c r="AV1310" s="1"/>
      <c r="AW1310" s="1"/>
      <c r="AX1310" s="1"/>
      <c r="AY1310" s="1"/>
      <c r="AZ1310" s="1"/>
      <c r="BA1310" s="1"/>
      <c r="BB1310" s="1"/>
      <c r="BC1310" s="1"/>
      <c r="BD1310" s="1"/>
    </row>
    <row r="1311" spans="35:56">
      <c r="AI1311" s="1"/>
      <c r="AJ1311" s="1"/>
      <c r="AK1311" s="1"/>
      <c r="AL1311" s="1"/>
      <c r="AM1311" s="1"/>
      <c r="AN1311" s="1"/>
      <c r="AO1311" s="1"/>
      <c r="AP1311" s="1"/>
      <c r="AQ1311" s="1"/>
      <c r="AR1311" s="1"/>
      <c r="AS1311" s="1"/>
      <c r="AT1311" s="1"/>
      <c r="AU1311" s="1"/>
      <c r="AV1311" s="1"/>
      <c r="AW1311" s="1"/>
      <c r="AX1311" s="1"/>
      <c r="AY1311" s="1"/>
      <c r="AZ1311" s="1"/>
      <c r="BA1311" s="1"/>
      <c r="BB1311" s="1"/>
      <c r="BC1311" s="1"/>
      <c r="BD1311" s="1"/>
    </row>
    <row r="1312" spans="35:56">
      <c r="AI1312" s="1"/>
      <c r="AJ1312" s="1"/>
      <c r="AK1312" s="1"/>
      <c r="AL1312" s="1"/>
      <c r="AM1312" s="1"/>
      <c r="AN1312" s="1"/>
      <c r="AO1312" s="1"/>
      <c r="AP1312" s="1"/>
      <c r="AQ1312" s="1"/>
      <c r="AR1312" s="1"/>
      <c r="AS1312" s="1"/>
      <c r="AT1312" s="1"/>
      <c r="AU1312" s="1"/>
      <c r="AV1312" s="1"/>
      <c r="AW1312" s="1"/>
      <c r="AX1312" s="1"/>
      <c r="AY1312" s="1"/>
      <c r="AZ1312" s="1"/>
      <c r="BA1312" s="1"/>
      <c r="BB1312" s="1"/>
      <c r="BC1312" s="1"/>
      <c r="BD1312" s="1"/>
    </row>
    <row r="1313" spans="35:56">
      <c r="AI1313" s="1"/>
      <c r="AJ1313" s="1"/>
      <c r="AK1313" s="1"/>
      <c r="AL1313" s="1"/>
      <c r="AM1313" s="1"/>
      <c r="AN1313" s="1"/>
      <c r="AO1313" s="1"/>
      <c r="AP1313" s="1"/>
      <c r="AQ1313" s="1"/>
      <c r="AR1313" s="1"/>
      <c r="AS1313" s="1"/>
      <c r="AT1313" s="1"/>
      <c r="AU1313" s="1"/>
      <c r="AV1313" s="1"/>
      <c r="AW1313" s="1"/>
      <c r="AX1313" s="1"/>
      <c r="AY1313" s="1"/>
      <c r="AZ1313" s="1"/>
      <c r="BA1313" s="1"/>
      <c r="BB1313" s="1"/>
      <c r="BC1313" s="1"/>
      <c r="BD1313" s="1"/>
    </row>
    <row r="1314" spans="35:56">
      <c r="AI1314" s="1"/>
      <c r="AJ1314" s="1"/>
      <c r="AK1314" s="1"/>
      <c r="AL1314" s="1"/>
      <c r="AM1314" s="1"/>
      <c r="AN1314" s="1"/>
      <c r="AO1314" s="1"/>
      <c r="AP1314" s="1"/>
      <c r="AQ1314" s="1"/>
      <c r="AR1314" s="1"/>
      <c r="AS1314" s="1"/>
      <c r="AT1314" s="1"/>
      <c r="AU1314" s="1"/>
      <c r="AV1314" s="1"/>
      <c r="AW1314" s="1"/>
      <c r="AX1314" s="1"/>
      <c r="AY1314" s="1"/>
      <c r="AZ1314" s="1"/>
      <c r="BA1314" s="1"/>
      <c r="BB1314" s="1"/>
      <c r="BC1314" s="1"/>
      <c r="BD1314" s="1"/>
    </row>
    <row r="1315" spans="35:56">
      <c r="AI1315" s="1"/>
      <c r="AJ1315" s="1"/>
      <c r="AK1315" s="1"/>
      <c r="AL1315" s="1"/>
      <c r="AM1315" s="1"/>
      <c r="AN1315" s="1"/>
      <c r="AO1315" s="1"/>
      <c r="AP1315" s="1"/>
      <c r="AQ1315" s="1"/>
      <c r="AR1315" s="1"/>
      <c r="AS1315" s="1"/>
      <c r="AT1315" s="1"/>
      <c r="AU1315" s="1"/>
      <c r="AV1315" s="1"/>
      <c r="AW1315" s="1"/>
      <c r="AX1315" s="1"/>
      <c r="AY1315" s="1"/>
      <c r="AZ1315" s="1"/>
      <c r="BA1315" s="1"/>
      <c r="BB1315" s="1"/>
      <c r="BC1315" s="1"/>
      <c r="BD1315" s="1"/>
    </row>
    <row r="1316" spans="35:56">
      <c r="AI1316" s="1"/>
      <c r="AJ1316" s="1"/>
      <c r="AK1316" s="1"/>
      <c r="AL1316" s="1"/>
      <c r="AM1316" s="1"/>
      <c r="AN1316" s="1"/>
      <c r="AO1316" s="1"/>
      <c r="AP1316" s="1"/>
      <c r="AQ1316" s="1"/>
      <c r="AR1316" s="1"/>
      <c r="AS1316" s="1"/>
      <c r="AT1316" s="1"/>
      <c r="AU1316" s="1"/>
      <c r="AV1316" s="1"/>
      <c r="AW1316" s="1"/>
      <c r="AX1316" s="1"/>
      <c r="AY1316" s="1"/>
      <c r="AZ1316" s="1"/>
      <c r="BA1316" s="1"/>
      <c r="BB1316" s="1"/>
      <c r="BC1316" s="1"/>
      <c r="BD1316" s="1"/>
    </row>
    <row r="1317" spans="35:56">
      <c r="AI1317" s="1"/>
      <c r="AJ1317" s="1"/>
      <c r="AK1317" s="1"/>
      <c r="AL1317" s="1"/>
      <c r="AM1317" s="1"/>
      <c r="AN1317" s="1"/>
      <c r="AO1317" s="1"/>
      <c r="AP1317" s="1"/>
      <c r="AQ1317" s="1"/>
      <c r="AR1317" s="1"/>
      <c r="AS1317" s="1"/>
      <c r="AT1317" s="1"/>
      <c r="AU1317" s="1"/>
      <c r="AV1317" s="1"/>
      <c r="AW1317" s="1"/>
      <c r="AX1317" s="1"/>
      <c r="AY1317" s="1"/>
      <c r="AZ1317" s="1"/>
      <c r="BA1317" s="1"/>
      <c r="BB1317" s="1"/>
      <c r="BC1317" s="1"/>
      <c r="BD1317" s="1"/>
    </row>
    <row r="1318" spans="35:56">
      <c r="AI1318" s="1"/>
      <c r="AJ1318" s="1"/>
      <c r="AK1318" s="1"/>
      <c r="AL1318" s="1"/>
      <c r="AM1318" s="1"/>
      <c r="AN1318" s="1"/>
      <c r="AO1318" s="1"/>
      <c r="AP1318" s="1"/>
      <c r="AQ1318" s="1"/>
      <c r="AR1318" s="1"/>
      <c r="AS1318" s="1"/>
      <c r="AT1318" s="1"/>
      <c r="AU1318" s="1"/>
      <c r="AV1318" s="1"/>
      <c r="AW1318" s="1"/>
      <c r="AX1318" s="1"/>
      <c r="AY1318" s="1"/>
      <c r="AZ1318" s="1"/>
      <c r="BA1318" s="1"/>
      <c r="BB1318" s="1"/>
      <c r="BC1318" s="1"/>
      <c r="BD1318" s="1"/>
    </row>
    <row r="1319" spans="35:56">
      <c r="AI1319" s="1"/>
      <c r="AJ1319" s="1"/>
      <c r="AK1319" s="1"/>
      <c r="AL1319" s="1"/>
      <c r="AM1319" s="1"/>
      <c r="AN1319" s="1"/>
      <c r="AO1319" s="1"/>
      <c r="AP1319" s="1"/>
      <c r="AQ1319" s="1"/>
      <c r="AR1319" s="1"/>
      <c r="AS1319" s="1"/>
      <c r="AT1319" s="1"/>
      <c r="AU1319" s="1"/>
      <c r="AV1319" s="1"/>
      <c r="AW1319" s="1"/>
      <c r="AX1319" s="1"/>
      <c r="AY1319" s="1"/>
      <c r="AZ1319" s="1"/>
      <c r="BA1319" s="1"/>
      <c r="BB1319" s="1"/>
      <c r="BC1319" s="1"/>
      <c r="BD1319" s="1"/>
    </row>
    <row r="1320" spans="35:56">
      <c r="AI1320" s="1"/>
      <c r="AJ1320" s="1"/>
      <c r="AK1320" s="1"/>
      <c r="AL1320" s="1"/>
      <c r="AM1320" s="1"/>
      <c r="AN1320" s="1"/>
      <c r="AO1320" s="1"/>
      <c r="AP1320" s="1"/>
      <c r="AQ1320" s="1"/>
      <c r="AR1320" s="1"/>
      <c r="AS1320" s="1"/>
      <c r="AT1320" s="1"/>
      <c r="AU1320" s="1"/>
      <c r="AV1320" s="1"/>
      <c r="AW1320" s="1"/>
      <c r="AX1320" s="1"/>
      <c r="AY1320" s="1"/>
      <c r="AZ1320" s="1"/>
      <c r="BA1320" s="1"/>
      <c r="BB1320" s="1"/>
      <c r="BC1320" s="1"/>
      <c r="BD1320" s="1"/>
    </row>
    <row r="1321" spans="35:56">
      <c r="AI1321" s="1"/>
      <c r="AJ1321" s="1"/>
      <c r="AK1321" s="1"/>
      <c r="AL1321" s="1"/>
      <c r="AM1321" s="1"/>
      <c r="AN1321" s="1"/>
      <c r="AO1321" s="1"/>
      <c r="AP1321" s="1"/>
      <c r="AQ1321" s="1"/>
      <c r="AR1321" s="1"/>
      <c r="AS1321" s="1"/>
      <c r="AT1321" s="1"/>
      <c r="AU1321" s="1"/>
      <c r="AV1321" s="1"/>
      <c r="AW1321" s="1"/>
      <c r="AX1321" s="1"/>
      <c r="AY1321" s="1"/>
      <c r="AZ1321" s="1"/>
      <c r="BA1321" s="1"/>
      <c r="BB1321" s="1"/>
      <c r="BC1321" s="1"/>
      <c r="BD1321" s="1"/>
    </row>
    <row r="1322" spans="35:56">
      <c r="AI1322" s="1"/>
      <c r="AJ1322" s="1"/>
      <c r="AK1322" s="1"/>
      <c r="AL1322" s="1"/>
      <c r="AM1322" s="1"/>
      <c r="AN1322" s="1"/>
      <c r="AO1322" s="1"/>
      <c r="AP1322" s="1"/>
      <c r="AQ1322" s="1"/>
      <c r="AR1322" s="1"/>
      <c r="AS1322" s="1"/>
      <c r="AT1322" s="1"/>
      <c r="AU1322" s="1"/>
      <c r="AV1322" s="1"/>
      <c r="AW1322" s="1"/>
      <c r="AX1322" s="1"/>
      <c r="AY1322" s="1"/>
      <c r="AZ1322" s="1"/>
      <c r="BA1322" s="1"/>
      <c r="BB1322" s="1"/>
      <c r="BC1322" s="1"/>
      <c r="BD1322" s="1"/>
    </row>
    <row r="1323" spans="35:56">
      <c r="AI1323" s="1"/>
      <c r="AJ1323" s="1"/>
      <c r="AK1323" s="1"/>
      <c r="AL1323" s="1"/>
      <c r="AM1323" s="1"/>
      <c r="AN1323" s="1"/>
      <c r="AO1323" s="1"/>
      <c r="AP1323" s="1"/>
      <c r="AQ1323" s="1"/>
      <c r="AR1323" s="1"/>
      <c r="AS1323" s="1"/>
      <c r="AT1323" s="1"/>
      <c r="AU1323" s="1"/>
      <c r="AV1323" s="1"/>
      <c r="AW1323" s="1"/>
      <c r="AX1323" s="1"/>
      <c r="AY1323" s="1"/>
      <c r="AZ1323" s="1"/>
      <c r="BA1323" s="1"/>
      <c r="BB1323" s="1"/>
      <c r="BC1323" s="1"/>
      <c r="BD1323" s="1"/>
    </row>
    <row r="1324" spans="35:56">
      <c r="AI1324" s="1"/>
      <c r="AJ1324" s="1"/>
      <c r="AK1324" s="1"/>
      <c r="AL1324" s="1"/>
      <c r="AM1324" s="1"/>
      <c r="AN1324" s="1"/>
      <c r="AO1324" s="1"/>
      <c r="AP1324" s="1"/>
      <c r="AQ1324" s="1"/>
      <c r="AR1324" s="1"/>
      <c r="AS1324" s="1"/>
      <c r="AT1324" s="1"/>
      <c r="AU1324" s="1"/>
      <c r="AV1324" s="1"/>
      <c r="AW1324" s="1"/>
      <c r="AX1324" s="1"/>
      <c r="AY1324" s="1"/>
      <c r="AZ1324" s="1"/>
      <c r="BA1324" s="1"/>
      <c r="BB1324" s="1"/>
      <c r="BC1324" s="1"/>
      <c r="BD1324" s="1"/>
    </row>
    <row r="1325" spans="35:56">
      <c r="AI1325" s="1"/>
      <c r="AJ1325" s="1"/>
      <c r="AK1325" s="1"/>
      <c r="AL1325" s="1"/>
      <c r="AM1325" s="1"/>
      <c r="AN1325" s="1"/>
      <c r="AO1325" s="1"/>
      <c r="AP1325" s="1"/>
      <c r="AQ1325" s="1"/>
      <c r="AR1325" s="1"/>
      <c r="AS1325" s="1"/>
      <c r="AT1325" s="1"/>
      <c r="AU1325" s="1"/>
      <c r="AV1325" s="1"/>
      <c r="AW1325" s="1"/>
      <c r="AX1325" s="1"/>
      <c r="AY1325" s="1"/>
      <c r="AZ1325" s="1"/>
      <c r="BA1325" s="1"/>
      <c r="BB1325" s="1"/>
      <c r="BC1325" s="1"/>
      <c r="BD1325" s="1"/>
    </row>
    <row r="1326" spans="35:56">
      <c r="AI1326" s="1"/>
      <c r="AJ1326" s="1"/>
      <c r="AK1326" s="1"/>
      <c r="AL1326" s="1"/>
      <c r="AM1326" s="1"/>
      <c r="AN1326" s="1"/>
      <c r="AO1326" s="1"/>
      <c r="AP1326" s="1"/>
      <c r="AQ1326" s="1"/>
      <c r="AR1326" s="1"/>
      <c r="AS1326" s="1"/>
      <c r="AT1326" s="1"/>
      <c r="AU1326" s="1"/>
      <c r="AV1326" s="1"/>
      <c r="AW1326" s="1"/>
      <c r="AX1326" s="1"/>
      <c r="AY1326" s="1"/>
      <c r="AZ1326" s="1"/>
      <c r="BA1326" s="1"/>
      <c r="BB1326" s="1"/>
      <c r="BC1326" s="1"/>
      <c r="BD1326" s="1"/>
    </row>
    <row r="1327" spans="35:56">
      <c r="AI1327" s="1"/>
      <c r="AJ1327" s="1"/>
      <c r="AK1327" s="1"/>
      <c r="AL1327" s="1"/>
      <c r="AM1327" s="1"/>
      <c r="AN1327" s="1"/>
      <c r="AO1327" s="1"/>
      <c r="AP1327" s="1"/>
      <c r="AQ1327" s="1"/>
      <c r="AR1327" s="1"/>
      <c r="AS1327" s="1"/>
      <c r="AT1327" s="1"/>
      <c r="AU1327" s="1"/>
      <c r="AV1327" s="1"/>
      <c r="AW1327" s="1"/>
      <c r="AX1327" s="1"/>
      <c r="AY1327" s="1"/>
      <c r="AZ1327" s="1"/>
      <c r="BA1327" s="1"/>
      <c r="BB1327" s="1"/>
      <c r="BC1327" s="1"/>
      <c r="BD1327" s="1"/>
    </row>
    <row r="1328" spans="35:56">
      <c r="AI1328" s="1"/>
      <c r="AJ1328" s="1"/>
      <c r="AK1328" s="1"/>
      <c r="AL1328" s="1"/>
      <c r="AM1328" s="1"/>
      <c r="AN1328" s="1"/>
      <c r="AO1328" s="1"/>
      <c r="AP1328" s="1"/>
      <c r="AQ1328" s="1"/>
      <c r="AR1328" s="1"/>
      <c r="AS1328" s="1"/>
      <c r="AT1328" s="1"/>
      <c r="AU1328" s="1"/>
      <c r="AV1328" s="1"/>
      <c r="AW1328" s="1"/>
      <c r="AX1328" s="1"/>
      <c r="AY1328" s="1"/>
      <c r="AZ1328" s="1"/>
      <c r="BA1328" s="1"/>
      <c r="BB1328" s="1"/>
      <c r="BC1328" s="1"/>
      <c r="BD1328" s="1"/>
    </row>
    <row r="1329" spans="35:56">
      <c r="AI1329" s="1"/>
      <c r="AJ1329" s="1"/>
      <c r="AK1329" s="1"/>
      <c r="AL1329" s="1"/>
      <c r="AM1329" s="1"/>
      <c r="AN1329" s="1"/>
      <c r="AO1329" s="1"/>
      <c r="AP1329" s="1"/>
      <c r="AQ1329" s="1"/>
      <c r="AR1329" s="1"/>
      <c r="AS1329" s="1"/>
      <c r="AT1329" s="1"/>
      <c r="AU1329" s="1"/>
      <c r="AV1329" s="1"/>
      <c r="AW1329" s="1"/>
      <c r="AX1329" s="1"/>
      <c r="AY1329" s="1"/>
      <c r="AZ1329" s="1"/>
      <c r="BA1329" s="1"/>
      <c r="BB1329" s="1"/>
      <c r="BC1329" s="1"/>
      <c r="BD1329" s="1"/>
    </row>
    <row r="1330" spans="35:56">
      <c r="AI1330" s="1"/>
      <c r="AJ1330" s="1"/>
      <c r="AK1330" s="1"/>
      <c r="AL1330" s="1"/>
      <c r="AM1330" s="1"/>
      <c r="AN1330" s="1"/>
      <c r="AO1330" s="1"/>
      <c r="AP1330" s="1"/>
      <c r="AQ1330" s="1"/>
      <c r="AR1330" s="1"/>
      <c r="AS1330" s="1"/>
      <c r="AT1330" s="1"/>
      <c r="AU1330" s="1"/>
      <c r="AV1330" s="1"/>
      <c r="AW1330" s="1"/>
      <c r="AX1330" s="1"/>
      <c r="AY1330" s="1"/>
      <c r="AZ1330" s="1"/>
      <c r="BA1330" s="1"/>
      <c r="BB1330" s="1"/>
      <c r="BC1330" s="1"/>
      <c r="BD1330" s="1"/>
    </row>
    <row r="1331" spans="35:56">
      <c r="AI1331" s="1"/>
      <c r="AJ1331" s="1"/>
      <c r="AK1331" s="1"/>
      <c r="AL1331" s="1"/>
      <c r="AM1331" s="1"/>
      <c r="AN1331" s="1"/>
      <c r="AO1331" s="1"/>
      <c r="AP1331" s="1"/>
      <c r="AQ1331" s="1"/>
      <c r="AR1331" s="1"/>
      <c r="AS1331" s="1"/>
      <c r="AT1331" s="1"/>
      <c r="AU1331" s="1"/>
      <c r="AV1331" s="1"/>
      <c r="AW1331" s="1"/>
      <c r="AX1331" s="1"/>
      <c r="AY1331" s="1"/>
      <c r="AZ1331" s="1"/>
      <c r="BA1331" s="1"/>
      <c r="BB1331" s="1"/>
      <c r="BC1331" s="1"/>
      <c r="BD1331" s="1"/>
    </row>
    <row r="1332" spans="35:56">
      <c r="AI1332" s="1"/>
      <c r="AJ1332" s="1"/>
      <c r="AK1332" s="1"/>
      <c r="AL1332" s="1"/>
      <c r="AM1332" s="1"/>
      <c r="AN1332" s="1"/>
      <c r="AO1332" s="1"/>
      <c r="AP1332" s="1"/>
      <c r="AQ1332" s="1"/>
      <c r="AR1332" s="1"/>
      <c r="AS1332" s="1"/>
      <c r="AT1332" s="1"/>
      <c r="AU1332" s="1"/>
      <c r="AV1332" s="1"/>
      <c r="AW1332" s="1"/>
      <c r="AX1332" s="1"/>
      <c r="AY1332" s="1"/>
      <c r="AZ1332" s="1"/>
      <c r="BA1332" s="1"/>
      <c r="BB1332" s="1"/>
      <c r="BC1332" s="1"/>
      <c r="BD1332" s="1"/>
    </row>
    <row r="1333" spans="35:56">
      <c r="AI1333" s="1"/>
      <c r="AJ1333" s="1"/>
      <c r="AK1333" s="1"/>
      <c r="AL1333" s="1"/>
      <c r="AM1333" s="1"/>
      <c r="AN1333" s="1"/>
      <c r="AO1333" s="1"/>
      <c r="AP1333" s="1"/>
      <c r="AQ1333" s="1"/>
      <c r="AR1333" s="1"/>
      <c r="AS1333" s="1"/>
      <c r="AT1333" s="1"/>
      <c r="AU1333" s="1"/>
      <c r="AV1333" s="1"/>
      <c r="AW1333" s="1"/>
      <c r="AX1333" s="1"/>
      <c r="AY1333" s="1"/>
      <c r="AZ1333" s="1"/>
      <c r="BA1333" s="1"/>
      <c r="BB1333" s="1"/>
      <c r="BC1333" s="1"/>
      <c r="BD1333" s="1"/>
    </row>
    <row r="1334" spans="35:56">
      <c r="AI1334" s="1"/>
      <c r="AJ1334" s="1"/>
      <c r="AK1334" s="1"/>
      <c r="AL1334" s="1"/>
      <c r="AM1334" s="1"/>
      <c r="AN1334" s="1"/>
      <c r="AO1334" s="1"/>
      <c r="AP1334" s="1"/>
      <c r="AQ1334" s="1"/>
      <c r="AR1334" s="1"/>
      <c r="AS1334" s="1"/>
      <c r="AT1334" s="1"/>
      <c r="AU1334" s="1"/>
      <c r="AV1334" s="1"/>
      <c r="AW1334" s="1"/>
      <c r="AX1334" s="1"/>
      <c r="AY1334" s="1"/>
      <c r="AZ1334" s="1"/>
      <c r="BA1334" s="1"/>
      <c r="BB1334" s="1"/>
      <c r="BC1334" s="1"/>
      <c r="BD1334" s="1"/>
    </row>
    <row r="1335" spans="35:56">
      <c r="AI1335" s="1"/>
      <c r="AJ1335" s="1"/>
      <c r="AK1335" s="1"/>
      <c r="AL1335" s="1"/>
      <c r="AM1335" s="1"/>
      <c r="AN1335" s="1"/>
      <c r="AO1335" s="1"/>
      <c r="AP1335" s="1"/>
      <c r="AQ1335" s="1"/>
      <c r="AR1335" s="1"/>
      <c r="AS1335" s="1"/>
      <c r="AT1335" s="1"/>
      <c r="AU1335" s="1"/>
      <c r="AV1335" s="1"/>
      <c r="AW1335" s="1"/>
      <c r="AX1335" s="1"/>
      <c r="AY1335" s="1"/>
      <c r="AZ1335" s="1"/>
      <c r="BA1335" s="1"/>
      <c r="BB1335" s="1"/>
      <c r="BC1335" s="1"/>
      <c r="BD1335" s="1"/>
    </row>
    <row r="1336" spans="35:56">
      <c r="AI1336" s="1"/>
      <c r="AJ1336" s="1"/>
      <c r="AK1336" s="1"/>
      <c r="AL1336" s="1"/>
      <c r="AM1336" s="1"/>
      <c r="AN1336" s="1"/>
      <c r="AO1336" s="1"/>
      <c r="AP1336" s="1"/>
      <c r="AQ1336" s="1"/>
      <c r="AR1336" s="1"/>
      <c r="AS1336" s="1"/>
      <c r="AT1336" s="1"/>
      <c r="AU1336" s="1"/>
      <c r="AV1336" s="1"/>
      <c r="AW1336" s="1"/>
      <c r="AX1336" s="1"/>
      <c r="AY1336" s="1"/>
      <c r="AZ1336" s="1"/>
      <c r="BA1336" s="1"/>
      <c r="BB1336" s="1"/>
      <c r="BC1336" s="1"/>
      <c r="BD1336" s="1"/>
    </row>
    <row r="1337" spans="35:56">
      <c r="AI1337" s="1"/>
      <c r="AJ1337" s="1"/>
      <c r="AK1337" s="1"/>
      <c r="AL1337" s="1"/>
      <c r="AM1337" s="1"/>
      <c r="AN1337" s="1"/>
      <c r="AO1337" s="1"/>
      <c r="AP1337" s="1"/>
      <c r="AQ1337" s="1"/>
      <c r="AR1337" s="1"/>
      <c r="AS1337" s="1"/>
      <c r="AT1337" s="1"/>
      <c r="AU1337" s="1"/>
      <c r="AV1337" s="1"/>
      <c r="AW1337" s="1"/>
      <c r="AX1337" s="1"/>
      <c r="AY1337" s="1"/>
      <c r="AZ1337" s="1"/>
      <c r="BA1337" s="1"/>
      <c r="BB1337" s="1"/>
      <c r="BC1337" s="1"/>
      <c r="BD1337" s="1"/>
    </row>
    <row r="1338" spans="35:56">
      <c r="AI1338" s="1"/>
      <c r="AJ1338" s="1"/>
      <c r="AK1338" s="1"/>
      <c r="AL1338" s="1"/>
      <c r="AM1338" s="1"/>
      <c r="AN1338" s="1"/>
      <c r="AO1338" s="1"/>
      <c r="AP1338" s="1"/>
      <c r="AQ1338" s="1"/>
      <c r="AR1338" s="1"/>
      <c r="AS1338" s="1"/>
      <c r="AT1338" s="1"/>
      <c r="AU1338" s="1"/>
      <c r="AV1338" s="1"/>
      <c r="AW1338" s="1"/>
      <c r="AX1338" s="1"/>
      <c r="AY1338" s="1"/>
      <c r="AZ1338" s="1"/>
      <c r="BA1338" s="1"/>
      <c r="BB1338" s="1"/>
      <c r="BC1338" s="1"/>
      <c r="BD1338" s="1"/>
    </row>
    <row r="1339" spans="35:56">
      <c r="AI1339" s="1"/>
      <c r="AJ1339" s="1"/>
      <c r="AK1339" s="1"/>
      <c r="AL1339" s="1"/>
      <c r="AM1339" s="1"/>
      <c r="AN1339" s="1"/>
      <c r="AO1339" s="1"/>
      <c r="AP1339" s="1"/>
      <c r="AQ1339" s="1"/>
      <c r="AR1339" s="1"/>
      <c r="AS1339" s="1"/>
      <c r="AT1339" s="1"/>
      <c r="AU1339" s="1"/>
      <c r="AV1339" s="1"/>
      <c r="AW1339" s="1"/>
      <c r="AX1339" s="1"/>
      <c r="AY1339" s="1"/>
      <c r="AZ1339" s="1"/>
      <c r="BA1339" s="1"/>
      <c r="BB1339" s="1"/>
      <c r="BC1339" s="1"/>
      <c r="BD1339" s="1"/>
    </row>
    <row r="1340" spans="35:56">
      <c r="AI1340" s="1"/>
      <c r="AJ1340" s="1"/>
      <c r="AK1340" s="1"/>
      <c r="AL1340" s="1"/>
      <c r="AM1340" s="1"/>
      <c r="AN1340" s="1"/>
      <c r="AO1340" s="1"/>
      <c r="AP1340" s="1"/>
      <c r="AQ1340" s="1"/>
      <c r="AR1340" s="1"/>
      <c r="AS1340" s="1"/>
      <c r="AT1340" s="1"/>
      <c r="AU1340" s="1"/>
      <c r="AV1340" s="1"/>
      <c r="AW1340" s="1"/>
      <c r="AX1340" s="1"/>
      <c r="AY1340" s="1"/>
      <c r="AZ1340" s="1"/>
      <c r="BA1340" s="1"/>
      <c r="BB1340" s="1"/>
      <c r="BC1340" s="1"/>
      <c r="BD1340" s="1"/>
    </row>
    <row r="1341" spans="35:56">
      <c r="AI1341" s="1"/>
      <c r="AJ1341" s="1"/>
      <c r="AK1341" s="1"/>
      <c r="AL1341" s="1"/>
      <c r="AM1341" s="1"/>
      <c r="AN1341" s="1"/>
      <c r="AO1341" s="1"/>
      <c r="AP1341" s="1"/>
      <c r="AQ1341" s="1"/>
      <c r="AR1341" s="1"/>
      <c r="AS1341" s="1"/>
      <c r="AT1341" s="1"/>
      <c r="AU1341" s="1"/>
      <c r="AV1341" s="1"/>
      <c r="AW1341" s="1"/>
      <c r="AX1341" s="1"/>
      <c r="AY1341" s="1"/>
      <c r="AZ1341" s="1"/>
      <c r="BA1341" s="1"/>
      <c r="BB1341" s="1"/>
      <c r="BC1341" s="1"/>
      <c r="BD1341" s="1"/>
    </row>
    <row r="1342" spans="35:56">
      <c r="AI1342" s="1"/>
      <c r="AJ1342" s="1"/>
      <c r="AK1342" s="1"/>
      <c r="AL1342" s="1"/>
      <c r="AM1342" s="1"/>
      <c r="AN1342" s="1"/>
      <c r="AO1342" s="1"/>
      <c r="AP1342" s="1"/>
      <c r="AQ1342" s="1"/>
      <c r="AR1342" s="1"/>
      <c r="AS1342" s="1"/>
      <c r="AT1342" s="1"/>
      <c r="AU1342" s="1"/>
      <c r="AV1342" s="1"/>
      <c r="AW1342" s="1"/>
      <c r="AX1342" s="1"/>
      <c r="AY1342" s="1"/>
      <c r="AZ1342" s="1"/>
      <c r="BA1342" s="1"/>
      <c r="BB1342" s="1"/>
      <c r="BC1342" s="1"/>
      <c r="BD1342" s="1"/>
    </row>
    <row r="1343" spans="35:56">
      <c r="AI1343" s="1"/>
      <c r="AJ1343" s="1"/>
      <c r="AK1343" s="1"/>
      <c r="AL1343" s="1"/>
      <c r="AM1343" s="1"/>
      <c r="AN1343" s="1"/>
      <c r="AO1343" s="1"/>
      <c r="AP1343" s="1"/>
      <c r="AQ1343" s="1"/>
      <c r="AR1343" s="1"/>
      <c r="AS1343" s="1"/>
      <c r="AT1343" s="1"/>
      <c r="AU1343" s="1"/>
      <c r="AV1343" s="1"/>
      <c r="AW1343" s="1"/>
      <c r="AX1343" s="1"/>
      <c r="AY1343" s="1"/>
      <c r="AZ1343" s="1"/>
      <c r="BA1343" s="1"/>
      <c r="BB1343" s="1"/>
      <c r="BC1343" s="1"/>
      <c r="BD1343" s="1"/>
    </row>
    <row r="1344" spans="35:56">
      <c r="AI1344" s="1"/>
      <c r="AJ1344" s="1"/>
      <c r="AK1344" s="1"/>
      <c r="AL1344" s="1"/>
      <c r="AM1344" s="1"/>
      <c r="AN1344" s="1"/>
      <c r="AO1344" s="1"/>
      <c r="AP1344" s="1"/>
      <c r="AQ1344" s="1"/>
      <c r="AR1344" s="1"/>
      <c r="AS1344" s="1"/>
      <c r="AT1344" s="1"/>
      <c r="AU1344" s="1"/>
      <c r="AV1344" s="1"/>
      <c r="AW1344" s="1"/>
      <c r="AX1344" s="1"/>
      <c r="AY1344" s="1"/>
      <c r="AZ1344" s="1"/>
      <c r="BA1344" s="1"/>
      <c r="BB1344" s="1"/>
      <c r="BC1344" s="1"/>
      <c r="BD1344" s="1"/>
    </row>
    <row r="1345" spans="35:56">
      <c r="AI1345" s="1"/>
      <c r="AJ1345" s="1"/>
      <c r="AK1345" s="1"/>
      <c r="AL1345" s="1"/>
      <c r="AM1345" s="1"/>
      <c r="AN1345" s="1"/>
      <c r="AO1345" s="1"/>
      <c r="AP1345" s="1"/>
      <c r="AQ1345" s="1"/>
      <c r="AR1345" s="1"/>
      <c r="AS1345" s="1"/>
      <c r="AT1345" s="1"/>
      <c r="AU1345" s="1"/>
      <c r="AV1345" s="1"/>
      <c r="AW1345" s="1"/>
      <c r="AX1345" s="1"/>
      <c r="AY1345" s="1"/>
      <c r="AZ1345" s="1"/>
      <c r="BA1345" s="1"/>
      <c r="BB1345" s="1"/>
      <c r="BC1345" s="1"/>
      <c r="BD1345" s="1"/>
    </row>
    <row r="1346" spans="35:56">
      <c r="AI1346" s="1"/>
      <c r="AJ1346" s="1"/>
      <c r="AK1346" s="1"/>
      <c r="AL1346" s="1"/>
      <c r="AM1346" s="1"/>
      <c r="AN1346" s="1"/>
      <c r="AO1346" s="1"/>
      <c r="AP1346" s="1"/>
      <c r="AQ1346" s="1"/>
      <c r="AR1346" s="1"/>
      <c r="AS1346" s="1"/>
      <c r="AT1346" s="1"/>
      <c r="AU1346" s="1"/>
      <c r="AV1346" s="1"/>
      <c r="AW1346" s="1"/>
      <c r="AX1346" s="1"/>
      <c r="AY1346" s="1"/>
      <c r="AZ1346" s="1"/>
      <c r="BA1346" s="1"/>
      <c r="BB1346" s="1"/>
      <c r="BC1346" s="1"/>
      <c r="BD1346" s="1"/>
    </row>
    <row r="1347" spans="35:56">
      <c r="AI1347" s="1"/>
      <c r="AJ1347" s="1"/>
      <c r="AK1347" s="1"/>
      <c r="AL1347" s="1"/>
      <c r="AM1347" s="1"/>
      <c r="AN1347" s="1"/>
      <c r="AO1347" s="1"/>
      <c r="AP1347" s="1"/>
      <c r="AQ1347" s="1"/>
      <c r="AR1347" s="1"/>
      <c r="AS1347" s="1"/>
      <c r="AT1347" s="1"/>
      <c r="AU1347" s="1"/>
      <c r="AV1347" s="1"/>
      <c r="AW1347" s="1"/>
      <c r="AX1347" s="1"/>
      <c r="AY1347" s="1"/>
      <c r="AZ1347" s="1"/>
      <c r="BA1347" s="1"/>
      <c r="BB1347" s="1"/>
      <c r="BC1347" s="1"/>
      <c r="BD1347" s="1"/>
    </row>
    <row r="1348" spans="35:56">
      <c r="AI1348" s="1"/>
      <c r="AJ1348" s="1"/>
      <c r="AK1348" s="1"/>
      <c r="AL1348" s="1"/>
      <c r="AM1348" s="1"/>
      <c r="AN1348" s="1"/>
      <c r="AO1348" s="1"/>
      <c r="AP1348" s="1"/>
      <c r="AQ1348" s="1"/>
      <c r="AR1348" s="1"/>
      <c r="AS1348" s="1"/>
      <c r="AT1348" s="1"/>
      <c r="AU1348" s="1"/>
      <c r="AV1348" s="1"/>
      <c r="AW1348" s="1"/>
      <c r="AX1348" s="1"/>
      <c r="AY1348" s="1"/>
      <c r="AZ1348" s="1"/>
      <c r="BA1348" s="1"/>
      <c r="BB1348" s="1"/>
      <c r="BC1348" s="1"/>
      <c r="BD1348" s="1"/>
    </row>
    <row r="1349" spans="35:56">
      <c r="AI1349" s="1"/>
      <c r="AJ1349" s="1"/>
      <c r="AK1349" s="1"/>
      <c r="AL1349" s="1"/>
      <c r="AM1349" s="1"/>
      <c r="AN1349" s="1"/>
      <c r="AO1349" s="1"/>
      <c r="AP1349" s="1"/>
      <c r="AQ1349" s="1"/>
      <c r="AR1349" s="1"/>
      <c r="AS1349" s="1"/>
      <c r="AT1349" s="1"/>
      <c r="AU1349" s="1"/>
      <c r="AV1349" s="1"/>
      <c r="AW1349" s="1"/>
      <c r="AX1349" s="1"/>
      <c r="AY1349" s="1"/>
      <c r="AZ1349" s="1"/>
      <c r="BA1349" s="1"/>
      <c r="BB1349" s="1"/>
      <c r="BC1349" s="1"/>
      <c r="BD1349" s="1"/>
    </row>
    <row r="1350" spans="35:56">
      <c r="AI1350" s="1"/>
      <c r="AJ1350" s="1"/>
      <c r="AK1350" s="1"/>
      <c r="AL1350" s="1"/>
      <c r="AM1350" s="1"/>
      <c r="AN1350" s="1"/>
      <c r="AO1350" s="1"/>
      <c r="AP1350" s="1"/>
      <c r="AQ1350" s="1"/>
      <c r="AR1350" s="1"/>
      <c r="AS1350" s="1"/>
      <c r="AT1350" s="1"/>
      <c r="AU1350" s="1"/>
      <c r="AV1350" s="1"/>
      <c r="AW1350" s="1"/>
      <c r="AX1350" s="1"/>
      <c r="AY1350" s="1"/>
      <c r="AZ1350" s="1"/>
      <c r="BA1350" s="1"/>
      <c r="BB1350" s="1"/>
      <c r="BC1350" s="1"/>
      <c r="BD1350" s="1"/>
    </row>
    <row r="1351" spans="35:56">
      <c r="AI1351" s="1"/>
      <c r="AJ1351" s="1"/>
      <c r="AK1351" s="1"/>
      <c r="AL1351" s="1"/>
      <c r="AM1351" s="1"/>
      <c r="AN1351" s="1"/>
      <c r="AO1351" s="1"/>
      <c r="AP1351" s="1"/>
      <c r="AQ1351" s="1"/>
      <c r="AR1351" s="1"/>
      <c r="AS1351" s="1"/>
      <c r="AT1351" s="1"/>
      <c r="AU1351" s="1"/>
      <c r="AV1351" s="1"/>
      <c r="AW1351" s="1"/>
      <c r="AX1351" s="1"/>
      <c r="AY1351" s="1"/>
      <c r="AZ1351" s="1"/>
      <c r="BA1351" s="1"/>
      <c r="BB1351" s="1"/>
      <c r="BC1351" s="1"/>
      <c r="BD1351" s="1"/>
    </row>
    <row r="1352" spans="35:56">
      <c r="AI1352" s="1"/>
      <c r="AJ1352" s="1"/>
      <c r="AK1352" s="1"/>
      <c r="AL1352" s="1"/>
      <c r="AM1352" s="1"/>
      <c r="AN1352" s="1"/>
      <c r="AO1352" s="1"/>
      <c r="AP1352" s="1"/>
      <c r="AQ1352" s="1"/>
      <c r="AR1352" s="1"/>
      <c r="AS1352" s="1"/>
      <c r="AT1352" s="1"/>
      <c r="AU1352" s="1"/>
      <c r="AV1352" s="1"/>
      <c r="AW1352" s="1"/>
      <c r="AX1352" s="1"/>
      <c r="AY1352" s="1"/>
      <c r="AZ1352" s="1"/>
      <c r="BA1352" s="1"/>
      <c r="BB1352" s="1"/>
      <c r="BC1352" s="1"/>
      <c r="BD1352" s="1"/>
    </row>
    <row r="1353" spans="35:56">
      <c r="AI1353" s="1"/>
      <c r="AJ1353" s="1"/>
      <c r="AK1353" s="1"/>
      <c r="AL1353" s="1"/>
      <c r="AM1353" s="1"/>
      <c r="AN1353" s="1"/>
      <c r="AO1353" s="1"/>
      <c r="AP1353" s="1"/>
      <c r="AQ1353" s="1"/>
      <c r="AR1353" s="1"/>
      <c r="AS1353" s="1"/>
      <c r="AT1353" s="1"/>
      <c r="AU1353" s="1"/>
      <c r="AV1353" s="1"/>
      <c r="AW1353" s="1"/>
      <c r="AX1353" s="1"/>
      <c r="AY1353" s="1"/>
      <c r="AZ1353" s="1"/>
      <c r="BA1353" s="1"/>
      <c r="BB1353" s="1"/>
      <c r="BC1353" s="1"/>
      <c r="BD1353" s="1"/>
    </row>
    <row r="1354" spans="35:56">
      <c r="AI1354" s="1"/>
      <c r="AJ1354" s="1"/>
      <c r="AK1354" s="1"/>
      <c r="AL1354" s="1"/>
      <c r="AM1354" s="1"/>
      <c r="AN1354" s="1"/>
      <c r="AO1354" s="1"/>
      <c r="AP1354" s="1"/>
      <c r="AQ1354" s="1"/>
      <c r="AR1354" s="1"/>
      <c r="AS1354" s="1"/>
      <c r="AT1354" s="1"/>
      <c r="AU1354" s="1"/>
      <c r="AV1354" s="1"/>
      <c r="AW1354" s="1"/>
      <c r="AX1354" s="1"/>
      <c r="AY1354" s="1"/>
      <c r="AZ1354" s="1"/>
      <c r="BA1354" s="1"/>
      <c r="BB1354" s="1"/>
      <c r="BC1354" s="1"/>
      <c r="BD1354" s="1"/>
    </row>
    <row r="1355" spans="35:56">
      <c r="AI1355" s="1"/>
      <c r="AJ1355" s="1"/>
      <c r="AK1355" s="1"/>
      <c r="AL1355" s="1"/>
      <c r="AM1355" s="1"/>
      <c r="AN1355" s="1"/>
      <c r="AO1355" s="1"/>
      <c r="AP1355" s="1"/>
      <c r="AQ1355" s="1"/>
      <c r="AR1355" s="1"/>
      <c r="AS1355" s="1"/>
      <c r="AT1355" s="1"/>
      <c r="AU1355" s="1"/>
      <c r="AV1355" s="1"/>
      <c r="AW1355" s="1"/>
      <c r="AX1355" s="1"/>
      <c r="AY1355" s="1"/>
      <c r="AZ1355" s="1"/>
      <c r="BA1355" s="1"/>
      <c r="BB1355" s="1"/>
      <c r="BC1355" s="1"/>
      <c r="BD1355" s="1"/>
    </row>
    <row r="1356" spans="35:56">
      <c r="AI1356" s="1"/>
      <c r="AJ1356" s="1"/>
      <c r="AK1356" s="1"/>
      <c r="AL1356" s="1"/>
      <c r="AM1356" s="1"/>
      <c r="AN1356" s="1"/>
      <c r="AO1356" s="1"/>
      <c r="AP1356" s="1"/>
      <c r="AQ1356" s="1"/>
      <c r="AR1356" s="1"/>
      <c r="AS1356" s="1"/>
      <c r="AT1356" s="1"/>
      <c r="AU1356" s="1"/>
      <c r="AV1356" s="1"/>
      <c r="AW1356" s="1"/>
      <c r="AX1356" s="1"/>
      <c r="AY1356" s="1"/>
      <c r="AZ1356" s="1"/>
      <c r="BA1356" s="1"/>
      <c r="BB1356" s="1"/>
      <c r="BC1356" s="1"/>
      <c r="BD1356" s="1"/>
    </row>
    <row r="1357" spans="35:56">
      <c r="AI1357" s="1"/>
      <c r="AJ1357" s="1"/>
      <c r="AK1357" s="1"/>
      <c r="AL1357" s="1"/>
      <c r="AM1357" s="1"/>
      <c r="AN1357" s="1"/>
      <c r="AO1357" s="1"/>
      <c r="AP1357" s="1"/>
      <c r="AQ1357" s="1"/>
      <c r="AR1357" s="1"/>
      <c r="AS1357" s="1"/>
      <c r="AT1357" s="1"/>
      <c r="AU1357" s="1"/>
      <c r="AV1357" s="1"/>
      <c r="AW1357" s="1"/>
      <c r="AX1357" s="1"/>
      <c r="AY1357" s="1"/>
      <c r="AZ1357" s="1"/>
      <c r="BA1357" s="1"/>
      <c r="BB1357" s="1"/>
      <c r="BC1357" s="1"/>
      <c r="BD1357" s="1"/>
    </row>
    <row r="1358" spans="35:56">
      <c r="AI1358" s="1"/>
      <c r="AJ1358" s="1"/>
      <c r="AK1358" s="1"/>
      <c r="AL1358" s="1"/>
      <c r="AM1358" s="1"/>
      <c r="AN1358" s="1"/>
      <c r="AO1358" s="1"/>
      <c r="AP1358" s="1"/>
      <c r="AQ1358" s="1"/>
      <c r="AR1358" s="1"/>
      <c r="AS1358" s="1"/>
      <c r="AT1358" s="1"/>
      <c r="AU1358" s="1"/>
      <c r="AV1358" s="1"/>
      <c r="AW1358" s="1"/>
      <c r="AX1358" s="1"/>
      <c r="AY1358" s="1"/>
      <c r="AZ1358" s="1"/>
      <c r="BA1358" s="1"/>
      <c r="BB1358" s="1"/>
      <c r="BC1358" s="1"/>
      <c r="BD1358" s="1"/>
    </row>
    <row r="1359" spans="35:56">
      <c r="AI1359" s="1"/>
      <c r="AJ1359" s="1"/>
      <c r="AK1359" s="1"/>
      <c r="AL1359" s="1"/>
      <c r="AM1359" s="1"/>
      <c r="AN1359" s="1"/>
      <c r="AO1359" s="1"/>
      <c r="AP1359" s="1"/>
      <c r="AQ1359" s="1"/>
      <c r="AR1359" s="1"/>
      <c r="AS1359" s="1"/>
      <c r="AT1359" s="1"/>
      <c r="AU1359" s="1"/>
      <c r="AV1359" s="1"/>
      <c r="AW1359" s="1"/>
      <c r="AX1359" s="1"/>
      <c r="AY1359" s="1"/>
      <c r="AZ1359" s="1"/>
      <c r="BA1359" s="1"/>
      <c r="BB1359" s="1"/>
      <c r="BC1359" s="1"/>
      <c r="BD1359" s="1"/>
    </row>
    <row r="1360" spans="35:56">
      <c r="AI1360" s="1"/>
      <c r="AJ1360" s="1"/>
      <c r="AK1360" s="1"/>
      <c r="AL1360" s="1"/>
      <c r="AM1360" s="1"/>
      <c r="AN1360" s="1"/>
      <c r="AO1360" s="1"/>
      <c r="AP1360" s="1"/>
      <c r="AQ1360" s="1"/>
      <c r="AR1360" s="1"/>
      <c r="AS1360" s="1"/>
      <c r="AT1360" s="1"/>
      <c r="AU1360" s="1"/>
      <c r="AV1360" s="1"/>
      <c r="AW1360" s="1"/>
      <c r="AX1360" s="1"/>
      <c r="AY1360" s="1"/>
      <c r="AZ1360" s="1"/>
      <c r="BA1360" s="1"/>
      <c r="BB1360" s="1"/>
      <c r="BC1360" s="1"/>
      <c r="BD1360" s="1"/>
    </row>
    <row r="1361" spans="35:56">
      <c r="AI1361" s="1"/>
      <c r="AJ1361" s="1"/>
      <c r="AK1361" s="1"/>
      <c r="AL1361" s="1"/>
      <c r="AM1361" s="1"/>
      <c r="AN1361" s="1"/>
      <c r="AO1361" s="1"/>
      <c r="AP1361" s="1"/>
      <c r="AQ1361" s="1"/>
      <c r="AR1361" s="1"/>
      <c r="AS1361" s="1"/>
      <c r="AT1361" s="1"/>
      <c r="AU1361" s="1"/>
      <c r="AV1361" s="1"/>
      <c r="AW1361" s="1"/>
      <c r="AX1361" s="1"/>
      <c r="AY1361" s="1"/>
      <c r="AZ1361" s="1"/>
      <c r="BA1361" s="1"/>
      <c r="BB1361" s="1"/>
      <c r="BC1361" s="1"/>
      <c r="BD1361" s="1"/>
    </row>
    <row r="1362" spans="35:56">
      <c r="AI1362" s="1"/>
      <c r="AJ1362" s="1"/>
      <c r="AK1362" s="1"/>
      <c r="AL1362" s="1"/>
      <c r="AM1362" s="1"/>
      <c r="AN1362" s="1"/>
      <c r="AO1362" s="1"/>
      <c r="AP1362" s="1"/>
      <c r="AQ1362" s="1"/>
      <c r="AR1362" s="1"/>
      <c r="AS1362" s="1"/>
      <c r="AT1362" s="1"/>
      <c r="AU1362" s="1"/>
      <c r="AV1362" s="1"/>
      <c r="AW1362" s="1"/>
      <c r="AX1362" s="1"/>
      <c r="AY1362" s="1"/>
      <c r="AZ1362" s="1"/>
      <c r="BA1362" s="1"/>
      <c r="BB1362" s="1"/>
      <c r="BC1362" s="1"/>
      <c r="BD1362" s="1"/>
    </row>
    <row r="1363" spans="35:56">
      <c r="AI1363" s="1"/>
      <c r="AJ1363" s="1"/>
      <c r="AK1363" s="1"/>
      <c r="AL1363" s="1"/>
      <c r="AM1363" s="1"/>
      <c r="AN1363" s="1"/>
      <c r="AO1363" s="1"/>
      <c r="AP1363" s="1"/>
      <c r="AQ1363" s="1"/>
      <c r="AR1363" s="1"/>
      <c r="AS1363" s="1"/>
      <c r="AT1363" s="1"/>
      <c r="AU1363" s="1"/>
      <c r="AV1363" s="1"/>
      <c r="AW1363" s="1"/>
      <c r="AX1363" s="1"/>
      <c r="AY1363" s="1"/>
      <c r="AZ1363" s="1"/>
      <c r="BA1363" s="1"/>
      <c r="BB1363" s="1"/>
      <c r="BC1363" s="1"/>
      <c r="BD1363" s="1"/>
    </row>
    <row r="1364" spans="35:56">
      <c r="AI1364" s="1"/>
      <c r="AJ1364" s="1"/>
      <c r="AK1364" s="1"/>
      <c r="AL1364" s="1"/>
      <c r="AM1364" s="1"/>
      <c r="AN1364" s="1"/>
      <c r="AO1364" s="1"/>
      <c r="AP1364" s="1"/>
      <c r="AQ1364" s="1"/>
      <c r="AR1364" s="1"/>
      <c r="AS1364" s="1"/>
      <c r="AT1364" s="1"/>
      <c r="AU1364" s="1"/>
      <c r="AV1364" s="1"/>
      <c r="AW1364" s="1"/>
      <c r="AX1364" s="1"/>
      <c r="AY1364" s="1"/>
      <c r="AZ1364" s="1"/>
      <c r="BA1364" s="1"/>
      <c r="BB1364" s="1"/>
      <c r="BC1364" s="1"/>
      <c r="BD1364" s="1"/>
    </row>
    <row r="1365" spans="35:56">
      <c r="AI1365" s="1"/>
      <c r="AJ1365" s="1"/>
      <c r="AK1365" s="1"/>
      <c r="AL1365" s="1"/>
      <c r="AM1365" s="1"/>
      <c r="AN1365" s="1"/>
      <c r="AO1365" s="1"/>
      <c r="AP1365" s="1"/>
      <c r="AQ1365" s="1"/>
      <c r="AR1365" s="1"/>
      <c r="AS1365" s="1"/>
      <c r="AT1365" s="1"/>
      <c r="AU1365" s="1"/>
      <c r="AV1365" s="1"/>
      <c r="AW1365" s="1"/>
      <c r="AX1365" s="1"/>
      <c r="AY1365" s="1"/>
      <c r="AZ1365" s="1"/>
      <c r="BA1365" s="1"/>
      <c r="BB1365" s="1"/>
      <c r="BC1365" s="1"/>
      <c r="BD1365" s="1"/>
    </row>
    <row r="1366" spans="35:56">
      <c r="AI1366" s="1"/>
      <c r="AJ1366" s="1"/>
      <c r="AK1366" s="1"/>
      <c r="AL1366" s="1"/>
      <c r="AM1366" s="1"/>
      <c r="AN1366" s="1"/>
      <c r="AO1366" s="1"/>
      <c r="AP1366" s="1"/>
      <c r="AQ1366" s="1"/>
      <c r="AR1366" s="1"/>
      <c r="AS1366" s="1"/>
      <c r="AT1366" s="1"/>
      <c r="AU1366" s="1"/>
      <c r="AV1366" s="1"/>
      <c r="AW1366" s="1"/>
      <c r="AX1366" s="1"/>
      <c r="AY1366" s="1"/>
      <c r="AZ1366" s="1"/>
      <c r="BA1366" s="1"/>
      <c r="BB1366" s="1"/>
      <c r="BC1366" s="1"/>
      <c r="BD1366" s="1"/>
    </row>
    <row r="1367" spans="35:56">
      <c r="AI1367" s="1"/>
      <c r="AJ1367" s="1"/>
      <c r="AK1367" s="1"/>
      <c r="AL1367" s="1"/>
      <c r="AM1367" s="1"/>
      <c r="AN1367" s="1"/>
      <c r="AO1367" s="1"/>
      <c r="AP1367" s="1"/>
      <c r="AQ1367" s="1"/>
      <c r="AR1367" s="1"/>
      <c r="AS1367" s="1"/>
      <c r="AT1367" s="1"/>
      <c r="AU1367" s="1"/>
      <c r="AV1367" s="1"/>
      <c r="AW1367" s="1"/>
      <c r="AX1367" s="1"/>
      <c r="AY1367" s="1"/>
      <c r="AZ1367" s="1"/>
      <c r="BA1367" s="1"/>
      <c r="BB1367" s="1"/>
      <c r="BC1367" s="1"/>
      <c r="BD1367" s="1"/>
    </row>
    <row r="1368" spans="35:56">
      <c r="AI1368" s="1"/>
      <c r="AJ1368" s="1"/>
      <c r="AK1368" s="1"/>
      <c r="AL1368" s="1"/>
      <c r="AM1368" s="1"/>
      <c r="AN1368" s="1"/>
      <c r="AO1368" s="1"/>
      <c r="AP1368" s="1"/>
      <c r="AQ1368" s="1"/>
      <c r="AR1368" s="1"/>
      <c r="AS1368" s="1"/>
      <c r="AT1368" s="1"/>
      <c r="AU1368" s="1"/>
      <c r="AV1368" s="1"/>
      <c r="AW1368" s="1"/>
      <c r="AX1368" s="1"/>
      <c r="AY1368" s="1"/>
      <c r="AZ1368" s="1"/>
      <c r="BA1368" s="1"/>
      <c r="BB1368" s="1"/>
      <c r="BC1368" s="1"/>
      <c r="BD1368" s="1"/>
    </row>
    <row r="1369" spans="35:56">
      <c r="AI1369" s="1"/>
      <c r="AJ1369" s="1"/>
      <c r="AK1369" s="1"/>
      <c r="AL1369" s="1"/>
      <c r="AM1369" s="1"/>
      <c r="AN1369" s="1"/>
      <c r="AO1369" s="1"/>
      <c r="AP1369" s="1"/>
      <c r="AQ1369" s="1"/>
      <c r="AR1369" s="1"/>
      <c r="AS1369" s="1"/>
      <c r="AT1369" s="1"/>
      <c r="AU1369" s="1"/>
      <c r="AV1369" s="1"/>
      <c r="AW1369" s="1"/>
      <c r="AX1369" s="1"/>
      <c r="AY1369" s="1"/>
      <c r="AZ1369" s="1"/>
      <c r="BA1369" s="1"/>
      <c r="BB1369" s="1"/>
      <c r="BC1369" s="1"/>
      <c r="BD1369" s="1"/>
    </row>
    <row r="1370" spans="35:56">
      <c r="AI1370" s="1"/>
      <c r="AJ1370" s="1"/>
      <c r="AK1370" s="1"/>
      <c r="AL1370" s="1"/>
      <c r="AM1370" s="1"/>
      <c r="AN1370" s="1"/>
      <c r="AO1370" s="1"/>
      <c r="AP1370" s="1"/>
      <c r="AQ1370" s="1"/>
      <c r="AR1370" s="1"/>
      <c r="AS1370" s="1"/>
      <c r="AT1370" s="1"/>
      <c r="AU1370" s="1"/>
      <c r="AV1370" s="1"/>
      <c r="AW1370" s="1"/>
      <c r="AX1370" s="1"/>
      <c r="AY1370" s="1"/>
      <c r="AZ1370" s="1"/>
      <c r="BA1370" s="1"/>
      <c r="BB1370" s="1"/>
      <c r="BC1370" s="1"/>
      <c r="BD1370" s="1"/>
    </row>
    <row r="1371" spans="35:56">
      <c r="AI1371" s="1"/>
      <c r="AJ1371" s="1"/>
      <c r="AK1371" s="1"/>
      <c r="AL1371" s="1"/>
      <c r="AM1371" s="1"/>
      <c r="AN1371" s="1"/>
      <c r="AO1371" s="1"/>
      <c r="AP1371" s="1"/>
      <c r="AQ1371" s="1"/>
      <c r="AR1371" s="1"/>
      <c r="AS1371" s="1"/>
      <c r="AT1371" s="1"/>
      <c r="AU1371" s="1"/>
      <c r="AV1371" s="1"/>
      <c r="AW1371" s="1"/>
      <c r="AX1371" s="1"/>
      <c r="AY1371" s="1"/>
      <c r="AZ1371" s="1"/>
      <c r="BA1371" s="1"/>
      <c r="BB1371" s="1"/>
      <c r="BC1371" s="1"/>
      <c r="BD1371" s="1"/>
    </row>
    <row r="1372" spans="35:56">
      <c r="AI1372" s="1"/>
      <c r="AJ1372" s="1"/>
      <c r="AK1372" s="1"/>
      <c r="AL1372" s="1"/>
      <c r="AM1372" s="1"/>
      <c r="AN1372" s="1"/>
      <c r="AO1372" s="1"/>
      <c r="AP1372" s="1"/>
      <c r="AQ1372" s="1"/>
      <c r="AR1372" s="1"/>
      <c r="AS1372" s="1"/>
      <c r="AT1372" s="1"/>
      <c r="AU1372" s="1"/>
      <c r="AV1372" s="1"/>
      <c r="AW1372" s="1"/>
      <c r="AX1372" s="1"/>
      <c r="AY1372" s="1"/>
      <c r="AZ1372" s="1"/>
      <c r="BA1372" s="1"/>
      <c r="BB1372" s="1"/>
      <c r="BC1372" s="1"/>
      <c r="BD1372" s="1"/>
    </row>
    <row r="1373" spans="35:56">
      <c r="AI1373" s="1"/>
      <c r="AJ1373" s="1"/>
      <c r="AK1373" s="1"/>
      <c r="AL1373" s="1"/>
      <c r="AM1373" s="1"/>
      <c r="AN1373" s="1"/>
      <c r="AO1373" s="1"/>
      <c r="AP1373" s="1"/>
      <c r="AQ1373" s="1"/>
      <c r="AR1373" s="1"/>
      <c r="AS1373" s="1"/>
      <c r="AT1373" s="1"/>
      <c r="AU1373" s="1"/>
      <c r="AV1373" s="1"/>
      <c r="AW1373" s="1"/>
      <c r="AX1373" s="1"/>
      <c r="AY1373" s="1"/>
      <c r="AZ1373" s="1"/>
      <c r="BA1373" s="1"/>
      <c r="BB1373" s="1"/>
      <c r="BC1373" s="1"/>
      <c r="BD1373" s="1"/>
    </row>
    <row r="1374" spans="35:56">
      <c r="AI1374" s="1"/>
      <c r="AJ1374" s="1"/>
      <c r="AK1374" s="1"/>
      <c r="AL1374" s="1"/>
      <c r="AM1374" s="1"/>
      <c r="AN1374" s="1"/>
      <c r="AO1374" s="1"/>
      <c r="AP1374" s="1"/>
      <c r="AQ1374" s="1"/>
      <c r="AR1374" s="1"/>
      <c r="AS1374" s="1"/>
      <c r="AT1374" s="1"/>
      <c r="AU1374" s="1"/>
      <c r="AV1374" s="1"/>
      <c r="AW1374" s="1"/>
      <c r="AX1374" s="1"/>
      <c r="AY1374" s="1"/>
      <c r="AZ1374" s="1"/>
      <c r="BA1374" s="1"/>
      <c r="BB1374" s="1"/>
      <c r="BC1374" s="1"/>
      <c r="BD1374" s="1"/>
    </row>
    <row r="1375" spans="35:56">
      <c r="AI1375" s="1"/>
      <c r="AJ1375" s="1"/>
      <c r="AK1375" s="1"/>
      <c r="AL1375" s="1"/>
      <c r="AM1375" s="1"/>
      <c r="AN1375" s="1"/>
      <c r="AO1375" s="1"/>
      <c r="AP1375" s="1"/>
      <c r="AQ1375" s="1"/>
      <c r="AR1375" s="1"/>
      <c r="AS1375" s="1"/>
      <c r="AT1375" s="1"/>
      <c r="AU1375" s="1"/>
      <c r="AV1375" s="1"/>
      <c r="AW1375" s="1"/>
      <c r="AX1375" s="1"/>
      <c r="AY1375" s="1"/>
      <c r="AZ1375" s="1"/>
      <c r="BA1375" s="1"/>
      <c r="BB1375" s="1"/>
      <c r="BC1375" s="1"/>
      <c r="BD1375" s="1"/>
    </row>
    <row r="1376" spans="35:56">
      <c r="AI1376" s="1"/>
      <c r="AJ1376" s="1"/>
      <c r="AK1376" s="1"/>
      <c r="AL1376" s="1"/>
      <c r="AM1376" s="1"/>
      <c r="AN1376" s="1"/>
      <c r="AO1376" s="1"/>
      <c r="AP1376" s="1"/>
      <c r="AQ1376" s="1"/>
      <c r="AR1376" s="1"/>
      <c r="AS1376" s="1"/>
      <c r="AT1376" s="1"/>
      <c r="AU1376" s="1"/>
      <c r="AV1376" s="1"/>
      <c r="AW1376" s="1"/>
      <c r="AX1376" s="1"/>
      <c r="AY1376" s="1"/>
      <c r="AZ1376" s="1"/>
      <c r="BA1376" s="1"/>
      <c r="BB1376" s="1"/>
      <c r="BC1376" s="1"/>
      <c r="BD1376" s="1"/>
    </row>
    <row r="1377" spans="35:56">
      <c r="AI1377" s="1"/>
      <c r="AJ1377" s="1"/>
      <c r="AK1377" s="1"/>
      <c r="AL1377" s="1"/>
      <c r="AM1377" s="1"/>
      <c r="AN1377" s="1"/>
      <c r="AO1377" s="1"/>
      <c r="AP1377" s="1"/>
      <c r="AQ1377" s="1"/>
      <c r="AR1377" s="1"/>
      <c r="AS1377" s="1"/>
      <c r="AT1377" s="1"/>
      <c r="AU1377" s="1"/>
      <c r="AV1377" s="1"/>
      <c r="AW1377" s="1"/>
      <c r="AX1377" s="1"/>
      <c r="AY1377" s="1"/>
      <c r="AZ1377" s="1"/>
      <c r="BA1377" s="1"/>
      <c r="BB1377" s="1"/>
      <c r="BC1377" s="1"/>
      <c r="BD1377" s="1"/>
    </row>
    <row r="1378" spans="35:56">
      <c r="AI1378" s="1"/>
      <c r="AJ1378" s="1"/>
      <c r="AK1378" s="1"/>
      <c r="AL1378" s="1"/>
      <c r="AM1378" s="1"/>
      <c r="AN1378" s="1"/>
      <c r="AO1378" s="1"/>
      <c r="AP1378" s="1"/>
      <c r="AQ1378" s="1"/>
      <c r="AR1378" s="1"/>
      <c r="AS1378" s="1"/>
      <c r="AT1378" s="1"/>
      <c r="AU1378" s="1"/>
      <c r="AV1378" s="1"/>
      <c r="AW1378" s="1"/>
      <c r="AX1378" s="1"/>
      <c r="AY1378" s="1"/>
      <c r="AZ1378" s="1"/>
      <c r="BA1378" s="1"/>
      <c r="BB1378" s="1"/>
      <c r="BC1378" s="1"/>
      <c r="BD1378" s="1"/>
    </row>
    <row r="1379" spans="35:56">
      <c r="AI1379" s="1"/>
      <c r="AJ1379" s="1"/>
      <c r="AK1379" s="1"/>
      <c r="AL1379" s="1"/>
      <c r="AM1379" s="1"/>
      <c r="AN1379" s="1"/>
      <c r="AO1379" s="1"/>
      <c r="AP1379" s="1"/>
      <c r="AQ1379" s="1"/>
      <c r="AR1379" s="1"/>
      <c r="AS1379" s="1"/>
      <c r="AT1379" s="1"/>
      <c r="AU1379" s="1"/>
      <c r="AV1379" s="1"/>
      <c r="AW1379" s="1"/>
      <c r="AX1379" s="1"/>
      <c r="AY1379" s="1"/>
      <c r="AZ1379" s="1"/>
      <c r="BA1379" s="1"/>
      <c r="BB1379" s="1"/>
      <c r="BC1379" s="1"/>
      <c r="BD1379" s="1"/>
    </row>
    <row r="1380" spans="35:56">
      <c r="AI1380" s="1"/>
      <c r="AJ1380" s="1"/>
      <c r="AK1380" s="1"/>
      <c r="AL1380" s="1"/>
      <c r="AM1380" s="1"/>
      <c r="AN1380" s="1"/>
      <c r="AO1380" s="1"/>
      <c r="AP1380" s="1"/>
      <c r="AQ1380" s="1"/>
      <c r="AR1380" s="1"/>
      <c r="AS1380" s="1"/>
      <c r="AT1380" s="1"/>
      <c r="AU1380" s="1"/>
      <c r="AV1380" s="1"/>
      <c r="AW1380" s="1"/>
      <c r="AX1380" s="1"/>
      <c r="AY1380" s="1"/>
      <c r="AZ1380" s="1"/>
      <c r="BA1380" s="1"/>
      <c r="BB1380" s="1"/>
      <c r="BC1380" s="1"/>
      <c r="BD1380" s="1"/>
    </row>
    <row r="1381" spans="35:56">
      <c r="AI1381" s="1"/>
      <c r="AJ1381" s="1"/>
      <c r="AK1381" s="1"/>
      <c r="AL1381" s="1"/>
      <c r="AM1381" s="1"/>
      <c r="AN1381" s="1"/>
      <c r="AO1381" s="1"/>
      <c r="AP1381" s="1"/>
      <c r="AQ1381" s="1"/>
      <c r="AR1381" s="1"/>
      <c r="AS1381" s="1"/>
      <c r="AT1381" s="1"/>
      <c r="AU1381" s="1"/>
      <c r="AV1381" s="1"/>
      <c r="AW1381" s="1"/>
      <c r="AX1381" s="1"/>
      <c r="AY1381" s="1"/>
      <c r="AZ1381" s="1"/>
      <c r="BA1381" s="1"/>
      <c r="BB1381" s="1"/>
      <c r="BC1381" s="1"/>
      <c r="BD1381" s="1"/>
    </row>
    <row r="1382" spans="35:56">
      <c r="AI1382" s="1"/>
      <c r="AJ1382" s="1"/>
      <c r="AK1382" s="1"/>
      <c r="AL1382" s="1"/>
      <c r="AM1382" s="1"/>
      <c r="AN1382" s="1"/>
      <c r="AO1382" s="1"/>
      <c r="AP1382" s="1"/>
      <c r="AQ1382" s="1"/>
      <c r="AR1382" s="1"/>
      <c r="AS1382" s="1"/>
      <c r="AT1382" s="1"/>
      <c r="AU1382" s="1"/>
      <c r="AV1382" s="1"/>
      <c r="AW1382" s="1"/>
      <c r="AX1382" s="1"/>
      <c r="AY1382" s="1"/>
      <c r="AZ1382" s="1"/>
      <c r="BA1382" s="1"/>
      <c r="BB1382" s="1"/>
      <c r="BC1382" s="1"/>
      <c r="BD1382" s="1"/>
    </row>
    <row r="1383" spans="35:56">
      <c r="AI1383" s="1"/>
      <c r="AJ1383" s="1"/>
      <c r="AK1383" s="1"/>
      <c r="AL1383" s="1"/>
      <c r="AM1383" s="1"/>
      <c r="AN1383" s="1"/>
      <c r="AO1383" s="1"/>
      <c r="AP1383" s="1"/>
      <c r="AQ1383" s="1"/>
      <c r="AR1383" s="1"/>
      <c r="AS1383" s="1"/>
      <c r="AT1383" s="1"/>
      <c r="AU1383" s="1"/>
      <c r="AV1383" s="1"/>
      <c r="AW1383" s="1"/>
      <c r="AX1383" s="1"/>
      <c r="AY1383" s="1"/>
      <c r="AZ1383" s="1"/>
      <c r="BA1383" s="1"/>
      <c r="BB1383" s="1"/>
      <c r="BC1383" s="1"/>
      <c r="BD1383" s="1"/>
    </row>
    <row r="1384" spans="35:56">
      <c r="AI1384" s="1"/>
      <c r="AJ1384" s="1"/>
      <c r="AK1384" s="1"/>
      <c r="AL1384" s="1"/>
      <c r="AM1384" s="1"/>
      <c r="AN1384" s="1"/>
      <c r="AO1384" s="1"/>
      <c r="AP1384" s="1"/>
      <c r="AQ1384" s="1"/>
      <c r="AR1384" s="1"/>
      <c r="AS1384" s="1"/>
      <c r="AT1384" s="1"/>
      <c r="AU1384" s="1"/>
      <c r="AV1384" s="1"/>
      <c r="AW1384" s="1"/>
      <c r="AX1384" s="1"/>
      <c r="AY1384" s="1"/>
      <c r="AZ1384" s="1"/>
      <c r="BA1384" s="1"/>
      <c r="BB1384" s="1"/>
      <c r="BC1384" s="1"/>
      <c r="BD1384" s="1"/>
    </row>
    <row r="1385" spans="35:56">
      <c r="AI1385" s="1"/>
      <c r="AJ1385" s="1"/>
      <c r="AK1385" s="1"/>
      <c r="AL1385" s="1"/>
      <c r="AM1385" s="1"/>
      <c r="AN1385" s="1"/>
      <c r="AO1385" s="1"/>
      <c r="AP1385" s="1"/>
      <c r="AQ1385" s="1"/>
      <c r="AR1385" s="1"/>
      <c r="AS1385" s="1"/>
      <c r="AT1385" s="1"/>
      <c r="AU1385" s="1"/>
      <c r="AV1385" s="1"/>
      <c r="AW1385" s="1"/>
      <c r="AX1385" s="1"/>
      <c r="AY1385" s="1"/>
      <c r="AZ1385" s="1"/>
      <c r="BA1385" s="1"/>
      <c r="BB1385" s="1"/>
      <c r="BC1385" s="1"/>
      <c r="BD1385" s="1"/>
    </row>
    <row r="1386" spans="35:56">
      <c r="AI1386" s="1"/>
      <c r="AJ1386" s="1"/>
      <c r="AK1386" s="1"/>
      <c r="AL1386" s="1"/>
      <c r="AM1386" s="1"/>
      <c r="AN1386" s="1"/>
      <c r="AO1386" s="1"/>
      <c r="AP1386" s="1"/>
      <c r="AQ1386" s="1"/>
      <c r="AR1386" s="1"/>
      <c r="AS1386" s="1"/>
      <c r="AT1386" s="1"/>
      <c r="AU1386" s="1"/>
      <c r="AV1386" s="1"/>
      <c r="AW1386" s="1"/>
      <c r="AX1386" s="1"/>
      <c r="AY1386" s="1"/>
      <c r="AZ1386" s="1"/>
      <c r="BA1386" s="1"/>
      <c r="BB1386" s="1"/>
      <c r="BC1386" s="1"/>
      <c r="BD1386" s="1"/>
    </row>
    <row r="1387" spans="35:56">
      <c r="AI1387" s="1"/>
      <c r="AJ1387" s="1"/>
      <c r="AK1387" s="1"/>
      <c r="AL1387" s="1"/>
      <c r="AM1387" s="1"/>
      <c r="AN1387" s="1"/>
      <c r="AO1387" s="1"/>
      <c r="AP1387" s="1"/>
      <c r="AQ1387" s="1"/>
      <c r="AR1387" s="1"/>
      <c r="AS1387" s="1"/>
      <c r="AT1387" s="1"/>
      <c r="AU1387" s="1"/>
      <c r="AV1387" s="1"/>
      <c r="AW1387" s="1"/>
      <c r="AX1387" s="1"/>
      <c r="AY1387" s="1"/>
      <c r="AZ1387" s="1"/>
      <c r="BA1387" s="1"/>
      <c r="BB1387" s="1"/>
      <c r="BC1387" s="1"/>
      <c r="BD1387" s="1"/>
    </row>
    <row r="1388" spans="35:56">
      <c r="AI1388" s="1"/>
      <c r="AJ1388" s="1"/>
      <c r="AK1388" s="1"/>
      <c r="AL1388" s="1"/>
      <c r="AM1388" s="1"/>
      <c r="AN1388" s="1"/>
      <c r="AO1388" s="1"/>
      <c r="AP1388" s="1"/>
      <c r="AQ1388" s="1"/>
      <c r="AR1388" s="1"/>
      <c r="AS1388" s="1"/>
      <c r="AT1388" s="1"/>
      <c r="AU1388" s="1"/>
      <c r="AV1388" s="1"/>
      <c r="AW1388" s="1"/>
      <c r="AX1388" s="1"/>
      <c r="AY1388" s="1"/>
      <c r="AZ1388" s="1"/>
      <c r="BA1388" s="1"/>
      <c r="BB1388" s="1"/>
      <c r="BC1388" s="1"/>
      <c r="BD1388" s="1"/>
    </row>
    <row r="1389" spans="35:56">
      <c r="AI1389" s="1"/>
      <c r="AJ1389" s="1"/>
      <c r="AK1389" s="1"/>
      <c r="AL1389" s="1"/>
      <c r="AM1389" s="1"/>
      <c r="AN1389" s="1"/>
      <c r="AO1389" s="1"/>
      <c r="AP1389" s="1"/>
      <c r="AQ1389" s="1"/>
      <c r="AR1389" s="1"/>
      <c r="AS1389" s="1"/>
      <c r="AT1389" s="1"/>
      <c r="AU1389" s="1"/>
      <c r="AV1389" s="1"/>
      <c r="AW1389" s="1"/>
      <c r="AX1389" s="1"/>
      <c r="AY1389" s="1"/>
      <c r="AZ1389" s="1"/>
      <c r="BA1389" s="1"/>
      <c r="BB1389" s="1"/>
      <c r="BC1389" s="1"/>
      <c r="BD1389" s="1"/>
    </row>
    <row r="1390" spans="35:56">
      <c r="AI1390" s="1"/>
      <c r="AJ1390" s="1"/>
      <c r="AK1390" s="1"/>
      <c r="AL1390" s="1"/>
      <c r="AM1390" s="1"/>
      <c r="AN1390" s="1"/>
      <c r="AO1390" s="1"/>
      <c r="AP1390" s="1"/>
      <c r="AQ1390" s="1"/>
      <c r="AR1390" s="1"/>
      <c r="AS1390" s="1"/>
      <c r="AT1390" s="1"/>
      <c r="AU1390" s="1"/>
      <c r="AV1390" s="1"/>
      <c r="AW1390" s="1"/>
      <c r="AX1390" s="1"/>
      <c r="AY1390" s="1"/>
      <c r="AZ1390" s="1"/>
      <c r="BA1390" s="1"/>
      <c r="BB1390" s="1"/>
      <c r="BC1390" s="1"/>
      <c r="BD1390" s="1"/>
    </row>
    <row r="1391" spans="35:56">
      <c r="AI1391" s="1"/>
      <c r="AJ1391" s="1"/>
      <c r="AK1391" s="1"/>
      <c r="AL1391" s="1"/>
      <c r="AM1391" s="1"/>
      <c r="AN1391" s="1"/>
      <c r="AO1391" s="1"/>
      <c r="AP1391" s="1"/>
      <c r="AQ1391" s="1"/>
      <c r="AR1391" s="1"/>
      <c r="AS1391" s="1"/>
      <c r="AT1391" s="1"/>
      <c r="AU1391" s="1"/>
      <c r="AV1391" s="1"/>
      <c r="AW1391" s="1"/>
      <c r="AX1391" s="1"/>
      <c r="AY1391" s="1"/>
      <c r="AZ1391" s="1"/>
      <c r="BA1391" s="1"/>
      <c r="BB1391" s="1"/>
      <c r="BC1391" s="1"/>
      <c r="BD1391" s="1"/>
    </row>
    <row r="1392" spans="35:56">
      <c r="AI1392" s="1"/>
      <c r="AJ1392" s="1"/>
      <c r="AK1392" s="1"/>
      <c r="AL1392" s="1"/>
      <c r="AM1392" s="1"/>
      <c r="AN1392" s="1"/>
      <c r="AO1392" s="1"/>
      <c r="AP1392" s="1"/>
      <c r="AQ1392" s="1"/>
      <c r="AR1392" s="1"/>
      <c r="AS1392" s="1"/>
      <c r="AT1392" s="1"/>
      <c r="AU1392" s="1"/>
      <c r="AV1392" s="1"/>
      <c r="AW1392" s="1"/>
      <c r="AX1392" s="1"/>
      <c r="AY1392" s="1"/>
      <c r="AZ1392" s="1"/>
      <c r="BA1392" s="1"/>
      <c r="BB1392" s="1"/>
      <c r="BC1392" s="1"/>
      <c r="BD1392" s="1"/>
    </row>
    <row r="1393" spans="35:56">
      <c r="AI1393" s="1"/>
      <c r="AJ1393" s="1"/>
      <c r="AK1393" s="1"/>
      <c r="AL1393" s="1"/>
      <c r="AM1393" s="1"/>
      <c r="AN1393" s="1"/>
      <c r="AO1393" s="1"/>
      <c r="AP1393" s="1"/>
      <c r="AQ1393" s="1"/>
      <c r="AR1393" s="1"/>
      <c r="AS1393" s="1"/>
      <c r="AT1393" s="1"/>
      <c r="AU1393" s="1"/>
      <c r="AV1393" s="1"/>
      <c r="AW1393" s="1"/>
      <c r="AX1393" s="1"/>
      <c r="AY1393" s="1"/>
      <c r="AZ1393" s="1"/>
      <c r="BA1393" s="1"/>
      <c r="BB1393" s="1"/>
      <c r="BC1393" s="1"/>
      <c r="BD1393" s="1"/>
    </row>
    <row r="1394" spans="35:56">
      <c r="AI1394" s="1"/>
      <c r="AJ1394" s="1"/>
      <c r="AK1394" s="1"/>
      <c r="AL1394" s="1"/>
      <c r="AM1394" s="1"/>
      <c r="AN1394" s="1"/>
      <c r="AO1394" s="1"/>
      <c r="AP1394" s="1"/>
      <c r="AQ1394" s="1"/>
      <c r="AR1394" s="1"/>
      <c r="AS1394" s="1"/>
      <c r="AT1394" s="1"/>
      <c r="AU1394" s="1"/>
      <c r="AV1394" s="1"/>
      <c r="AW1394" s="1"/>
      <c r="AX1394" s="1"/>
      <c r="AY1394" s="1"/>
      <c r="AZ1394" s="1"/>
      <c r="BA1394" s="1"/>
      <c r="BB1394" s="1"/>
      <c r="BC1394" s="1"/>
      <c r="BD1394" s="1"/>
    </row>
    <row r="1395" spans="35:56">
      <c r="AI1395" s="1"/>
      <c r="AJ1395" s="1"/>
      <c r="AK1395" s="1"/>
      <c r="AL1395" s="1"/>
      <c r="AM1395" s="1"/>
      <c r="AN1395" s="1"/>
      <c r="AO1395" s="1"/>
      <c r="AP1395" s="1"/>
      <c r="AQ1395" s="1"/>
      <c r="AR1395" s="1"/>
      <c r="AS1395" s="1"/>
      <c r="AT1395" s="1"/>
      <c r="AU1395" s="1"/>
      <c r="AV1395" s="1"/>
      <c r="AW1395" s="1"/>
      <c r="AX1395" s="1"/>
      <c r="AY1395" s="1"/>
      <c r="AZ1395" s="1"/>
      <c r="BA1395" s="1"/>
      <c r="BB1395" s="1"/>
      <c r="BC1395" s="1"/>
      <c r="BD1395" s="1"/>
    </row>
    <row r="1396" spans="35:56">
      <c r="AI1396" s="1"/>
      <c r="AJ1396" s="1"/>
      <c r="AK1396" s="1"/>
      <c r="AL1396" s="1"/>
      <c r="AM1396" s="1"/>
      <c r="AN1396" s="1"/>
      <c r="AO1396" s="1"/>
      <c r="AP1396" s="1"/>
      <c r="AQ1396" s="1"/>
      <c r="AR1396" s="1"/>
      <c r="AS1396" s="1"/>
      <c r="AT1396" s="1"/>
      <c r="AU1396" s="1"/>
      <c r="AV1396" s="1"/>
      <c r="AW1396" s="1"/>
      <c r="AX1396" s="1"/>
      <c r="AY1396" s="1"/>
      <c r="AZ1396" s="1"/>
      <c r="BA1396" s="1"/>
      <c r="BB1396" s="1"/>
      <c r="BC1396" s="1"/>
      <c r="BD1396" s="1"/>
    </row>
    <row r="1397" spans="35:56">
      <c r="AI1397" s="1"/>
      <c r="AJ1397" s="1"/>
      <c r="AK1397" s="1"/>
      <c r="AL1397" s="1"/>
      <c r="AM1397" s="1"/>
      <c r="AN1397" s="1"/>
      <c r="AO1397" s="1"/>
      <c r="AP1397" s="1"/>
      <c r="AQ1397" s="1"/>
      <c r="AR1397" s="1"/>
      <c r="AS1397" s="1"/>
      <c r="AT1397" s="1"/>
      <c r="AU1397" s="1"/>
      <c r="AV1397" s="1"/>
      <c r="AW1397" s="1"/>
      <c r="AX1397" s="1"/>
      <c r="AY1397" s="1"/>
      <c r="AZ1397" s="1"/>
      <c r="BA1397" s="1"/>
      <c r="BB1397" s="1"/>
      <c r="BC1397" s="1"/>
      <c r="BD1397" s="1"/>
    </row>
    <row r="1398" spans="35:56">
      <c r="AI1398" s="1"/>
      <c r="AJ1398" s="1"/>
      <c r="AK1398" s="1"/>
      <c r="AL1398" s="1"/>
      <c r="AM1398" s="1"/>
      <c r="AN1398" s="1"/>
      <c r="AO1398" s="1"/>
      <c r="AP1398" s="1"/>
      <c r="AQ1398" s="1"/>
      <c r="AR1398" s="1"/>
      <c r="AS1398" s="1"/>
      <c r="AT1398" s="1"/>
      <c r="AU1398" s="1"/>
      <c r="AV1398" s="1"/>
      <c r="AW1398" s="1"/>
      <c r="AX1398" s="1"/>
      <c r="AY1398" s="1"/>
      <c r="AZ1398" s="1"/>
      <c r="BA1398" s="1"/>
      <c r="BB1398" s="1"/>
      <c r="BC1398" s="1"/>
      <c r="BD1398" s="1"/>
    </row>
    <row r="1399" spans="35:56">
      <c r="AI1399" s="1"/>
      <c r="AJ1399" s="1"/>
      <c r="AK1399" s="1"/>
      <c r="AL1399" s="1"/>
      <c r="AM1399" s="1"/>
      <c r="AN1399" s="1"/>
      <c r="AO1399" s="1"/>
      <c r="AP1399" s="1"/>
      <c r="AQ1399" s="1"/>
      <c r="AR1399" s="1"/>
      <c r="AS1399" s="1"/>
      <c r="AT1399" s="1"/>
      <c r="AU1399" s="1"/>
      <c r="AV1399" s="1"/>
      <c r="AW1399" s="1"/>
      <c r="AX1399" s="1"/>
      <c r="AY1399" s="1"/>
      <c r="AZ1399" s="1"/>
      <c r="BA1399" s="1"/>
      <c r="BB1399" s="1"/>
      <c r="BC1399" s="1"/>
      <c r="BD1399" s="1"/>
    </row>
    <row r="1400" spans="35:56">
      <c r="AI1400" s="1"/>
      <c r="AJ1400" s="1"/>
      <c r="AK1400" s="1"/>
      <c r="AL1400" s="1"/>
      <c r="AM1400" s="1"/>
      <c r="AN1400" s="1"/>
      <c r="AO1400" s="1"/>
      <c r="AP1400" s="1"/>
      <c r="AQ1400" s="1"/>
      <c r="AR1400" s="1"/>
      <c r="AS1400" s="1"/>
      <c r="AT1400" s="1"/>
      <c r="AU1400" s="1"/>
      <c r="AV1400" s="1"/>
      <c r="AW1400" s="1"/>
      <c r="AX1400" s="1"/>
      <c r="AY1400" s="1"/>
      <c r="AZ1400" s="1"/>
      <c r="BA1400" s="1"/>
      <c r="BB1400" s="1"/>
      <c r="BC1400" s="1"/>
      <c r="BD1400" s="1"/>
    </row>
    <row r="1401" spans="35:56">
      <c r="AI1401" s="1"/>
      <c r="AJ1401" s="1"/>
      <c r="AK1401" s="1"/>
      <c r="AL1401" s="1"/>
      <c r="AM1401" s="1"/>
      <c r="AN1401" s="1"/>
      <c r="AO1401" s="1"/>
      <c r="AP1401" s="1"/>
      <c r="AQ1401" s="1"/>
      <c r="AR1401" s="1"/>
      <c r="AS1401" s="1"/>
      <c r="AT1401" s="1"/>
      <c r="AU1401" s="1"/>
      <c r="AV1401" s="1"/>
      <c r="AW1401" s="1"/>
      <c r="AX1401" s="1"/>
      <c r="AY1401" s="1"/>
      <c r="AZ1401" s="1"/>
      <c r="BA1401" s="1"/>
      <c r="BB1401" s="1"/>
      <c r="BC1401" s="1"/>
      <c r="BD1401" s="1"/>
    </row>
    <row r="1402" spans="35:56">
      <c r="AI1402" s="1"/>
      <c r="AJ1402" s="1"/>
      <c r="AK1402" s="1"/>
      <c r="AL1402" s="1"/>
      <c r="AM1402" s="1"/>
      <c r="AN1402" s="1"/>
      <c r="AO1402" s="1"/>
      <c r="AP1402" s="1"/>
      <c r="AQ1402" s="1"/>
      <c r="AR1402" s="1"/>
      <c r="AS1402" s="1"/>
      <c r="AT1402" s="1"/>
      <c r="AU1402" s="1"/>
      <c r="AV1402" s="1"/>
      <c r="AW1402" s="1"/>
      <c r="AX1402" s="1"/>
      <c r="AY1402" s="1"/>
      <c r="AZ1402" s="1"/>
      <c r="BA1402" s="1"/>
      <c r="BB1402" s="1"/>
      <c r="BC1402" s="1"/>
      <c r="BD1402" s="1"/>
    </row>
    <row r="1403" spans="35:56">
      <c r="AI1403" s="1"/>
      <c r="AJ1403" s="1"/>
      <c r="AK1403" s="1"/>
      <c r="AL1403" s="1"/>
      <c r="AM1403" s="1"/>
      <c r="AN1403" s="1"/>
      <c r="AO1403" s="1"/>
      <c r="AP1403" s="1"/>
      <c r="AQ1403" s="1"/>
      <c r="AR1403" s="1"/>
      <c r="AS1403" s="1"/>
      <c r="AT1403" s="1"/>
      <c r="AU1403" s="1"/>
      <c r="AV1403" s="1"/>
      <c r="AW1403" s="1"/>
      <c r="AX1403" s="1"/>
      <c r="AY1403" s="1"/>
      <c r="AZ1403" s="1"/>
      <c r="BA1403" s="1"/>
      <c r="BB1403" s="1"/>
      <c r="BC1403" s="1"/>
      <c r="BD1403" s="1"/>
    </row>
    <row r="1404" spans="35:56">
      <c r="AI1404" s="1"/>
      <c r="AJ1404" s="1"/>
      <c r="AK1404" s="1"/>
      <c r="AL1404" s="1"/>
      <c r="AM1404" s="1"/>
      <c r="AN1404" s="1"/>
      <c r="AO1404" s="1"/>
      <c r="AP1404" s="1"/>
      <c r="AQ1404" s="1"/>
      <c r="AR1404" s="1"/>
      <c r="AS1404" s="1"/>
      <c r="AT1404" s="1"/>
      <c r="AU1404" s="1"/>
      <c r="AV1404" s="1"/>
      <c r="AW1404" s="1"/>
      <c r="AX1404" s="1"/>
      <c r="AY1404" s="1"/>
      <c r="AZ1404" s="1"/>
      <c r="BA1404" s="1"/>
      <c r="BB1404" s="1"/>
      <c r="BC1404" s="1"/>
      <c r="BD1404" s="1"/>
    </row>
    <row r="1405" spans="35:56">
      <c r="AI1405" s="1"/>
      <c r="AJ1405" s="1"/>
      <c r="AK1405" s="1"/>
      <c r="AL1405" s="1"/>
      <c r="AM1405" s="1"/>
      <c r="AN1405" s="1"/>
      <c r="AO1405" s="1"/>
      <c r="AP1405" s="1"/>
      <c r="AQ1405" s="1"/>
      <c r="AR1405" s="1"/>
      <c r="AS1405" s="1"/>
      <c r="AT1405" s="1"/>
      <c r="AU1405" s="1"/>
      <c r="AV1405" s="1"/>
      <c r="AW1405" s="1"/>
      <c r="AX1405" s="1"/>
      <c r="AY1405" s="1"/>
      <c r="AZ1405" s="1"/>
      <c r="BA1405" s="1"/>
      <c r="BB1405" s="1"/>
      <c r="BC1405" s="1"/>
      <c r="BD1405" s="1"/>
    </row>
    <row r="1406" spans="35:56">
      <c r="AI1406" s="1"/>
      <c r="AJ1406" s="1"/>
      <c r="AK1406" s="1"/>
      <c r="AL1406" s="1"/>
      <c r="AM1406" s="1"/>
      <c r="AN1406" s="1"/>
      <c r="AO1406" s="1"/>
      <c r="AP1406" s="1"/>
      <c r="AQ1406" s="1"/>
      <c r="AR1406" s="1"/>
      <c r="AS1406" s="1"/>
      <c r="AT1406" s="1"/>
      <c r="AU1406" s="1"/>
      <c r="AV1406" s="1"/>
      <c r="AW1406" s="1"/>
      <c r="AX1406" s="1"/>
      <c r="AY1406" s="1"/>
      <c r="AZ1406" s="1"/>
      <c r="BA1406" s="1"/>
      <c r="BB1406" s="1"/>
      <c r="BC1406" s="1"/>
      <c r="BD1406" s="1"/>
    </row>
    <row r="1407" spans="35:56">
      <c r="AI1407" s="1"/>
      <c r="AJ1407" s="1"/>
      <c r="AK1407" s="1"/>
      <c r="AL1407" s="1"/>
      <c r="AM1407" s="1"/>
      <c r="AN1407" s="1"/>
      <c r="AO1407" s="1"/>
      <c r="AP1407" s="1"/>
      <c r="AQ1407" s="1"/>
      <c r="AR1407" s="1"/>
      <c r="AS1407" s="1"/>
      <c r="AT1407" s="1"/>
      <c r="AU1407" s="1"/>
      <c r="AV1407" s="1"/>
      <c r="AW1407" s="1"/>
      <c r="AX1407" s="1"/>
      <c r="AY1407" s="1"/>
      <c r="AZ1407" s="1"/>
      <c r="BA1407" s="1"/>
      <c r="BB1407" s="1"/>
      <c r="BC1407" s="1"/>
      <c r="BD1407" s="1"/>
    </row>
    <row r="1408" spans="35:56">
      <c r="AI1408" s="1"/>
      <c r="AJ1408" s="1"/>
      <c r="AK1408" s="1"/>
      <c r="AL1408" s="1"/>
      <c r="AM1408" s="1"/>
      <c r="AN1408" s="1"/>
      <c r="AO1408" s="1"/>
      <c r="AP1408" s="1"/>
      <c r="AQ1408" s="1"/>
      <c r="AR1408" s="1"/>
      <c r="AS1408" s="1"/>
      <c r="AT1408" s="1"/>
      <c r="AU1408" s="1"/>
      <c r="AV1408" s="1"/>
      <c r="AW1408" s="1"/>
      <c r="AX1408" s="1"/>
      <c r="AY1408" s="1"/>
      <c r="AZ1408" s="1"/>
      <c r="BA1408" s="1"/>
      <c r="BB1408" s="1"/>
      <c r="BC1408" s="1"/>
      <c r="BD1408" s="1"/>
    </row>
    <row r="1409" spans="35:56">
      <c r="AI1409" s="1"/>
      <c r="AJ1409" s="1"/>
      <c r="AK1409" s="1"/>
      <c r="AL1409" s="1"/>
      <c r="AM1409" s="1"/>
      <c r="AN1409" s="1"/>
      <c r="AO1409" s="1"/>
      <c r="AP1409" s="1"/>
      <c r="AQ1409" s="1"/>
      <c r="AR1409" s="1"/>
      <c r="AS1409" s="1"/>
      <c r="AT1409" s="1"/>
      <c r="AU1409" s="1"/>
      <c r="AV1409" s="1"/>
      <c r="AW1409" s="1"/>
      <c r="AX1409" s="1"/>
      <c r="AY1409" s="1"/>
      <c r="AZ1409" s="1"/>
      <c r="BA1409" s="1"/>
      <c r="BB1409" s="1"/>
      <c r="BC1409" s="1"/>
      <c r="BD1409" s="1"/>
    </row>
    <row r="1410" spans="35:56">
      <c r="AI1410" s="1"/>
      <c r="AJ1410" s="1"/>
      <c r="AK1410" s="1"/>
      <c r="AL1410" s="1"/>
      <c r="AM1410" s="1"/>
      <c r="AN1410" s="1"/>
      <c r="AO1410" s="1"/>
      <c r="AP1410" s="1"/>
      <c r="AQ1410" s="1"/>
      <c r="AR1410" s="1"/>
      <c r="AS1410" s="1"/>
      <c r="AT1410" s="1"/>
      <c r="AU1410" s="1"/>
      <c r="AV1410" s="1"/>
      <c r="AW1410" s="1"/>
      <c r="AX1410" s="1"/>
      <c r="AY1410" s="1"/>
      <c r="AZ1410" s="1"/>
      <c r="BA1410" s="1"/>
      <c r="BB1410" s="1"/>
      <c r="BC1410" s="1"/>
      <c r="BD1410" s="1"/>
    </row>
    <row r="1411" spans="35:56">
      <c r="AI1411" s="1"/>
      <c r="AJ1411" s="1"/>
      <c r="AK1411" s="1"/>
      <c r="AL1411" s="1"/>
      <c r="AM1411" s="1"/>
      <c r="AN1411" s="1"/>
      <c r="AO1411" s="1"/>
      <c r="AP1411" s="1"/>
      <c r="AQ1411" s="1"/>
      <c r="AR1411" s="1"/>
      <c r="AS1411" s="1"/>
      <c r="AT1411" s="1"/>
      <c r="AU1411" s="1"/>
      <c r="AV1411" s="1"/>
      <c r="AW1411" s="1"/>
      <c r="AX1411" s="1"/>
      <c r="AY1411" s="1"/>
      <c r="AZ1411" s="1"/>
      <c r="BA1411" s="1"/>
      <c r="BB1411" s="1"/>
      <c r="BC1411" s="1"/>
      <c r="BD1411" s="1"/>
    </row>
    <row r="1412" spans="35:56">
      <c r="AI1412" s="1"/>
      <c r="AJ1412" s="1"/>
      <c r="AK1412" s="1"/>
      <c r="AL1412" s="1"/>
      <c r="AM1412" s="1"/>
      <c r="AN1412" s="1"/>
      <c r="AO1412" s="1"/>
      <c r="AP1412" s="1"/>
      <c r="AQ1412" s="1"/>
      <c r="AR1412" s="1"/>
      <c r="AS1412" s="1"/>
      <c r="AT1412" s="1"/>
      <c r="AU1412" s="1"/>
      <c r="AV1412" s="1"/>
      <c r="AW1412" s="1"/>
      <c r="AX1412" s="1"/>
      <c r="AY1412" s="1"/>
      <c r="AZ1412" s="1"/>
      <c r="BA1412" s="1"/>
      <c r="BB1412" s="1"/>
      <c r="BC1412" s="1"/>
      <c r="BD1412" s="1"/>
    </row>
    <row r="1413" spans="35:56">
      <c r="AI1413" s="1"/>
      <c r="AJ1413" s="1"/>
      <c r="AK1413" s="1"/>
      <c r="AL1413" s="1"/>
      <c r="AM1413" s="1"/>
      <c r="AN1413" s="1"/>
      <c r="AO1413" s="1"/>
      <c r="AP1413" s="1"/>
      <c r="AQ1413" s="1"/>
      <c r="AR1413" s="1"/>
      <c r="AS1413" s="1"/>
      <c r="AT1413" s="1"/>
      <c r="AU1413" s="1"/>
      <c r="AV1413" s="1"/>
      <c r="AW1413" s="1"/>
      <c r="AX1413" s="1"/>
      <c r="AY1413" s="1"/>
      <c r="AZ1413" s="1"/>
      <c r="BA1413" s="1"/>
      <c r="BB1413" s="1"/>
      <c r="BC1413" s="1"/>
      <c r="BD1413" s="1"/>
    </row>
    <row r="1414" spans="35:56">
      <c r="AI1414" s="1"/>
      <c r="AJ1414" s="1"/>
      <c r="AK1414" s="1"/>
      <c r="AL1414" s="1"/>
      <c r="AM1414" s="1"/>
      <c r="AN1414" s="1"/>
      <c r="AO1414" s="1"/>
      <c r="AP1414" s="1"/>
      <c r="AQ1414" s="1"/>
      <c r="AR1414" s="1"/>
      <c r="AS1414" s="1"/>
      <c r="AT1414" s="1"/>
      <c r="AU1414" s="1"/>
      <c r="AV1414" s="1"/>
      <c r="AW1414" s="1"/>
      <c r="AX1414" s="1"/>
      <c r="AY1414" s="1"/>
      <c r="AZ1414" s="1"/>
      <c r="BA1414" s="1"/>
      <c r="BB1414" s="1"/>
      <c r="BC1414" s="1"/>
      <c r="BD1414" s="1"/>
    </row>
    <row r="1415" spans="35:56">
      <c r="AI1415" s="1"/>
      <c r="AJ1415" s="1"/>
      <c r="AK1415" s="1"/>
      <c r="AL1415" s="1"/>
      <c r="AM1415" s="1"/>
      <c r="AN1415" s="1"/>
      <c r="AO1415" s="1"/>
      <c r="AP1415" s="1"/>
      <c r="AQ1415" s="1"/>
      <c r="AR1415" s="1"/>
      <c r="AS1415" s="1"/>
      <c r="AT1415" s="1"/>
      <c r="AU1415" s="1"/>
      <c r="AV1415" s="1"/>
      <c r="AW1415" s="1"/>
      <c r="AX1415" s="1"/>
      <c r="AY1415" s="1"/>
      <c r="AZ1415" s="1"/>
      <c r="BA1415" s="1"/>
      <c r="BB1415" s="1"/>
      <c r="BC1415" s="1"/>
      <c r="BD1415" s="1"/>
    </row>
    <row r="1416" spans="35:56">
      <c r="AI1416" s="1"/>
      <c r="AJ1416" s="1"/>
      <c r="AK1416" s="1"/>
      <c r="AL1416" s="1"/>
      <c r="AM1416" s="1"/>
      <c r="AN1416" s="1"/>
      <c r="AO1416" s="1"/>
      <c r="AP1416" s="1"/>
      <c r="AQ1416" s="1"/>
      <c r="AR1416" s="1"/>
      <c r="AS1416" s="1"/>
      <c r="AT1416" s="1"/>
      <c r="AU1416" s="1"/>
      <c r="AV1416" s="1"/>
      <c r="AW1416" s="1"/>
      <c r="AX1416" s="1"/>
      <c r="AY1416" s="1"/>
      <c r="AZ1416" s="1"/>
      <c r="BA1416" s="1"/>
      <c r="BB1416" s="1"/>
      <c r="BC1416" s="1"/>
      <c r="BD1416" s="1"/>
    </row>
    <row r="1417" spans="35:56">
      <c r="AI1417" s="1"/>
      <c r="AJ1417" s="1"/>
      <c r="AK1417" s="1"/>
      <c r="AL1417" s="1"/>
      <c r="AM1417" s="1"/>
      <c r="AN1417" s="1"/>
      <c r="AO1417" s="1"/>
      <c r="AP1417" s="1"/>
      <c r="AQ1417" s="1"/>
      <c r="AR1417" s="1"/>
      <c r="AS1417" s="1"/>
      <c r="AT1417" s="1"/>
      <c r="AU1417" s="1"/>
      <c r="AV1417" s="1"/>
      <c r="AW1417" s="1"/>
      <c r="AX1417" s="1"/>
      <c r="AY1417" s="1"/>
      <c r="AZ1417" s="1"/>
      <c r="BA1417" s="1"/>
      <c r="BB1417" s="1"/>
      <c r="BC1417" s="1"/>
      <c r="BD1417" s="1"/>
    </row>
    <row r="1418" spans="35:56">
      <c r="AI1418" s="1"/>
      <c r="AJ1418" s="1"/>
      <c r="AK1418" s="1"/>
      <c r="AL1418" s="1"/>
      <c r="AM1418" s="1"/>
      <c r="AN1418" s="1"/>
      <c r="AO1418" s="1"/>
      <c r="AP1418" s="1"/>
      <c r="AQ1418" s="1"/>
      <c r="AR1418" s="1"/>
      <c r="AS1418" s="1"/>
      <c r="AT1418" s="1"/>
      <c r="AU1418" s="1"/>
      <c r="AV1418" s="1"/>
      <c r="AW1418" s="1"/>
      <c r="AX1418" s="1"/>
      <c r="AY1418" s="1"/>
      <c r="AZ1418" s="1"/>
      <c r="BA1418" s="1"/>
      <c r="BB1418" s="1"/>
      <c r="BC1418" s="1"/>
      <c r="BD1418" s="1"/>
    </row>
    <row r="1419" spans="35:56">
      <c r="AI1419" s="1"/>
      <c r="AJ1419" s="1"/>
      <c r="AK1419" s="1"/>
      <c r="AL1419" s="1"/>
      <c r="AM1419" s="1"/>
      <c r="AN1419" s="1"/>
      <c r="AO1419" s="1"/>
      <c r="AP1419" s="1"/>
      <c r="AQ1419" s="1"/>
      <c r="AR1419" s="1"/>
      <c r="AS1419" s="1"/>
      <c r="AT1419" s="1"/>
      <c r="AU1419" s="1"/>
      <c r="AV1419" s="1"/>
      <c r="AW1419" s="1"/>
      <c r="AX1419" s="1"/>
      <c r="AY1419" s="1"/>
      <c r="AZ1419" s="1"/>
      <c r="BA1419" s="1"/>
      <c r="BB1419" s="1"/>
      <c r="BC1419" s="1"/>
      <c r="BD1419" s="1"/>
    </row>
    <row r="1420" spans="35:56">
      <c r="AI1420" s="1"/>
      <c r="AJ1420" s="1"/>
      <c r="AK1420" s="1"/>
      <c r="AL1420" s="1"/>
      <c r="AM1420" s="1"/>
      <c r="AN1420" s="1"/>
      <c r="AO1420" s="1"/>
      <c r="AP1420" s="1"/>
      <c r="AQ1420" s="1"/>
      <c r="AR1420" s="1"/>
      <c r="AS1420" s="1"/>
      <c r="AT1420" s="1"/>
      <c r="AU1420" s="1"/>
      <c r="AV1420" s="1"/>
      <c r="AW1420" s="1"/>
      <c r="AX1420" s="1"/>
      <c r="AY1420" s="1"/>
      <c r="AZ1420" s="1"/>
      <c r="BA1420" s="1"/>
      <c r="BB1420" s="1"/>
      <c r="BC1420" s="1"/>
      <c r="BD1420" s="1"/>
    </row>
    <row r="1421" spans="35:56">
      <c r="AI1421" s="1"/>
      <c r="AJ1421" s="1"/>
      <c r="AK1421" s="1"/>
      <c r="AL1421" s="1"/>
      <c r="AM1421" s="1"/>
      <c r="AN1421" s="1"/>
      <c r="AO1421" s="1"/>
      <c r="AP1421" s="1"/>
      <c r="AQ1421" s="1"/>
      <c r="AR1421" s="1"/>
      <c r="AS1421" s="1"/>
      <c r="AT1421" s="1"/>
      <c r="AU1421" s="1"/>
      <c r="AV1421" s="1"/>
      <c r="AW1421" s="1"/>
      <c r="AX1421" s="1"/>
      <c r="AY1421" s="1"/>
      <c r="AZ1421" s="1"/>
      <c r="BA1421" s="1"/>
      <c r="BB1421" s="1"/>
      <c r="BC1421" s="1"/>
      <c r="BD1421" s="1"/>
    </row>
    <row r="1422" spans="35:56">
      <c r="AI1422" s="1"/>
      <c r="AJ1422" s="1"/>
      <c r="AK1422" s="1"/>
      <c r="AL1422" s="1"/>
      <c r="AM1422" s="1"/>
      <c r="AN1422" s="1"/>
      <c r="AO1422" s="1"/>
      <c r="AP1422" s="1"/>
      <c r="AQ1422" s="1"/>
      <c r="AR1422" s="1"/>
      <c r="AS1422" s="1"/>
      <c r="AT1422" s="1"/>
      <c r="AU1422" s="1"/>
      <c r="AV1422" s="1"/>
      <c r="AW1422" s="1"/>
      <c r="AX1422" s="1"/>
      <c r="AY1422" s="1"/>
      <c r="AZ1422" s="1"/>
      <c r="BA1422" s="1"/>
      <c r="BB1422" s="1"/>
      <c r="BC1422" s="1"/>
      <c r="BD1422" s="1"/>
    </row>
    <row r="1423" spans="35:56">
      <c r="AI1423" s="1"/>
      <c r="AJ1423" s="1"/>
      <c r="AK1423" s="1"/>
      <c r="AL1423" s="1"/>
      <c r="AM1423" s="1"/>
      <c r="AN1423" s="1"/>
      <c r="AO1423" s="1"/>
      <c r="AP1423" s="1"/>
      <c r="AQ1423" s="1"/>
      <c r="AR1423" s="1"/>
      <c r="AS1423" s="1"/>
      <c r="AT1423" s="1"/>
      <c r="AU1423" s="1"/>
      <c r="AV1423" s="1"/>
      <c r="AW1423" s="1"/>
      <c r="AX1423" s="1"/>
      <c r="AY1423" s="1"/>
      <c r="AZ1423" s="1"/>
      <c r="BA1423" s="1"/>
      <c r="BB1423" s="1"/>
      <c r="BC1423" s="1"/>
      <c r="BD1423" s="1"/>
    </row>
    <row r="1424" spans="35:56">
      <c r="AI1424" s="1"/>
      <c r="AJ1424" s="1"/>
      <c r="AK1424" s="1"/>
      <c r="AL1424" s="1"/>
      <c r="AM1424" s="1"/>
      <c r="AN1424" s="1"/>
      <c r="AO1424" s="1"/>
      <c r="AP1424" s="1"/>
      <c r="AQ1424" s="1"/>
      <c r="AR1424" s="1"/>
      <c r="AS1424" s="1"/>
      <c r="AT1424" s="1"/>
      <c r="AU1424" s="1"/>
      <c r="AV1424" s="1"/>
      <c r="AW1424" s="1"/>
      <c r="AX1424" s="1"/>
      <c r="AY1424" s="1"/>
      <c r="AZ1424" s="1"/>
      <c r="BA1424" s="1"/>
      <c r="BB1424" s="1"/>
      <c r="BC1424" s="1"/>
      <c r="BD1424" s="1"/>
    </row>
    <row r="1425" spans="35:56">
      <c r="AI1425" s="1"/>
      <c r="AJ1425" s="1"/>
      <c r="AK1425" s="1"/>
      <c r="AL1425" s="1"/>
      <c r="AM1425" s="1"/>
      <c r="AN1425" s="1"/>
      <c r="AO1425" s="1"/>
      <c r="AP1425" s="1"/>
      <c r="AQ1425" s="1"/>
      <c r="AR1425" s="1"/>
      <c r="AS1425" s="1"/>
      <c r="AT1425" s="1"/>
      <c r="AU1425" s="1"/>
      <c r="AV1425" s="1"/>
      <c r="AW1425" s="1"/>
      <c r="AX1425" s="1"/>
      <c r="AY1425" s="1"/>
      <c r="AZ1425" s="1"/>
      <c r="BA1425" s="1"/>
      <c r="BB1425" s="1"/>
      <c r="BC1425" s="1"/>
      <c r="BD1425" s="1"/>
    </row>
    <row r="1426" spans="35:56">
      <c r="AI1426" s="1"/>
      <c r="AJ1426" s="1"/>
      <c r="AK1426" s="1"/>
      <c r="AL1426" s="1"/>
      <c r="AM1426" s="1"/>
      <c r="AN1426" s="1"/>
      <c r="AO1426" s="1"/>
      <c r="AP1426" s="1"/>
      <c r="AQ1426" s="1"/>
      <c r="AR1426" s="1"/>
      <c r="AS1426" s="1"/>
      <c r="AT1426" s="1"/>
      <c r="AU1426" s="1"/>
      <c r="AV1426" s="1"/>
      <c r="AW1426" s="1"/>
      <c r="AX1426" s="1"/>
      <c r="AY1426" s="1"/>
      <c r="AZ1426" s="1"/>
      <c r="BA1426" s="1"/>
      <c r="BB1426" s="1"/>
      <c r="BC1426" s="1"/>
      <c r="BD1426" s="1"/>
    </row>
    <row r="1427" spans="35:56">
      <c r="AI1427" s="1"/>
      <c r="AJ1427" s="1"/>
      <c r="AK1427" s="1"/>
      <c r="AL1427" s="1"/>
      <c r="AM1427" s="1"/>
      <c r="AN1427" s="1"/>
      <c r="AO1427" s="1"/>
      <c r="AP1427" s="1"/>
      <c r="AQ1427" s="1"/>
      <c r="AR1427" s="1"/>
      <c r="AS1427" s="1"/>
      <c r="AT1427" s="1"/>
      <c r="AU1427" s="1"/>
      <c r="AV1427" s="1"/>
      <c r="AW1427" s="1"/>
      <c r="AX1427" s="1"/>
      <c r="AY1427" s="1"/>
      <c r="AZ1427" s="1"/>
      <c r="BA1427" s="1"/>
      <c r="BB1427" s="1"/>
      <c r="BC1427" s="1"/>
      <c r="BD1427" s="1"/>
    </row>
    <row r="1428" spans="35:56">
      <c r="AI1428" s="1"/>
      <c r="AJ1428" s="1"/>
      <c r="AK1428" s="1"/>
      <c r="AL1428" s="1"/>
      <c r="AM1428" s="1"/>
      <c r="AN1428" s="1"/>
      <c r="AO1428" s="1"/>
      <c r="AP1428" s="1"/>
      <c r="AQ1428" s="1"/>
      <c r="AR1428" s="1"/>
      <c r="AS1428" s="1"/>
      <c r="AT1428" s="1"/>
      <c r="AU1428" s="1"/>
      <c r="AV1428" s="1"/>
      <c r="AW1428" s="1"/>
      <c r="AX1428" s="1"/>
      <c r="AY1428" s="1"/>
      <c r="AZ1428" s="1"/>
      <c r="BA1428" s="1"/>
      <c r="BB1428" s="1"/>
      <c r="BC1428" s="1"/>
      <c r="BD1428" s="1"/>
    </row>
    <row r="1429" spans="35:56">
      <c r="AI1429" s="1"/>
      <c r="AJ1429" s="1"/>
      <c r="AK1429" s="1"/>
      <c r="AL1429" s="1"/>
      <c r="AM1429" s="1"/>
      <c r="AN1429" s="1"/>
      <c r="AO1429" s="1"/>
      <c r="AP1429" s="1"/>
      <c r="AQ1429" s="1"/>
      <c r="AR1429" s="1"/>
      <c r="AS1429" s="1"/>
      <c r="AT1429" s="1"/>
      <c r="AU1429" s="1"/>
      <c r="AV1429" s="1"/>
      <c r="AW1429" s="1"/>
      <c r="AX1429" s="1"/>
      <c r="AY1429" s="1"/>
      <c r="AZ1429" s="1"/>
      <c r="BA1429" s="1"/>
      <c r="BB1429" s="1"/>
      <c r="BC1429" s="1"/>
      <c r="BD1429" s="1"/>
    </row>
    <row r="1430" spans="35:56">
      <c r="AI1430" s="1"/>
      <c r="AJ1430" s="1"/>
      <c r="AK1430" s="1"/>
      <c r="AL1430" s="1"/>
      <c r="AM1430" s="1"/>
      <c r="AN1430" s="1"/>
      <c r="AO1430" s="1"/>
      <c r="AP1430" s="1"/>
      <c r="AQ1430" s="1"/>
      <c r="AR1430" s="1"/>
      <c r="AS1430" s="1"/>
      <c r="AT1430" s="1"/>
      <c r="AU1430" s="1"/>
      <c r="AV1430" s="1"/>
      <c r="AW1430" s="1"/>
      <c r="AX1430" s="1"/>
      <c r="AY1430" s="1"/>
      <c r="AZ1430" s="1"/>
      <c r="BA1430" s="1"/>
      <c r="BB1430" s="1"/>
      <c r="BC1430" s="1"/>
      <c r="BD1430" s="1"/>
    </row>
    <row r="1431" spans="35:56">
      <c r="AI1431" s="1"/>
      <c r="AJ1431" s="1"/>
      <c r="AK1431" s="1"/>
      <c r="AL1431" s="1"/>
      <c r="AM1431" s="1"/>
      <c r="AN1431" s="1"/>
      <c r="AO1431" s="1"/>
      <c r="AP1431" s="1"/>
      <c r="AQ1431" s="1"/>
      <c r="AR1431" s="1"/>
      <c r="AS1431" s="1"/>
      <c r="AT1431" s="1"/>
      <c r="AU1431" s="1"/>
      <c r="AV1431" s="1"/>
      <c r="AW1431" s="1"/>
      <c r="AX1431" s="1"/>
      <c r="AY1431" s="1"/>
      <c r="AZ1431" s="1"/>
      <c r="BA1431" s="1"/>
      <c r="BB1431" s="1"/>
      <c r="BC1431" s="1"/>
      <c r="BD1431" s="1"/>
    </row>
    <row r="1432" spans="35:56">
      <c r="AI1432" s="1"/>
      <c r="AJ1432" s="1"/>
      <c r="AK1432" s="1"/>
      <c r="AL1432" s="1"/>
      <c r="AM1432" s="1"/>
      <c r="AN1432" s="1"/>
      <c r="AO1432" s="1"/>
      <c r="AP1432" s="1"/>
      <c r="AQ1432" s="1"/>
      <c r="AR1432" s="1"/>
      <c r="AS1432" s="1"/>
      <c r="AT1432" s="1"/>
      <c r="AU1432" s="1"/>
      <c r="AV1432" s="1"/>
      <c r="AW1432" s="1"/>
      <c r="AX1432" s="1"/>
      <c r="AY1432" s="1"/>
      <c r="AZ1432" s="1"/>
      <c r="BA1432" s="1"/>
      <c r="BB1432" s="1"/>
      <c r="BC1432" s="1"/>
      <c r="BD1432" s="1"/>
    </row>
    <row r="1433" spans="35:56">
      <c r="AI1433" s="1"/>
      <c r="AJ1433" s="1"/>
      <c r="AK1433" s="1"/>
      <c r="AL1433" s="1"/>
      <c r="AM1433" s="1"/>
      <c r="AN1433" s="1"/>
      <c r="AO1433" s="1"/>
      <c r="AP1433" s="1"/>
      <c r="AQ1433" s="1"/>
      <c r="AR1433" s="1"/>
      <c r="AS1433" s="1"/>
      <c r="AT1433" s="1"/>
      <c r="AU1433" s="1"/>
      <c r="AV1433" s="1"/>
      <c r="AW1433" s="1"/>
      <c r="AX1433" s="1"/>
      <c r="AY1433" s="1"/>
      <c r="AZ1433" s="1"/>
      <c r="BA1433" s="1"/>
      <c r="BB1433" s="1"/>
      <c r="BC1433" s="1"/>
      <c r="BD1433" s="1"/>
    </row>
    <row r="1434" spans="35:56">
      <c r="AI1434" s="1"/>
      <c r="AJ1434" s="1"/>
      <c r="AK1434" s="1"/>
      <c r="AL1434" s="1"/>
      <c r="AM1434" s="1"/>
      <c r="AN1434" s="1"/>
      <c r="AO1434" s="1"/>
      <c r="AP1434" s="1"/>
      <c r="AQ1434" s="1"/>
      <c r="AR1434" s="1"/>
      <c r="AS1434" s="1"/>
      <c r="AT1434" s="1"/>
      <c r="AU1434" s="1"/>
      <c r="AV1434" s="1"/>
      <c r="AW1434" s="1"/>
      <c r="AX1434" s="1"/>
      <c r="AY1434" s="1"/>
      <c r="AZ1434" s="1"/>
      <c r="BA1434" s="1"/>
      <c r="BB1434" s="1"/>
      <c r="BC1434" s="1"/>
      <c r="BD1434" s="1"/>
    </row>
    <row r="1435" spans="35:56">
      <c r="AI1435" s="1"/>
      <c r="AJ1435" s="1"/>
      <c r="AK1435" s="1"/>
      <c r="AL1435" s="1"/>
      <c r="AM1435" s="1"/>
      <c r="AN1435" s="1"/>
      <c r="AO1435" s="1"/>
      <c r="AP1435" s="1"/>
      <c r="AQ1435" s="1"/>
      <c r="AR1435" s="1"/>
      <c r="AS1435" s="1"/>
      <c r="AT1435" s="1"/>
      <c r="AU1435" s="1"/>
      <c r="AV1435" s="1"/>
      <c r="AW1435" s="1"/>
      <c r="AX1435" s="1"/>
      <c r="AY1435" s="1"/>
      <c r="AZ1435" s="1"/>
      <c r="BA1435" s="1"/>
      <c r="BB1435" s="1"/>
      <c r="BC1435" s="1"/>
      <c r="BD1435" s="1"/>
    </row>
    <row r="1436" spans="35:56">
      <c r="AI1436" s="1"/>
      <c r="AJ1436" s="1"/>
      <c r="AK1436" s="1"/>
      <c r="AL1436" s="1"/>
      <c r="AM1436" s="1"/>
      <c r="AN1436" s="1"/>
      <c r="AO1436" s="1"/>
      <c r="AP1436" s="1"/>
      <c r="AQ1436" s="1"/>
      <c r="AR1436" s="1"/>
      <c r="AS1436" s="1"/>
      <c r="AT1436" s="1"/>
      <c r="AU1436" s="1"/>
      <c r="AV1436" s="1"/>
      <c r="AW1436" s="1"/>
      <c r="AX1436" s="1"/>
      <c r="AY1436" s="1"/>
      <c r="AZ1436" s="1"/>
      <c r="BA1436" s="1"/>
      <c r="BB1436" s="1"/>
      <c r="BC1436" s="1"/>
      <c r="BD1436" s="1"/>
    </row>
    <row r="1437" spans="35:56">
      <c r="AI1437" s="1"/>
      <c r="AJ1437" s="1"/>
      <c r="AK1437" s="1"/>
      <c r="AL1437" s="1"/>
      <c r="AM1437" s="1"/>
      <c r="AN1437" s="1"/>
      <c r="AO1437" s="1"/>
      <c r="AP1437" s="1"/>
      <c r="AQ1437" s="1"/>
      <c r="AR1437" s="1"/>
      <c r="AS1437" s="1"/>
      <c r="AT1437" s="1"/>
      <c r="AU1437" s="1"/>
      <c r="AV1437" s="1"/>
      <c r="AW1437" s="1"/>
      <c r="AX1437" s="1"/>
      <c r="AY1437" s="1"/>
      <c r="AZ1437" s="1"/>
      <c r="BA1437" s="1"/>
      <c r="BB1437" s="1"/>
      <c r="BC1437" s="1"/>
      <c r="BD1437" s="1"/>
    </row>
    <row r="1438" spans="35:56">
      <c r="AI1438" s="1"/>
      <c r="AJ1438" s="1"/>
      <c r="AK1438" s="1"/>
      <c r="AL1438" s="1"/>
      <c r="AM1438" s="1"/>
      <c r="AN1438" s="1"/>
      <c r="AO1438" s="1"/>
      <c r="AP1438" s="1"/>
      <c r="AQ1438" s="1"/>
      <c r="AR1438" s="1"/>
      <c r="AS1438" s="1"/>
      <c r="AT1438" s="1"/>
      <c r="AU1438" s="1"/>
      <c r="AV1438" s="1"/>
      <c r="AW1438" s="1"/>
      <c r="AX1438" s="1"/>
      <c r="AY1438" s="1"/>
      <c r="AZ1438" s="1"/>
      <c r="BA1438" s="1"/>
      <c r="BB1438" s="1"/>
      <c r="BC1438" s="1"/>
      <c r="BD1438" s="1"/>
    </row>
    <row r="1439" spans="35:56">
      <c r="AI1439" s="1"/>
      <c r="AJ1439" s="1"/>
      <c r="AK1439" s="1"/>
      <c r="AL1439" s="1"/>
      <c r="AM1439" s="1"/>
      <c r="AN1439" s="1"/>
      <c r="AO1439" s="1"/>
      <c r="AP1439" s="1"/>
      <c r="AQ1439" s="1"/>
      <c r="AR1439" s="1"/>
      <c r="AS1439" s="1"/>
      <c r="AT1439" s="1"/>
      <c r="AU1439" s="1"/>
      <c r="AV1439" s="1"/>
      <c r="AW1439" s="1"/>
      <c r="AX1439" s="1"/>
      <c r="AY1439" s="1"/>
      <c r="AZ1439" s="1"/>
      <c r="BA1439" s="1"/>
      <c r="BB1439" s="1"/>
      <c r="BC1439" s="1"/>
      <c r="BD1439" s="1"/>
    </row>
    <row r="1440" spans="35:56">
      <c r="AI1440" s="1"/>
      <c r="AJ1440" s="1"/>
      <c r="AK1440" s="1"/>
      <c r="AL1440" s="1"/>
      <c r="AM1440" s="1"/>
      <c r="AN1440" s="1"/>
      <c r="AO1440" s="1"/>
      <c r="AP1440" s="1"/>
      <c r="AQ1440" s="1"/>
      <c r="AR1440" s="1"/>
      <c r="AS1440" s="1"/>
      <c r="AT1440" s="1"/>
      <c r="AU1440" s="1"/>
      <c r="AV1440" s="1"/>
      <c r="AW1440" s="1"/>
      <c r="AX1440" s="1"/>
      <c r="AY1440" s="1"/>
      <c r="AZ1440" s="1"/>
      <c r="BA1440" s="1"/>
      <c r="BB1440" s="1"/>
      <c r="BC1440" s="1"/>
      <c r="BD1440" s="1"/>
    </row>
    <row r="1441" spans="35:56">
      <c r="AI1441" s="1"/>
      <c r="AJ1441" s="1"/>
      <c r="AK1441" s="1"/>
      <c r="AL1441" s="1"/>
      <c r="AM1441" s="1"/>
      <c r="AN1441" s="1"/>
      <c r="AO1441" s="1"/>
      <c r="AP1441" s="1"/>
      <c r="AQ1441" s="1"/>
      <c r="AR1441" s="1"/>
      <c r="AS1441" s="1"/>
      <c r="AT1441" s="1"/>
      <c r="AU1441" s="1"/>
      <c r="AV1441" s="1"/>
      <c r="AW1441" s="1"/>
      <c r="AX1441" s="1"/>
      <c r="AY1441" s="1"/>
      <c r="AZ1441" s="1"/>
      <c r="BA1441" s="1"/>
      <c r="BB1441" s="1"/>
      <c r="BC1441" s="1"/>
      <c r="BD1441" s="1"/>
    </row>
    <row r="1442" spans="35:56">
      <c r="AI1442" s="1"/>
      <c r="AJ1442" s="1"/>
      <c r="AK1442" s="1"/>
      <c r="AL1442" s="1"/>
      <c r="AM1442" s="1"/>
      <c r="AN1442" s="1"/>
      <c r="AO1442" s="1"/>
      <c r="AP1442" s="1"/>
      <c r="AQ1442" s="1"/>
      <c r="AR1442" s="1"/>
      <c r="AS1442" s="1"/>
      <c r="AT1442" s="1"/>
      <c r="AU1442" s="1"/>
      <c r="AV1442" s="1"/>
      <c r="AW1442" s="1"/>
      <c r="AX1442" s="1"/>
      <c r="AY1442" s="1"/>
      <c r="AZ1442" s="1"/>
      <c r="BA1442" s="1"/>
      <c r="BB1442" s="1"/>
      <c r="BC1442" s="1"/>
      <c r="BD1442" s="1"/>
    </row>
    <row r="1443" spans="35:56">
      <c r="AI1443" s="1"/>
      <c r="AJ1443" s="1"/>
      <c r="AK1443" s="1"/>
      <c r="AL1443" s="1"/>
      <c r="AM1443" s="1"/>
      <c r="AN1443" s="1"/>
      <c r="AO1443" s="1"/>
      <c r="AP1443" s="1"/>
      <c r="AQ1443" s="1"/>
      <c r="AR1443" s="1"/>
      <c r="AS1443" s="1"/>
      <c r="AT1443" s="1"/>
      <c r="AU1443" s="1"/>
      <c r="AV1443" s="1"/>
      <c r="AW1443" s="1"/>
      <c r="AX1443" s="1"/>
      <c r="AY1443" s="1"/>
      <c r="AZ1443" s="1"/>
      <c r="BA1443" s="1"/>
      <c r="BB1443" s="1"/>
      <c r="BC1443" s="1"/>
      <c r="BD1443" s="1"/>
    </row>
    <row r="1444" spans="35:56">
      <c r="AI1444" s="1"/>
      <c r="AJ1444" s="1"/>
      <c r="AK1444" s="1"/>
      <c r="AL1444" s="1"/>
      <c r="AM1444" s="1"/>
      <c r="AN1444" s="1"/>
      <c r="AO1444" s="1"/>
      <c r="AP1444" s="1"/>
      <c r="AQ1444" s="1"/>
      <c r="AR1444" s="1"/>
      <c r="AS1444" s="1"/>
      <c r="AT1444" s="1"/>
      <c r="AU1444" s="1"/>
      <c r="AV1444" s="1"/>
      <c r="AW1444" s="1"/>
      <c r="AX1444" s="1"/>
      <c r="AY1444" s="1"/>
      <c r="AZ1444" s="1"/>
      <c r="BA1444" s="1"/>
      <c r="BB1444" s="1"/>
      <c r="BC1444" s="1"/>
      <c r="BD1444" s="1"/>
    </row>
    <row r="1445" spans="35:56">
      <c r="AI1445" s="1"/>
      <c r="AJ1445" s="1"/>
      <c r="AK1445" s="1"/>
      <c r="AL1445" s="1"/>
      <c r="AM1445" s="1"/>
      <c r="AN1445" s="1"/>
      <c r="AO1445" s="1"/>
      <c r="AP1445" s="1"/>
      <c r="AQ1445" s="1"/>
      <c r="AR1445" s="1"/>
      <c r="AS1445" s="1"/>
      <c r="AT1445" s="1"/>
      <c r="AU1445" s="1"/>
      <c r="AV1445" s="1"/>
      <c r="AW1445" s="1"/>
      <c r="AX1445" s="1"/>
      <c r="AY1445" s="1"/>
      <c r="AZ1445" s="1"/>
      <c r="BA1445" s="1"/>
      <c r="BB1445" s="1"/>
      <c r="BC1445" s="1"/>
      <c r="BD1445" s="1"/>
    </row>
    <row r="1446" spans="35:56">
      <c r="AI1446" s="1"/>
      <c r="AJ1446" s="1"/>
      <c r="AK1446" s="1"/>
      <c r="AL1446" s="1"/>
      <c r="AM1446" s="1"/>
      <c r="AN1446" s="1"/>
      <c r="AO1446" s="1"/>
      <c r="AP1446" s="1"/>
      <c r="AQ1446" s="1"/>
      <c r="AR1446" s="1"/>
      <c r="AS1446" s="1"/>
      <c r="AT1446" s="1"/>
      <c r="AU1446" s="1"/>
      <c r="AV1446" s="1"/>
      <c r="AW1446" s="1"/>
      <c r="AX1446" s="1"/>
      <c r="AY1446" s="1"/>
      <c r="AZ1446" s="1"/>
      <c r="BA1446" s="1"/>
      <c r="BB1446" s="1"/>
      <c r="BC1446" s="1"/>
      <c r="BD1446" s="1"/>
    </row>
    <row r="1447" spans="35:56">
      <c r="AI1447" s="1"/>
      <c r="AJ1447" s="1"/>
      <c r="AK1447" s="1"/>
      <c r="AL1447" s="1"/>
      <c r="AM1447" s="1"/>
      <c r="AN1447" s="1"/>
      <c r="AO1447" s="1"/>
      <c r="AP1447" s="1"/>
      <c r="AQ1447" s="1"/>
      <c r="AR1447" s="1"/>
      <c r="AS1447" s="1"/>
      <c r="AT1447" s="1"/>
      <c r="AU1447" s="1"/>
      <c r="AV1447" s="1"/>
      <c r="AW1447" s="1"/>
      <c r="AX1447" s="1"/>
      <c r="AY1447" s="1"/>
      <c r="AZ1447" s="1"/>
      <c r="BA1447" s="1"/>
      <c r="BB1447" s="1"/>
      <c r="BC1447" s="1"/>
      <c r="BD1447" s="1"/>
    </row>
    <row r="1448" spans="35:56">
      <c r="AI1448" s="1"/>
      <c r="AJ1448" s="1"/>
      <c r="AK1448" s="1"/>
      <c r="AL1448" s="1"/>
      <c r="AM1448" s="1"/>
      <c r="AN1448" s="1"/>
      <c r="AO1448" s="1"/>
      <c r="AP1448" s="1"/>
      <c r="AQ1448" s="1"/>
      <c r="AR1448" s="1"/>
      <c r="AS1448" s="1"/>
      <c r="AT1448" s="1"/>
      <c r="AU1448" s="1"/>
      <c r="AV1448" s="1"/>
      <c r="AW1448" s="1"/>
      <c r="AX1448" s="1"/>
      <c r="AY1448" s="1"/>
      <c r="AZ1448" s="1"/>
      <c r="BA1448" s="1"/>
      <c r="BB1448" s="1"/>
      <c r="BC1448" s="1"/>
      <c r="BD1448" s="1"/>
    </row>
    <row r="1449" spans="35:56">
      <c r="AI1449" s="1"/>
      <c r="AJ1449" s="1"/>
      <c r="AK1449" s="1"/>
      <c r="AL1449" s="1"/>
      <c r="AM1449" s="1"/>
      <c r="AN1449" s="1"/>
      <c r="AO1449" s="1"/>
      <c r="AP1449" s="1"/>
      <c r="AQ1449" s="1"/>
      <c r="AR1449" s="1"/>
      <c r="AS1449" s="1"/>
      <c r="AT1449" s="1"/>
      <c r="AU1449" s="1"/>
      <c r="AV1449" s="1"/>
      <c r="AW1449" s="1"/>
      <c r="AX1449" s="1"/>
      <c r="AY1449" s="1"/>
      <c r="AZ1449" s="1"/>
      <c r="BA1449" s="1"/>
      <c r="BB1449" s="1"/>
      <c r="BC1449" s="1"/>
      <c r="BD1449" s="1"/>
    </row>
    <row r="1450" spans="35:56">
      <c r="AI1450" s="1"/>
      <c r="AJ1450" s="1"/>
      <c r="AK1450" s="1"/>
      <c r="AL1450" s="1"/>
      <c r="AM1450" s="1"/>
      <c r="AN1450" s="1"/>
      <c r="AO1450" s="1"/>
      <c r="AP1450" s="1"/>
      <c r="AQ1450" s="1"/>
      <c r="AR1450" s="1"/>
      <c r="AS1450" s="1"/>
      <c r="AT1450" s="1"/>
      <c r="AU1450" s="1"/>
      <c r="AV1450" s="1"/>
      <c r="AW1450" s="1"/>
      <c r="AX1450" s="1"/>
      <c r="AY1450" s="1"/>
      <c r="AZ1450" s="1"/>
      <c r="BA1450" s="1"/>
      <c r="BB1450" s="1"/>
      <c r="BC1450" s="1"/>
      <c r="BD1450" s="1"/>
    </row>
    <row r="1451" spans="35:56">
      <c r="AI1451" s="1"/>
      <c r="AJ1451" s="1"/>
      <c r="AK1451" s="1"/>
      <c r="AL1451" s="1"/>
      <c r="AM1451" s="1"/>
      <c r="AN1451" s="1"/>
      <c r="AO1451" s="1"/>
      <c r="AP1451" s="1"/>
      <c r="AQ1451" s="1"/>
      <c r="AR1451" s="1"/>
      <c r="AS1451" s="1"/>
      <c r="AT1451" s="1"/>
      <c r="AU1451" s="1"/>
      <c r="AV1451" s="1"/>
      <c r="AW1451" s="1"/>
      <c r="AX1451" s="1"/>
      <c r="AY1451" s="1"/>
      <c r="AZ1451" s="1"/>
      <c r="BA1451" s="1"/>
      <c r="BB1451" s="1"/>
      <c r="BC1451" s="1"/>
      <c r="BD1451" s="1"/>
    </row>
    <row r="1452" spans="35:56">
      <c r="AI1452" s="1"/>
      <c r="AJ1452" s="1"/>
      <c r="AK1452" s="1"/>
      <c r="AL1452" s="1"/>
      <c r="AM1452" s="1"/>
      <c r="AN1452" s="1"/>
      <c r="AO1452" s="1"/>
      <c r="AP1452" s="1"/>
      <c r="AQ1452" s="1"/>
      <c r="AR1452" s="1"/>
      <c r="AS1452" s="1"/>
      <c r="AT1452" s="1"/>
      <c r="AU1452" s="1"/>
      <c r="AV1452" s="1"/>
      <c r="AW1452" s="1"/>
      <c r="AX1452" s="1"/>
      <c r="AY1452" s="1"/>
      <c r="AZ1452" s="1"/>
      <c r="BA1452" s="1"/>
      <c r="BB1452" s="1"/>
      <c r="BC1452" s="1"/>
      <c r="BD1452" s="1"/>
    </row>
    <row r="1453" spans="35:56">
      <c r="AI1453" s="1"/>
      <c r="AJ1453" s="1"/>
      <c r="AK1453" s="1"/>
      <c r="AL1453" s="1"/>
      <c r="AM1453" s="1"/>
      <c r="AN1453" s="1"/>
      <c r="AO1453" s="1"/>
      <c r="AP1453" s="1"/>
      <c r="AQ1453" s="1"/>
      <c r="AR1453" s="1"/>
      <c r="AS1453" s="1"/>
      <c r="AT1453" s="1"/>
      <c r="AU1453" s="1"/>
      <c r="AV1453" s="1"/>
      <c r="AW1453" s="1"/>
      <c r="AX1453" s="1"/>
      <c r="AY1453" s="1"/>
      <c r="AZ1453" s="1"/>
      <c r="BA1453" s="1"/>
      <c r="BB1453" s="1"/>
      <c r="BC1453" s="1"/>
      <c r="BD1453" s="1"/>
    </row>
    <row r="1454" spans="35:56">
      <c r="AI1454" s="1"/>
      <c r="AJ1454" s="1"/>
      <c r="AK1454" s="1"/>
      <c r="AL1454" s="1"/>
      <c r="AM1454" s="1"/>
      <c r="AN1454" s="1"/>
      <c r="AO1454" s="1"/>
      <c r="AP1454" s="1"/>
      <c r="AQ1454" s="1"/>
      <c r="AR1454" s="1"/>
      <c r="AS1454" s="1"/>
      <c r="AT1454" s="1"/>
      <c r="AU1454" s="1"/>
      <c r="AV1454" s="1"/>
      <c r="AW1454" s="1"/>
      <c r="AX1454" s="1"/>
      <c r="AY1454" s="1"/>
      <c r="AZ1454" s="1"/>
      <c r="BA1454" s="1"/>
      <c r="BB1454" s="1"/>
      <c r="BC1454" s="1"/>
      <c r="BD1454" s="1"/>
    </row>
    <row r="1455" spans="35:56">
      <c r="AI1455" s="1"/>
      <c r="AJ1455" s="1"/>
      <c r="AK1455" s="1"/>
      <c r="AL1455" s="1"/>
      <c r="AM1455" s="1"/>
      <c r="AN1455" s="1"/>
      <c r="AO1455" s="1"/>
      <c r="AP1455" s="1"/>
      <c r="AQ1455" s="1"/>
      <c r="AR1455" s="1"/>
      <c r="AS1455" s="1"/>
      <c r="AT1455" s="1"/>
      <c r="AU1455" s="1"/>
      <c r="AV1455" s="1"/>
      <c r="AW1455" s="1"/>
      <c r="AX1455" s="1"/>
      <c r="AY1455" s="1"/>
      <c r="AZ1455" s="1"/>
      <c r="BA1455" s="1"/>
      <c r="BB1455" s="1"/>
      <c r="BC1455" s="1"/>
      <c r="BD1455" s="1"/>
    </row>
    <row r="1456" spans="35:56">
      <c r="AI1456" s="1"/>
      <c r="AJ1456" s="1"/>
      <c r="AK1456" s="1"/>
      <c r="AL1456" s="1"/>
      <c r="AM1456" s="1"/>
      <c r="AN1456" s="1"/>
      <c r="AO1456" s="1"/>
      <c r="AP1456" s="1"/>
      <c r="AQ1456" s="1"/>
      <c r="AR1456" s="1"/>
      <c r="AS1456" s="1"/>
      <c r="AT1456" s="1"/>
      <c r="AU1456" s="1"/>
      <c r="AV1456" s="1"/>
      <c r="AW1456" s="1"/>
      <c r="AX1456" s="1"/>
      <c r="AY1456" s="1"/>
      <c r="AZ1456" s="1"/>
      <c r="BA1456" s="1"/>
      <c r="BB1456" s="1"/>
      <c r="BC1456" s="1"/>
      <c r="BD1456" s="1"/>
    </row>
    <row r="1457" spans="35:56">
      <c r="AI1457" s="1"/>
      <c r="AJ1457" s="1"/>
      <c r="AK1457" s="1"/>
      <c r="AL1457" s="1"/>
      <c r="AM1457" s="1"/>
      <c r="AN1457" s="1"/>
      <c r="AO1457" s="1"/>
      <c r="AP1457" s="1"/>
      <c r="AQ1457" s="1"/>
      <c r="AR1457" s="1"/>
      <c r="AS1457" s="1"/>
      <c r="AT1457" s="1"/>
      <c r="AU1457" s="1"/>
      <c r="AV1457" s="1"/>
      <c r="AW1457" s="1"/>
      <c r="AX1457" s="1"/>
      <c r="AY1457" s="1"/>
      <c r="AZ1457" s="1"/>
      <c r="BA1457" s="1"/>
      <c r="BB1457" s="1"/>
      <c r="BC1457" s="1"/>
      <c r="BD1457" s="1"/>
    </row>
    <row r="1458" spans="35:56">
      <c r="AI1458" s="1"/>
      <c r="AJ1458" s="1"/>
      <c r="AK1458" s="1"/>
      <c r="AL1458" s="1"/>
      <c r="AM1458" s="1"/>
      <c r="AN1458" s="1"/>
      <c r="AO1458" s="1"/>
      <c r="AP1458" s="1"/>
      <c r="AQ1458" s="1"/>
      <c r="AR1458" s="1"/>
      <c r="AS1458" s="1"/>
      <c r="AT1458" s="1"/>
      <c r="AU1458" s="1"/>
      <c r="AV1458" s="1"/>
      <c r="AW1458" s="1"/>
      <c r="AX1458" s="1"/>
      <c r="AY1458" s="1"/>
      <c r="AZ1458" s="1"/>
      <c r="BA1458" s="1"/>
      <c r="BB1458" s="1"/>
      <c r="BC1458" s="1"/>
      <c r="BD1458" s="1"/>
    </row>
    <row r="1459" spans="35:56">
      <c r="AI1459" s="1"/>
      <c r="AJ1459" s="1"/>
      <c r="AK1459" s="1"/>
      <c r="AL1459" s="1"/>
      <c r="AM1459" s="1"/>
      <c r="AN1459" s="1"/>
      <c r="AO1459" s="1"/>
      <c r="AP1459" s="1"/>
      <c r="AQ1459" s="1"/>
      <c r="AR1459" s="1"/>
      <c r="AS1459" s="1"/>
      <c r="AT1459" s="1"/>
      <c r="AU1459" s="1"/>
      <c r="AV1459" s="1"/>
      <c r="AW1459" s="1"/>
      <c r="AX1459" s="1"/>
      <c r="AY1459" s="1"/>
      <c r="AZ1459" s="1"/>
      <c r="BA1459" s="1"/>
      <c r="BB1459" s="1"/>
      <c r="BC1459" s="1"/>
      <c r="BD1459" s="1"/>
    </row>
    <row r="1460" spans="35:56">
      <c r="AI1460" s="1"/>
      <c r="AJ1460" s="1"/>
      <c r="AK1460" s="1"/>
      <c r="AL1460" s="1"/>
      <c r="AM1460" s="1"/>
      <c r="AN1460" s="1"/>
      <c r="AO1460" s="1"/>
      <c r="AP1460" s="1"/>
      <c r="AQ1460" s="1"/>
      <c r="AR1460" s="1"/>
      <c r="AS1460" s="1"/>
      <c r="AT1460" s="1"/>
      <c r="AU1460" s="1"/>
      <c r="AV1460" s="1"/>
      <c r="AW1460" s="1"/>
      <c r="AX1460" s="1"/>
      <c r="AY1460" s="1"/>
      <c r="AZ1460" s="1"/>
      <c r="BA1460" s="1"/>
      <c r="BB1460" s="1"/>
      <c r="BC1460" s="1"/>
      <c r="BD1460" s="1"/>
    </row>
    <row r="1461" spans="35:56">
      <c r="AI1461" s="1"/>
      <c r="AJ1461" s="1"/>
      <c r="AK1461" s="1"/>
      <c r="AL1461" s="1"/>
      <c r="AM1461" s="1"/>
      <c r="AN1461" s="1"/>
      <c r="AO1461" s="1"/>
      <c r="AP1461" s="1"/>
      <c r="AQ1461" s="1"/>
      <c r="AR1461" s="1"/>
      <c r="AS1461" s="1"/>
      <c r="AT1461" s="1"/>
      <c r="AU1461" s="1"/>
      <c r="AV1461" s="1"/>
      <c r="AW1461" s="1"/>
      <c r="AX1461" s="1"/>
      <c r="AY1461" s="1"/>
      <c r="AZ1461" s="1"/>
      <c r="BA1461" s="1"/>
      <c r="BB1461" s="1"/>
      <c r="BC1461" s="1"/>
      <c r="BD1461" s="1"/>
    </row>
    <row r="1462" spans="35:56">
      <c r="AI1462" s="1"/>
      <c r="AJ1462" s="1"/>
      <c r="AK1462" s="1"/>
      <c r="AL1462" s="1"/>
      <c r="AM1462" s="1"/>
      <c r="AN1462" s="1"/>
      <c r="AO1462" s="1"/>
      <c r="AP1462" s="1"/>
      <c r="AQ1462" s="1"/>
      <c r="AR1462" s="1"/>
      <c r="AS1462" s="1"/>
      <c r="AT1462" s="1"/>
      <c r="AU1462" s="1"/>
      <c r="AV1462" s="1"/>
      <c r="AW1462" s="1"/>
      <c r="AX1462" s="1"/>
      <c r="AY1462" s="1"/>
      <c r="AZ1462" s="1"/>
      <c r="BA1462" s="1"/>
      <c r="BB1462" s="1"/>
      <c r="BC1462" s="1"/>
      <c r="BD1462" s="1"/>
    </row>
    <row r="1463" spans="35:56">
      <c r="AI1463" s="1"/>
      <c r="AJ1463" s="1"/>
      <c r="AK1463" s="1"/>
      <c r="AL1463" s="1"/>
      <c r="AM1463" s="1"/>
      <c r="AN1463" s="1"/>
      <c r="AO1463" s="1"/>
      <c r="AP1463" s="1"/>
      <c r="AQ1463" s="1"/>
      <c r="AR1463" s="1"/>
      <c r="AS1463" s="1"/>
      <c r="AT1463" s="1"/>
      <c r="AU1463" s="1"/>
      <c r="AV1463" s="1"/>
      <c r="AW1463" s="1"/>
      <c r="AX1463" s="1"/>
      <c r="AY1463" s="1"/>
      <c r="AZ1463" s="1"/>
      <c r="BA1463" s="1"/>
      <c r="BB1463" s="1"/>
      <c r="BC1463" s="1"/>
      <c r="BD1463" s="1"/>
    </row>
    <row r="1464" spans="35:56">
      <c r="AI1464" s="1"/>
      <c r="AJ1464" s="1"/>
      <c r="AK1464" s="1"/>
      <c r="AL1464" s="1"/>
      <c r="AM1464" s="1"/>
      <c r="AN1464" s="1"/>
      <c r="AO1464" s="1"/>
      <c r="AP1464" s="1"/>
      <c r="AQ1464" s="1"/>
      <c r="AR1464" s="1"/>
      <c r="AS1464" s="1"/>
      <c r="AT1464" s="1"/>
      <c r="AU1464" s="1"/>
      <c r="AV1464" s="1"/>
      <c r="AW1464" s="1"/>
      <c r="AX1464" s="1"/>
      <c r="AY1464" s="1"/>
      <c r="AZ1464" s="1"/>
      <c r="BA1464" s="1"/>
      <c r="BB1464" s="1"/>
      <c r="BC1464" s="1"/>
      <c r="BD1464" s="1"/>
    </row>
    <row r="1465" spans="35:56">
      <c r="AI1465" s="1"/>
      <c r="AJ1465" s="1"/>
      <c r="AK1465" s="1"/>
      <c r="AL1465" s="1"/>
      <c r="AM1465" s="1"/>
      <c r="AN1465" s="1"/>
      <c r="AO1465" s="1"/>
      <c r="AP1465" s="1"/>
      <c r="AQ1465" s="1"/>
      <c r="AR1465" s="1"/>
      <c r="AS1465" s="1"/>
      <c r="AT1465" s="1"/>
      <c r="AU1465" s="1"/>
      <c r="AV1465" s="1"/>
      <c r="AW1465" s="1"/>
      <c r="AX1465" s="1"/>
      <c r="AY1465" s="1"/>
      <c r="AZ1465" s="1"/>
      <c r="BA1465" s="1"/>
      <c r="BB1465" s="1"/>
      <c r="BC1465" s="1"/>
      <c r="BD1465" s="1"/>
    </row>
    <row r="1466" spans="35:56">
      <c r="AI1466" s="1"/>
      <c r="AJ1466" s="1"/>
      <c r="AK1466" s="1"/>
      <c r="AL1466" s="1"/>
      <c r="AM1466" s="1"/>
      <c r="AN1466" s="1"/>
      <c r="AO1466" s="1"/>
      <c r="AP1466" s="1"/>
      <c r="AQ1466" s="1"/>
      <c r="AR1466" s="1"/>
      <c r="AS1466" s="1"/>
      <c r="AT1466" s="1"/>
      <c r="AU1466" s="1"/>
      <c r="AV1466" s="1"/>
      <c r="AW1466" s="1"/>
      <c r="AX1466" s="1"/>
      <c r="AY1466" s="1"/>
      <c r="AZ1466" s="1"/>
      <c r="BA1466" s="1"/>
      <c r="BB1466" s="1"/>
      <c r="BC1466" s="1"/>
      <c r="BD1466" s="1"/>
    </row>
    <row r="1467" spans="35:56">
      <c r="AI1467" s="1"/>
      <c r="AJ1467" s="1"/>
      <c r="AK1467" s="1"/>
      <c r="AL1467" s="1"/>
      <c r="AM1467" s="1"/>
      <c r="AN1467" s="1"/>
      <c r="AO1467" s="1"/>
      <c r="AP1467" s="1"/>
      <c r="AQ1467" s="1"/>
      <c r="AR1467" s="1"/>
      <c r="AS1467" s="1"/>
      <c r="AT1467" s="1"/>
      <c r="AU1467" s="1"/>
      <c r="AV1467" s="1"/>
      <c r="AW1467" s="1"/>
      <c r="AX1467" s="1"/>
      <c r="AY1467" s="1"/>
      <c r="AZ1467" s="1"/>
      <c r="BA1467" s="1"/>
      <c r="BB1467" s="1"/>
      <c r="BC1467" s="1"/>
      <c r="BD1467" s="1"/>
    </row>
    <row r="1468" spans="35:56">
      <c r="AI1468" s="1"/>
      <c r="AJ1468" s="1"/>
      <c r="AK1468" s="1"/>
      <c r="AL1468" s="1"/>
      <c r="AM1468" s="1"/>
      <c r="AN1468" s="1"/>
      <c r="AO1468" s="1"/>
      <c r="AP1468" s="1"/>
      <c r="AQ1468" s="1"/>
      <c r="AR1468" s="1"/>
      <c r="AS1468" s="1"/>
      <c r="AT1468" s="1"/>
      <c r="AU1468" s="1"/>
      <c r="AV1468" s="1"/>
      <c r="AW1468" s="1"/>
      <c r="AX1468" s="1"/>
      <c r="AY1468" s="1"/>
      <c r="AZ1468" s="1"/>
      <c r="BA1468" s="1"/>
      <c r="BB1468" s="1"/>
      <c r="BC1468" s="1"/>
      <c r="BD1468" s="1"/>
    </row>
    <row r="1469" spans="35:56">
      <c r="AI1469" s="1"/>
      <c r="AJ1469" s="1"/>
      <c r="AK1469" s="1"/>
      <c r="AL1469" s="1"/>
      <c r="AM1469" s="1"/>
      <c r="AN1469" s="1"/>
      <c r="AO1469" s="1"/>
      <c r="AP1469" s="1"/>
      <c r="AQ1469" s="1"/>
      <c r="AR1469" s="1"/>
      <c r="AS1469" s="1"/>
      <c r="AT1469" s="1"/>
      <c r="AU1469" s="1"/>
      <c r="AV1469" s="1"/>
      <c r="AW1469" s="1"/>
      <c r="AX1469" s="1"/>
      <c r="AY1469" s="1"/>
      <c r="AZ1469" s="1"/>
      <c r="BA1469" s="1"/>
      <c r="BB1469" s="1"/>
      <c r="BC1469" s="1"/>
      <c r="BD1469" s="1"/>
    </row>
    <row r="1470" spans="35:56">
      <c r="AI1470" s="1"/>
      <c r="AJ1470" s="1"/>
      <c r="AK1470" s="1"/>
      <c r="AL1470" s="1"/>
      <c r="AM1470" s="1"/>
      <c r="AN1470" s="1"/>
      <c r="AO1470" s="1"/>
      <c r="AP1470" s="1"/>
      <c r="AQ1470" s="1"/>
      <c r="AR1470" s="1"/>
      <c r="AS1470" s="1"/>
      <c r="AT1470" s="1"/>
      <c r="AU1470" s="1"/>
      <c r="AV1470" s="1"/>
      <c r="AW1470" s="1"/>
      <c r="AX1470" s="1"/>
      <c r="AY1470" s="1"/>
      <c r="AZ1470" s="1"/>
      <c r="BA1470" s="1"/>
      <c r="BB1470" s="1"/>
      <c r="BC1470" s="1"/>
      <c r="BD1470" s="1"/>
    </row>
    <row r="1471" spans="35:56">
      <c r="AI1471" s="1"/>
      <c r="AJ1471" s="1"/>
      <c r="AK1471" s="1"/>
      <c r="AL1471" s="1"/>
      <c r="AM1471" s="1"/>
      <c r="AN1471" s="1"/>
      <c r="AO1471" s="1"/>
      <c r="AP1471" s="1"/>
      <c r="AQ1471" s="1"/>
      <c r="AR1471" s="1"/>
      <c r="AS1471" s="1"/>
      <c r="AT1471" s="1"/>
      <c r="AU1471" s="1"/>
      <c r="AV1471" s="1"/>
      <c r="AW1471" s="1"/>
      <c r="AX1471" s="1"/>
      <c r="AY1471" s="1"/>
      <c r="AZ1471" s="1"/>
      <c r="BA1471" s="1"/>
      <c r="BB1471" s="1"/>
      <c r="BC1471" s="1"/>
      <c r="BD1471" s="1"/>
    </row>
    <row r="1472" spans="35:56">
      <c r="AI1472" s="1"/>
      <c r="AJ1472" s="1"/>
      <c r="AK1472" s="1"/>
      <c r="AL1472" s="1"/>
      <c r="AM1472" s="1"/>
      <c r="AN1472" s="1"/>
      <c r="AO1472" s="1"/>
      <c r="AP1472" s="1"/>
      <c r="AQ1472" s="1"/>
      <c r="AR1472" s="1"/>
      <c r="AS1472" s="1"/>
      <c r="AT1472" s="1"/>
      <c r="AU1472" s="1"/>
      <c r="AV1472" s="1"/>
      <c r="AW1472" s="1"/>
      <c r="AX1472" s="1"/>
      <c r="AY1472" s="1"/>
      <c r="AZ1472" s="1"/>
      <c r="BA1472" s="1"/>
      <c r="BB1472" s="1"/>
      <c r="BC1472" s="1"/>
      <c r="BD1472" s="1"/>
    </row>
    <row r="1473" spans="35:56">
      <c r="AI1473" s="1"/>
      <c r="AJ1473" s="1"/>
      <c r="AK1473" s="1"/>
      <c r="AL1473" s="1"/>
      <c r="AM1473" s="1"/>
      <c r="AN1473" s="1"/>
      <c r="AO1473" s="1"/>
      <c r="AP1473" s="1"/>
      <c r="AQ1473" s="1"/>
      <c r="AR1473" s="1"/>
      <c r="AS1473" s="1"/>
      <c r="AT1473" s="1"/>
      <c r="AU1473" s="1"/>
      <c r="AV1473" s="1"/>
      <c r="AW1473" s="1"/>
      <c r="AX1473" s="1"/>
      <c r="AY1473" s="1"/>
      <c r="AZ1473" s="1"/>
      <c r="BA1473" s="1"/>
      <c r="BB1473" s="1"/>
      <c r="BC1473" s="1"/>
      <c r="BD1473" s="1"/>
    </row>
    <row r="1474" spans="35:56">
      <c r="AI1474" s="1"/>
      <c r="AJ1474" s="1"/>
      <c r="AK1474" s="1"/>
      <c r="AL1474" s="1"/>
      <c r="AM1474" s="1"/>
      <c r="AN1474" s="1"/>
      <c r="AO1474" s="1"/>
      <c r="AP1474" s="1"/>
      <c r="AQ1474" s="1"/>
      <c r="AR1474" s="1"/>
      <c r="AS1474" s="1"/>
      <c r="AT1474" s="1"/>
      <c r="AU1474" s="1"/>
      <c r="AV1474" s="1"/>
      <c r="AW1474" s="1"/>
      <c r="AX1474" s="1"/>
      <c r="AY1474" s="1"/>
      <c r="AZ1474" s="1"/>
      <c r="BA1474" s="1"/>
      <c r="BB1474" s="1"/>
      <c r="BC1474" s="1"/>
      <c r="BD1474" s="1"/>
    </row>
    <row r="1475" spans="35:56">
      <c r="AI1475" s="1"/>
      <c r="AJ1475" s="1"/>
      <c r="AK1475" s="1"/>
      <c r="AL1475" s="1"/>
      <c r="AM1475" s="1"/>
      <c r="AN1475" s="1"/>
      <c r="AO1475" s="1"/>
      <c r="AP1475" s="1"/>
      <c r="AQ1475" s="1"/>
      <c r="AR1475" s="1"/>
      <c r="AS1475" s="1"/>
      <c r="AT1475" s="1"/>
      <c r="AU1475" s="1"/>
      <c r="AV1475" s="1"/>
      <c r="AW1475" s="1"/>
      <c r="AX1475" s="1"/>
      <c r="AY1475" s="1"/>
      <c r="AZ1475" s="1"/>
      <c r="BA1475" s="1"/>
      <c r="BB1475" s="1"/>
      <c r="BC1475" s="1"/>
      <c r="BD1475" s="1"/>
    </row>
    <row r="1476" spans="35:56">
      <c r="AI1476" s="1"/>
      <c r="AJ1476" s="1"/>
      <c r="AK1476" s="1"/>
      <c r="AL1476" s="1"/>
      <c r="AM1476" s="1"/>
      <c r="AN1476" s="1"/>
      <c r="AO1476" s="1"/>
      <c r="AP1476" s="1"/>
      <c r="AQ1476" s="1"/>
      <c r="AR1476" s="1"/>
      <c r="AS1476" s="1"/>
      <c r="AT1476" s="1"/>
      <c r="AU1476" s="1"/>
      <c r="AV1476" s="1"/>
      <c r="AW1476" s="1"/>
      <c r="AX1476" s="1"/>
      <c r="AY1476" s="1"/>
      <c r="AZ1476" s="1"/>
      <c r="BA1476" s="1"/>
      <c r="BB1476" s="1"/>
      <c r="BC1476" s="1"/>
      <c r="BD1476" s="1"/>
    </row>
    <row r="1477" spans="35:56">
      <c r="AI1477" s="1"/>
      <c r="AJ1477" s="1"/>
      <c r="AK1477" s="1"/>
      <c r="AL1477" s="1"/>
      <c r="AM1477" s="1"/>
      <c r="AN1477" s="1"/>
      <c r="AO1477" s="1"/>
      <c r="AP1477" s="1"/>
      <c r="AQ1477" s="1"/>
      <c r="AR1477" s="1"/>
      <c r="AS1477" s="1"/>
      <c r="AT1477" s="1"/>
      <c r="AU1477" s="1"/>
      <c r="AV1477" s="1"/>
      <c r="AW1477" s="1"/>
      <c r="AX1477" s="1"/>
      <c r="AY1477" s="1"/>
      <c r="AZ1477" s="1"/>
      <c r="BA1477" s="1"/>
      <c r="BB1477" s="1"/>
      <c r="BC1477" s="1"/>
      <c r="BD1477" s="1"/>
    </row>
    <row r="1478" spans="35:56">
      <c r="AI1478" s="1"/>
      <c r="AJ1478" s="1"/>
      <c r="AK1478" s="1"/>
      <c r="AL1478" s="1"/>
      <c r="AM1478" s="1"/>
      <c r="AN1478" s="1"/>
      <c r="AO1478" s="1"/>
      <c r="AP1478" s="1"/>
      <c r="AQ1478" s="1"/>
      <c r="AR1478" s="1"/>
      <c r="AS1478" s="1"/>
      <c r="AT1478" s="1"/>
      <c r="AU1478" s="1"/>
      <c r="AV1478" s="1"/>
      <c r="AW1478" s="1"/>
      <c r="AX1478" s="1"/>
      <c r="AY1478" s="1"/>
      <c r="AZ1478" s="1"/>
      <c r="BA1478" s="1"/>
      <c r="BB1478" s="1"/>
      <c r="BC1478" s="1"/>
      <c r="BD1478" s="1"/>
    </row>
    <row r="1479" spans="35:56">
      <c r="AI1479" s="1"/>
      <c r="AJ1479" s="1"/>
      <c r="AK1479" s="1"/>
      <c r="AL1479" s="1"/>
      <c r="AM1479" s="1"/>
      <c r="AN1479" s="1"/>
      <c r="AO1479" s="1"/>
      <c r="AP1479" s="1"/>
      <c r="AQ1479" s="1"/>
      <c r="AR1479" s="1"/>
      <c r="AS1479" s="1"/>
      <c r="AT1479" s="1"/>
      <c r="AU1479" s="1"/>
      <c r="AV1479" s="1"/>
      <c r="AW1479" s="1"/>
      <c r="AX1479" s="1"/>
      <c r="AY1479" s="1"/>
      <c r="AZ1479" s="1"/>
      <c r="BA1479" s="1"/>
      <c r="BB1479" s="1"/>
      <c r="BC1479" s="1"/>
      <c r="BD1479" s="1"/>
    </row>
    <row r="1480" spans="35:56">
      <c r="AI1480" s="1"/>
      <c r="AJ1480" s="1"/>
      <c r="AK1480" s="1"/>
      <c r="AL1480" s="1"/>
      <c r="AM1480" s="1"/>
      <c r="AN1480" s="1"/>
      <c r="AO1480" s="1"/>
      <c r="AP1480" s="1"/>
      <c r="AQ1480" s="1"/>
      <c r="AR1480" s="1"/>
      <c r="AS1480" s="1"/>
      <c r="AT1480" s="1"/>
      <c r="AU1480" s="1"/>
      <c r="AV1480" s="1"/>
      <c r="AW1480" s="1"/>
      <c r="AX1480" s="1"/>
      <c r="AY1480" s="1"/>
      <c r="AZ1480" s="1"/>
      <c r="BA1480" s="1"/>
      <c r="BB1480" s="1"/>
      <c r="BC1480" s="1"/>
      <c r="BD1480" s="1"/>
    </row>
    <row r="1481" spans="35:56">
      <c r="AI1481" s="1"/>
      <c r="AJ1481" s="1"/>
      <c r="AK1481" s="1"/>
      <c r="AL1481" s="1"/>
      <c r="AM1481" s="1"/>
      <c r="AN1481" s="1"/>
      <c r="AO1481" s="1"/>
      <c r="AP1481" s="1"/>
      <c r="AQ1481" s="1"/>
      <c r="AR1481" s="1"/>
      <c r="AS1481" s="1"/>
      <c r="AT1481" s="1"/>
      <c r="AU1481" s="1"/>
      <c r="AV1481" s="1"/>
      <c r="AW1481" s="1"/>
      <c r="AX1481" s="1"/>
      <c r="AY1481" s="1"/>
      <c r="AZ1481" s="1"/>
      <c r="BA1481" s="1"/>
      <c r="BB1481" s="1"/>
      <c r="BC1481" s="1"/>
      <c r="BD1481" s="1"/>
    </row>
    <row r="1482" spans="35:56">
      <c r="AI1482" s="1"/>
      <c r="AJ1482" s="1"/>
      <c r="AK1482" s="1"/>
      <c r="AL1482" s="1"/>
      <c r="AM1482" s="1"/>
      <c r="AN1482" s="1"/>
      <c r="AO1482" s="1"/>
      <c r="AP1482" s="1"/>
      <c r="AQ1482" s="1"/>
      <c r="AR1482" s="1"/>
      <c r="AS1482" s="1"/>
      <c r="AT1482" s="1"/>
      <c r="AU1482" s="1"/>
      <c r="AV1482" s="1"/>
      <c r="AW1482" s="1"/>
      <c r="AX1482" s="1"/>
      <c r="AY1482" s="1"/>
      <c r="AZ1482" s="1"/>
      <c r="BA1482" s="1"/>
      <c r="BB1482" s="1"/>
      <c r="BC1482" s="1"/>
      <c r="BD1482" s="1"/>
    </row>
    <row r="1483" spans="35:56">
      <c r="AI1483" s="1"/>
      <c r="AJ1483" s="1"/>
      <c r="AK1483" s="1"/>
      <c r="AL1483" s="1"/>
      <c r="AM1483" s="1"/>
      <c r="AN1483" s="1"/>
      <c r="AO1483" s="1"/>
      <c r="AP1483" s="1"/>
      <c r="AQ1483" s="1"/>
      <c r="AR1483" s="1"/>
      <c r="AS1483" s="1"/>
      <c r="AT1483" s="1"/>
      <c r="AU1483" s="1"/>
      <c r="AV1483" s="1"/>
      <c r="AW1483" s="1"/>
      <c r="AX1483" s="1"/>
      <c r="AY1483" s="1"/>
      <c r="AZ1483" s="1"/>
      <c r="BA1483" s="1"/>
      <c r="BB1483" s="1"/>
      <c r="BC1483" s="1"/>
      <c r="BD1483" s="1"/>
    </row>
    <row r="1484" spans="35:56">
      <c r="AI1484" s="1"/>
      <c r="AJ1484" s="1"/>
      <c r="AK1484" s="1"/>
      <c r="AL1484" s="1"/>
      <c r="AM1484" s="1"/>
      <c r="AN1484" s="1"/>
      <c r="AO1484" s="1"/>
      <c r="AP1484" s="1"/>
      <c r="AQ1484" s="1"/>
      <c r="AR1484" s="1"/>
      <c r="AS1484" s="1"/>
      <c r="AT1484" s="1"/>
      <c r="AU1484" s="1"/>
      <c r="AV1484" s="1"/>
      <c r="AW1484" s="1"/>
      <c r="AX1484" s="1"/>
      <c r="AY1484" s="1"/>
      <c r="AZ1484" s="1"/>
      <c r="BA1484" s="1"/>
      <c r="BB1484" s="1"/>
      <c r="BC1484" s="1"/>
      <c r="BD1484" s="1"/>
    </row>
    <row r="1485" spans="35:56">
      <c r="AI1485" s="1"/>
      <c r="AJ1485" s="1"/>
      <c r="AK1485" s="1"/>
      <c r="AL1485" s="1"/>
      <c r="AM1485" s="1"/>
      <c r="AN1485" s="1"/>
      <c r="AO1485" s="1"/>
      <c r="AP1485" s="1"/>
      <c r="AQ1485" s="1"/>
      <c r="AR1485" s="1"/>
      <c r="AS1485" s="1"/>
      <c r="AT1485" s="1"/>
      <c r="AU1485" s="1"/>
      <c r="AV1485" s="1"/>
      <c r="AW1485" s="1"/>
      <c r="AX1485" s="1"/>
      <c r="AY1485" s="1"/>
      <c r="AZ1485" s="1"/>
      <c r="BA1485" s="1"/>
      <c r="BB1485" s="1"/>
      <c r="BC1485" s="1"/>
      <c r="BD1485" s="1"/>
    </row>
    <row r="1486" spans="35:56">
      <c r="AI1486" s="1"/>
      <c r="AJ1486" s="1"/>
      <c r="AK1486" s="1"/>
      <c r="AL1486" s="1"/>
      <c r="AM1486" s="1"/>
      <c r="AN1486" s="1"/>
      <c r="AO1486" s="1"/>
      <c r="AP1486" s="1"/>
      <c r="AQ1486" s="1"/>
      <c r="AR1486" s="1"/>
      <c r="AS1486" s="1"/>
      <c r="AT1486" s="1"/>
      <c r="AU1486" s="1"/>
      <c r="AV1486" s="1"/>
      <c r="AW1486" s="1"/>
      <c r="AX1486" s="1"/>
      <c r="AY1486" s="1"/>
      <c r="AZ1486" s="1"/>
      <c r="BA1486" s="1"/>
      <c r="BB1486" s="1"/>
      <c r="BC1486" s="1"/>
      <c r="BD1486" s="1"/>
    </row>
    <row r="1487" spans="35:56">
      <c r="AI1487" s="1"/>
      <c r="AJ1487" s="1"/>
      <c r="AK1487" s="1"/>
      <c r="AL1487" s="1"/>
      <c r="AM1487" s="1"/>
      <c r="AN1487" s="1"/>
      <c r="AO1487" s="1"/>
      <c r="AP1487" s="1"/>
      <c r="AQ1487" s="1"/>
      <c r="AR1487" s="1"/>
      <c r="AS1487" s="1"/>
      <c r="AT1487" s="1"/>
      <c r="AU1487" s="1"/>
      <c r="AV1487" s="1"/>
      <c r="AW1487" s="1"/>
      <c r="AX1487" s="1"/>
      <c r="AY1487" s="1"/>
      <c r="AZ1487" s="1"/>
      <c r="BA1487" s="1"/>
      <c r="BB1487" s="1"/>
      <c r="BC1487" s="1"/>
      <c r="BD1487" s="1"/>
    </row>
    <row r="1488" spans="35:56">
      <c r="AI1488" s="1"/>
      <c r="AJ1488" s="1"/>
      <c r="AK1488" s="1"/>
      <c r="AL1488" s="1"/>
      <c r="AM1488" s="1"/>
      <c r="AN1488" s="1"/>
      <c r="AO1488" s="1"/>
      <c r="AP1488" s="1"/>
      <c r="AQ1488" s="1"/>
      <c r="AR1488" s="1"/>
      <c r="AS1488" s="1"/>
      <c r="AT1488" s="1"/>
      <c r="AU1488" s="1"/>
      <c r="AV1488" s="1"/>
      <c r="AW1488" s="1"/>
      <c r="AX1488" s="1"/>
      <c r="AY1488" s="1"/>
      <c r="AZ1488" s="1"/>
      <c r="BA1488" s="1"/>
      <c r="BB1488" s="1"/>
      <c r="BC1488" s="1"/>
      <c r="BD1488" s="1"/>
    </row>
    <row r="1489" spans="35:56">
      <c r="AI1489" s="1"/>
      <c r="AJ1489" s="1"/>
      <c r="AK1489" s="1"/>
      <c r="AL1489" s="1"/>
      <c r="AM1489" s="1"/>
      <c r="AN1489" s="1"/>
      <c r="AO1489" s="1"/>
      <c r="AP1489" s="1"/>
      <c r="AQ1489" s="1"/>
      <c r="AR1489" s="1"/>
      <c r="AS1489" s="1"/>
      <c r="AT1489" s="1"/>
      <c r="AU1489" s="1"/>
      <c r="AV1489" s="1"/>
      <c r="AW1489" s="1"/>
      <c r="AX1489" s="1"/>
      <c r="AY1489" s="1"/>
      <c r="AZ1489" s="1"/>
      <c r="BA1489" s="1"/>
      <c r="BB1489" s="1"/>
      <c r="BC1489" s="1"/>
      <c r="BD1489" s="1"/>
    </row>
    <row r="1490" spans="35:56">
      <c r="AI1490" s="1"/>
      <c r="AJ1490" s="1"/>
      <c r="AK1490" s="1"/>
      <c r="AL1490" s="1"/>
      <c r="AM1490" s="1"/>
      <c r="AN1490" s="1"/>
      <c r="AO1490" s="1"/>
      <c r="AP1490" s="1"/>
      <c r="AQ1490" s="1"/>
      <c r="AR1490" s="1"/>
      <c r="AS1490" s="1"/>
      <c r="AT1490" s="1"/>
      <c r="AU1490" s="1"/>
      <c r="AV1490" s="1"/>
      <c r="AW1490" s="1"/>
      <c r="AX1490" s="1"/>
      <c r="AY1490" s="1"/>
      <c r="AZ1490" s="1"/>
      <c r="BA1490" s="1"/>
      <c r="BB1490" s="1"/>
      <c r="BC1490" s="1"/>
      <c r="BD1490" s="1"/>
    </row>
    <row r="1491" spans="35:56">
      <c r="AI1491" s="1"/>
      <c r="AJ1491" s="1"/>
      <c r="AK1491" s="1"/>
      <c r="AL1491" s="1"/>
      <c r="AM1491" s="1"/>
      <c r="AN1491" s="1"/>
      <c r="AO1491" s="1"/>
      <c r="AP1491" s="1"/>
      <c r="AQ1491" s="1"/>
      <c r="AR1491" s="1"/>
      <c r="AS1491" s="1"/>
      <c r="AT1491" s="1"/>
      <c r="AU1491" s="1"/>
      <c r="AV1491" s="1"/>
      <c r="AW1491" s="1"/>
      <c r="AX1491" s="1"/>
      <c r="AY1491" s="1"/>
      <c r="AZ1491" s="1"/>
      <c r="BA1491" s="1"/>
      <c r="BB1491" s="1"/>
      <c r="BC1491" s="1"/>
      <c r="BD1491" s="1"/>
    </row>
    <row r="1492" spans="35:56">
      <c r="AI1492" s="1"/>
      <c r="AJ1492" s="1"/>
      <c r="AK1492" s="1"/>
      <c r="AL1492" s="1"/>
      <c r="AM1492" s="1"/>
      <c r="AN1492" s="1"/>
      <c r="AO1492" s="1"/>
      <c r="AP1492" s="1"/>
      <c r="AQ1492" s="1"/>
      <c r="AR1492" s="1"/>
      <c r="AS1492" s="1"/>
      <c r="AT1492" s="1"/>
      <c r="AU1492" s="1"/>
      <c r="AV1492" s="1"/>
      <c r="AW1492" s="1"/>
      <c r="AX1492" s="1"/>
      <c r="AY1492" s="1"/>
      <c r="AZ1492" s="1"/>
      <c r="BA1492" s="1"/>
      <c r="BB1492" s="1"/>
      <c r="BC1492" s="1"/>
      <c r="BD1492" s="1"/>
    </row>
    <row r="1493" spans="35:56">
      <c r="AI1493" s="1"/>
      <c r="AJ1493" s="1"/>
      <c r="AK1493" s="1"/>
      <c r="AL1493" s="1"/>
      <c r="AM1493" s="1"/>
      <c r="AN1493" s="1"/>
      <c r="AO1493" s="1"/>
      <c r="AP1493" s="1"/>
      <c r="AQ1493" s="1"/>
      <c r="AR1493" s="1"/>
      <c r="AS1493" s="1"/>
      <c r="AT1493" s="1"/>
      <c r="AU1493" s="1"/>
      <c r="AV1493" s="1"/>
      <c r="AW1493" s="1"/>
      <c r="AX1493" s="1"/>
      <c r="AY1493" s="1"/>
      <c r="AZ1493" s="1"/>
      <c r="BA1493" s="1"/>
      <c r="BB1493" s="1"/>
      <c r="BC1493" s="1"/>
      <c r="BD1493" s="1"/>
    </row>
    <row r="1494" spans="35:56">
      <c r="AI1494" s="1"/>
      <c r="AJ1494" s="1"/>
      <c r="AK1494" s="1"/>
      <c r="AL1494" s="1"/>
      <c r="AM1494" s="1"/>
      <c r="AN1494" s="1"/>
      <c r="AO1494" s="1"/>
      <c r="AP1494" s="1"/>
      <c r="AQ1494" s="1"/>
      <c r="AR1494" s="1"/>
      <c r="AS1494" s="1"/>
      <c r="AT1494" s="1"/>
      <c r="AU1494" s="1"/>
      <c r="AV1494" s="1"/>
      <c r="AW1494" s="1"/>
      <c r="AX1494" s="1"/>
      <c r="AY1494" s="1"/>
      <c r="AZ1494" s="1"/>
      <c r="BA1494" s="1"/>
      <c r="BB1494" s="1"/>
      <c r="BC1494" s="1"/>
      <c r="BD1494" s="1"/>
    </row>
    <row r="1495" spans="35:56">
      <c r="AI1495" s="1"/>
      <c r="AJ1495" s="1"/>
      <c r="AK1495" s="1"/>
      <c r="AL1495" s="1"/>
      <c r="AM1495" s="1"/>
      <c r="AN1495" s="1"/>
      <c r="AO1495" s="1"/>
      <c r="AP1495" s="1"/>
      <c r="AQ1495" s="1"/>
      <c r="AR1495" s="1"/>
      <c r="AS1495" s="1"/>
      <c r="AT1495" s="1"/>
      <c r="AU1495" s="1"/>
      <c r="AV1495" s="1"/>
      <c r="AW1495" s="1"/>
      <c r="AX1495" s="1"/>
      <c r="AY1495" s="1"/>
      <c r="AZ1495" s="1"/>
      <c r="BA1495" s="1"/>
      <c r="BB1495" s="1"/>
      <c r="BC1495" s="1"/>
      <c r="BD1495" s="1"/>
    </row>
    <row r="1496" spans="35:56">
      <c r="AI1496" s="1"/>
      <c r="AJ1496" s="1"/>
      <c r="AK1496" s="1"/>
      <c r="AL1496" s="1"/>
      <c r="AM1496" s="1"/>
      <c r="AN1496" s="1"/>
      <c r="AO1496" s="1"/>
      <c r="AP1496" s="1"/>
      <c r="AQ1496" s="1"/>
      <c r="AR1496" s="1"/>
      <c r="AS1496" s="1"/>
      <c r="AT1496" s="1"/>
      <c r="AU1496" s="1"/>
      <c r="AV1496" s="1"/>
      <c r="AW1496" s="1"/>
      <c r="AX1496" s="1"/>
      <c r="AY1496" s="1"/>
      <c r="AZ1496" s="1"/>
      <c r="BA1496" s="1"/>
      <c r="BB1496" s="1"/>
      <c r="BC1496" s="1"/>
      <c r="BD1496" s="1"/>
    </row>
    <row r="1497" spans="35:56">
      <c r="AI1497" s="1"/>
      <c r="AJ1497" s="1"/>
      <c r="AK1497" s="1"/>
      <c r="AL1497" s="1"/>
      <c r="AM1497" s="1"/>
      <c r="AN1497" s="1"/>
      <c r="AO1497" s="1"/>
      <c r="AP1497" s="1"/>
      <c r="AQ1497" s="1"/>
      <c r="AR1497" s="1"/>
      <c r="AS1497" s="1"/>
      <c r="AT1497" s="1"/>
      <c r="AU1497" s="1"/>
      <c r="AV1497" s="1"/>
      <c r="AW1497" s="1"/>
      <c r="AX1497" s="1"/>
      <c r="AY1497" s="1"/>
      <c r="AZ1497" s="1"/>
      <c r="BA1497" s="1"/>
      <c r="BB1497" s="1"/>
      <c r="BC1497" s="1"/>
      <c r="BD1497" s="1"/>
    </row>
    <row r="1498" spans="35:56">
      <c r="AI1498" s="1"/>
      <c r="AJ1498" s="1"/>
      <c r="AK1498" s="1"/>
      <c r="AL1498" s="1"/>
      <c r="AM1498" s="1"/>
      <c r="AN1498" s="1"/>
      <c r="AO1498" s="1"/>
      <c r="AP1498" s="1"/>
      <c r="AQ1498" s="1"/>
      <c r="AR1498" s="1"/>
      <c r="AS1498" s="1"/>
      <c r="AT1498" s="1"/>
      <c r="AU1498" s="1"/>
      <c r="AV1498" s="1"/>
      <c r="AW1498" s="1"/>
      <c r="AX1498" s="1"/>
      <c r="AY1498" s="1"/>
      <c r="AZ1498" s="1"/>
      <c r="BA1498" s="1"/>
      <c r="BB1498" s="1"/>
      <c r="BC1498" s="1"/>
      <c r="BD1498" s="1"/>
    </row>
    <row r="1499" spans="35:56">
      <c r="AI1499" s="1"/>
      <c r="AJ1499" s="1"/>
      <c r="AK1499" s="1"/>
      <c r="AL1499" s="1"/>
      <c r="AM1499" s="1"/>
      <c r="AN1499" s="1"/>
      <c r="AO1499" s="1"/>
      <c r="AP1499" s="1"/>
      <c r="AQ1499" s="1"/>
      <c r="AR1499" s="1"/>
      <c r="AS1499" s="1"/>
      <c r="AT1499" s="1"/>
      <c r="AU1499" s="1"/>
      <c r="AV1499" s="1"/>
      <c r="AW1499" s="1"/>
      <c r="AX1499" s="1"/>
      <c r="AY1499" s="1"/>
      <c r="AZ1499" s="1"/>
      <c r="BA1499" s="1"/>
      <c r="BB1499" s="1"/>
      <c r="BC1499" s="1"/>
      <c r="BD1499" s="1"/>
    </row>
    <row r="1500" spans="35:56">
      <c r="AI1500" s="1"/>
      <c r="AJ1500" s="1"/>
      <c r="AK1500" s="1"/>
      <c r="AL1500" s="1"/>
      <c r="AM1500" s="1"/>
      <c r="AN1500" s="1"/>
      <c r="AO1500" s="1"/>
      <c r="AP1500" s="1"/>
      <c r="AQ1500" s="1"/>
      <c r="AR1500" s="1"/>
      <c r="AS1500" s="1"/>
      <c r="AT1500" s="1"/>
      <c r="AU1500" s="1"/>
      <c r="AV1500" s="1"/>
      <c r="AW1500" s="1"/>
      <c r="AX1500" s="1"/>
      <c r="AY1500" s="1"/>
      <c r="AZ1500" s="1"/>
      <c r="BA1500" s="1"/>
      <c r="BB1500" s="1"/>
      <c r="BC1500" s="1"/>
      <c r="BD1500" s="1"/>
    </row>
    <row r="1501" spans="35:56">
      <c r="AI1501" s="1"/>
      <c r="AJ1501" s="1"/>
      <c r="AK1501" s="1"/>
      <c r="AL1501" s="1"/>
      <c r="AM1501" s="1"/>
      <c r="AN1501" s="1"/>
      <c r="AO1501" s="1"/>
      <c r="AP1501" s="1"/>
      <c r="AQ1501" s="1"/>
      <c r="AR1501" s="1"/>
      <c r="AS1501" s="1"/>
      <c r="AT1501" s="1"/>
      <c r="AU1501" s="1"/>
      <c r="AV1501" s="1"/>
      <c r="AW1501" s="1"/>
      <c r="AX1501" s="1"/>
      <c r="AY1501" s="1"/>
      <c r="AZ1501" s="1"/>
      <c r="BA1501" s="1"/>
      <c r="BB1501" s="1"/>
      <c r="BC1501" s="1"/>
      <c r="BD1501" s="1"/>
    </row>
    <row r="1502" spans="35:56">
      <c r="AI1502" s="1"/>
      <c r="AJ1502" s="1"/>
      <c r="AK1502" s="1"/>
      <c r="AL1502" s="1"/>
      <c r="AM1502" s="1"/>
      <c r="AN1502" s="1"/>
      <c r="AO1502" s="1"/>
      <c r="AP1502" s="1"/>
      <c r="AQ1502" s="1"/>
      <c r="AR1502" s="1"/>
      <c r="AS1502" s="1"/>
      <c r="AT1502" s="1"/>
      <c r="AU1502" s="1"/>
      <c r="AV1502" s="1"/>
      <c r="AW1502" s="1"/>
      <c r="AX1502" s="1"/>
      <c r="AY1502" s="1"/>
      <c r="AZ1502" s="1"/>
      <c r="BA1502" s="1"/>
      <c r="BB1502" s="1"/>
      <c r="BC1502" s="1"/>
      <c r="BD1502" s="1"/>
    </row>
    <row r="1503" spans="35:56">
      <c r="AI1503" s="1"/>
      <c r="AJ1503" s="1"/>
      <c r="AK1503" s="1"/>
      <c r="AL1503" s="1"/>
      <c r="AM1503" s="1"/>
      <c r="AN1503" s="1"/>
      <c r="AO1503" s="1"/>
      <c r="AP1503" s="1"/>
      <c r="AQ1503" s="1"/>
      <c r="AR1503" s="1"/>
      <c r="AS1503" s="1"/>
      <c r="AT1503" s="1"/>
      <c r="AU1503" s="1"/>
      <c r="AV1503" s="1"/>
      <c r="AW1503" s="1"/>
      <c r="AX1503" s="1"/>
      <c r="AY1503" s="1"/>
      <c r="AZ1503" s="1"/>
      <c r="BA1503" s="1"/>
      <c r="BB1503" s="1"/>
      <c r="BC1503" s="1"/>
      <c r="BD1503" s="1"/>
    </row>
    <row r="1504" spans="35:56">
      <c r="AI1504" s="1"/>
      <c r="AJ1504" s="1"/>
      <c r="AK1504" s="1"/>
      <c r="AL1504" s="1"/>
      <c r="AM1504" s="1"/>
      <c r="AN1504" s="1"/>
      <c r="AO1504" s="1"/>
      <c r="AP1504" s="1"/>
      <c r="AQ1504" s="1"/>
      <c r="AR1504" s="1"/>
      <c r="AS1504" s="1"/>
      <c r="AT1504" s="1"/>
      <c r="AU1504" s="1"/>
      <c r="AV1504" s="1"/>
      <c r="AW1504" s="1"/>
      <c r="AX1504" s="1"/>
      <c r="AY1504" s="1"/>
      <c r="AZ1504" s="1"/>
      <c r="BA1504" s="1"/>
      <c r="BB1504" s="1"/>
      <c r="BC1504" s="1"/>
      <c r="BD1504" s="1"/>
    </row>
    <row r="1505" spans="35:56">
      <c r="AI1505" s="1"/>
      <c r="AJ1505" s="1"/>
      <c r="AK1505" s="1"/>
      <c r="AL1505" s="1"/>
      <c r="AM1505" s="1"/>
      <c r="AN1505" s="1"/>
      <c r="AO1505" s="1"/>
      <c r="AP1505" s="1"/>
      <c r="AQ1505" s="1"/>
      <c r="AR1505" s="1"/>
      <c r="AS1505" s="1"/>
      <c r="AT1505" s="1"/>
      <c r="AU1505" s="1"/>
      <c r="AV1505" s="1"/>
      <c r="AW1505" s="1"/>
      <c r="AX1505" s="1"/>
      <c r="AY1505" s="1"/>
      <c r="AZ1505" s="1"/>
      <c r="BA1505" s="1"/>
      <c r="BB1505" s="1"/>
      <c r="BC1505" s="1"/>
      <c r="BD1505" s="1"/>
    </row>
    <row r="1506" spans="35:56">
      <c r="AI1506" s="1"/>
      <c r="AJ1506" s="1"/>
      <c r="AK1506" s="1"/>
      <c r="AL1506" s="1"/>
      <c r="AM1506" s="1"/>
      <c r="AN1506" s="1"/>
      <c r="AO1506" s="1"/>
      <c r="AP1506" s="1"/>
      <c r="AQ1506" s="1"/>
      <c r="AR1506" s="1"/>
      <c r="AS1506" s="1"/>
      <c r="AT1506" s="1"/>
      <c r="AU1506" s="1"/>
      <c r="AV1506" s="1"/>
      <c r="AW1506" s="1"/>
      <c r="AX1506" s="1"/>
      <c r="AY1506" s="1"/>
      <c r="AZ1506" s="1"/>
      <c r="BA1506" s="1"/>
      <c r="BB1506" s="1"/>
      <c r="BC1506" s="1"/>
      <c r="BD1506" s="1"/>
    </row>
    <row r="1507" spans="35:56">
      <c r="AI1507" s="1"/>
      <c r="AJ1507" s="1"/>
      <c r="AK1507" s="1"/>
      <c r="AL1507" s="1"/>
      <c r="AM1507" s="1"/>
      <c r="AN1507" s="1"/>
      <c r="AO1507" s="1"/>
      <c r="AP1507" s="1"/>
      <c r="AQ1507" s="1"/>
      <c r="AR1507" s="1"/>
      <c r="AS1507" s="1"/>
      <c r="AT1507" s="1"/>
      <c r="AU1507" s="1"/>
      <c r="AV1507" s="1"/>
      <c r="AW1507" s="1"/>
      <c r="AX1507" s="1"/>
      <c r="AY1507" s="1"/>
      <c r="AZ1507" s="1"/>
      <c r="BA1507" s="1"/>
      <c r="BB1507" s="1"/>
      <c r="BC1507" s="1"/>
      <c r="BD1507" s="1"/>
    </row>
    <row r="1508" spans="35:56">
      <c r="AI1508" s="1"/>
      <c r="AJ1508" s="1"/>
      <c r="AK1508" s="1"/>
      <c r="AL1508" s="1"/>
      <c r="AM1508" s="1"/>
      <c r="AN1508" s="1"/>
      <c r="AO1508" s="1"/>
      <c r="AP1508" s="1"/>
      <c r="AQ1508" s="1"/>
      <c r="AR1508" s="1"/>
      <c r="AS1508" s="1"/>
      <c r="AT1508" s="1"/>
      <c r="AU1508" s="1"/>
      <c r="AV1508" s="1"/>
      <c r="AW1508" s="1"/>
      <c r="AX1508" s="1"/>
      <c r="AY1508" s="1"/>
      <c r="AZ1508" s="1"/>
      <c r="BA1508" s="1"/>
      <c r="BB1508" s="1"/>
      <c r="BC1508" s="1"/>
      <c r="BD1508" s="1"/>
    </row>
    <row r="1509" spans="35:56">
      <c r="AI1509" s="1"/>
      <c r="AJ1509" s="1"/>
      <c r="AK1509" s="1"/>
      <c r="AL1509" s="1"/>
      <c r="AM1509" s="1"/>
      <c r="AN1509" s="1"/>
      <c r="AO1509" s="1"/>
      <c r="AP1509" s="1"/>
      <c r="AQ1509" s="1"/>
      <c r="AR1509" s="1"/>
      <c r="AS1509" s="1"/>
      <c r="AT1509" s="1"/>
      <c r="AU1509" s="1"/>
      <c r="AV1509" s="1"/>
      <c r="AW1509" s="1"/>
      <c r="AX1509" s="1"/>
      <c r="AY1509" s="1"/>
      <c r="AZ1509" s="1"/>
      <c r="BA1509" s="1"/>
      <c r="BB1509" s="1"/>
      <c r="BC1509" s="1"/>
      <c r="BD1509" s="1"/>
    </row>
    <row r="1510" spans="35:56">
      <c r="AI1510" s="1"/>
      <c r="AJ1510" s="1"/>
      <c r="AK1510" s="1"/>
      <c r="AL1510" s="1"/>
      <c r="AM1510" s="1"/>
      <c r="AN1510" s="1"/>
      <c r="AO1510" s="1"/>
      <c r="AP1510" s="1"/>
      <c r="AQ1510" s="1"/>
      <c r="AR1510" s="1"/>
      <c r="AS1510" s="1"/>
      <c r="AT1510" s="1"/>
      <c r="AU1510" s="1"/>
      <c r="AV1510" s="1"/>
      <c r="AW1510" s="1"/>
      <c r="AX1510" s="1"/>
      <c r="AY1510" s="1"/>
      <c r="AZ1510" s="1"/>
      <c r="BA1510" s="1"/>
      <c r="BB1510" s="1"/>
      <c r="BC1510" s="1"/>
      <c r="BD1510" s="1"/>
    </row>
    <row r="1511" spans="35:56">
      <c r="AI1511" s="1"/>
      <c r="AJ1511" s="1"/>
      <c r="AK1511" s="1"/>
      <c r="AL1511" s="1"/>
      <c r="AM1511" s="1"/>
      <c r="AN1511" s="1"/>
      <c r="AO1511" s="1"/>
      <c r="AP1511" s="1"/>
      <c r="AQ1511" s="1"/>
      <c r="AR1511" s="1"/>
      <c r="AS1511" s="1"/>
      <c r="AT1511" s="1"/>
      <c r="AU1511" s="1"/>
      <c r="AV1511" s="1"/>
      <c r="AW1511" s="1"/>
      <c r="AX1511" s="1"/>
      <c r="AY1511" s="1"/>
      <c r="AZ1511" s="1"/>
      <c r="BA1511" s="1"/>
      <c r="BB1511" s="1"/>
      <c r="BC1511" s="1"/>
      <c r="BD1511" s="1"/>
    </row>
    <row r="1512" spans="35:56">
      <c r="AI1512" s="1"/>
      <c r="AJ1512" s="1"/>
      <c r="AK1512" s="1"/>
      <c r="AL1512" s="1"/>
      <c r="AM1512" s="1"/>
      <c r="AN1512" s="1"/>
      <c r="AO1512" s="1"/>
      <c r="AP1512" s="1"/>
      <c r="AQ1512" s="1"/>
      <c r="AR1512" s="1"/>
      <c r="AS1512" s="1"/>
      <c r="AT1512" s="1"/>
      <c r="AU1512" s="1"/>
      <c r="AV1512" s="1"/>
      <c r="AW1512" s="1"/>
      <c r="AX1512" s="1"/>
      <c r="AY1512" s="1"/>
      <c r="AZ1512" s="1"/>
      <c r="BA1512" s="1"/>
      <c r="BB1512" s="1"/>
      <c r="BC1512" s="1"/>
      <c r="BD1512" s="1"/>
    </row>
    <row r="1513" spans="35:56">
      <c r="AI1513" s="1"/>
      <c r="AJ1513" s="1"/>
      <c r="AK1513" s="1"/>
      <c r="AL1513" s="1"/>
      <c r="AM1513" s="1"/>
      <c r="AN1513" s="1"/>
      <c r="AO1513" s="1"/>
      <c r="AP1513" s="1"/>
      <c r="AQ1513" s="1"/>
      <c r="AR1513" s="1"/>
      <c r="AS1513" s="1"/>
      <c r="AT1513" s="1"/>
      <c r="AU1513" s="1"/>
      <c r="AV1513" s="1"/>
      <c r="AW1513" s="1"/>
      <c r="AX1513" s="1"/>
      <c r="AY1513" s="1"/>
      <c r="AZ1513" s="1"/>
      <c r="BA1513" s="1"/>
      <c r="BB1513" s="1"/>
      <c r="BC1513" s="1"/>
      <c r="BD1513" s="1"/>
    </row>
    <row r="1514" spans="35:56">
      <c r="AI1514" s="1"/>
      <c r="AJ1514" s="1"/>
      <c r="AK1514" s="1"/>
      <c r="AL1514" s="1"/>
      <c r="AM1514" s="1"/>
      <c r="AN1514" s="1"/>
      <c r="AO1514" s="1"/>
      <c r="AP1514" s="1"/>
      <c r="AQ1514" s="1"/>
      <c r="AR1514" s="1"/>
      <c r="AS1514" s="1"/>
      <c r="AT1514" s="1"/>
      <c r="AU1514" s="1"/>
      <c r="AV1514" s="1"/>
      <c r="AW1514" s="1"/>
      <c r="AX1514" s="1"/>
      <c r="AY1514" s="1"/>
      <c r="AZ1514" s="1"/>
      <c r="BA1514" s="1"/>
      <c r="BB1514" s="1"/>
      <c r="BC1514" s="1"/>
      <c r="BD1514" s="1"/>
    </row>
    <row r="1515" spans="35:56">
      <c r="AI1515" s="1"/>
      <c r="AJ1515" s="1"/>
      <c r="AK1515" s="1"/>
      <c r="AL1515" s="1"/>
      <c r="AM1515" s="1"/>
      <c r="AN1515" s="1"/>
      <c r="AO1515" s="1"/>
      <c r="AP1515" s="1"/>
      <c r="AQ1515" s="1"/>
      <c r="AR1515" s="1"/>
      <c r="AS1515" s="1"/>
      <c r="AT1515" s="1"/>
      <c r="AU1515" s="1"/>
      <c r="AV1515" s="1"/>
      <c r="AW1515" s="1"/>
      <c r="AX1515" s="1"/>
      <c r="AY1515" s="1"/>
      <c r="AZ1515" s="1"/>
      <c r="BA1515" s="1"/>
      <c r="BB1515" s="1"/>
      <c r="BC1515" s="1"/>
      <c r="BD1515" s="1"/>
    </row>
    <row r="1516" spans="35:56">
      <c r="AI1516" s="1"/>
      <c r="AJ1516" s="1"/>
      <c r="AK1516" s="1"/>
      <c r="AL1516" s="1"/>
      <c r="AM1516" s="1"/>
      <c r="AN1516" s="1"/>
      <c r="AO1516" s="1"/>
      <c r="AP1516" s="1"/>
      <c r="AQ1516" s="1"/>
      <c r="AR1516" s="1"/>
      <c r="AS1516" s="1"/>
      <c r="AT1516" s="1"/>
      <c r="AU1516" s="1"/>
      <c r="AV1516" s="1"/>
      <c r="AW1516" s="1"/>
      <c r="AX1516" s="1"/>
      <c r="AY1516" s="1"/>
      <c r="AZ1516" s="1"/>
      <c r="BA1516" s="1"/>
      <c r="BB1516" s="1"/>
      <c r="BC1516" s="1"/>
      <c r="BD1516" s="1"/>
    </row>
    <row r="1517" spans="35:56">
      <c r="AI1517" s="1"/>
      <c r="AJ1517" s="1"/>
      <c r="AK1517" s="1"/>
      <c r="AL1517" s="1"/>
      <c r="AM1517" s="1"/>
      <c r="AN1517" s="1"/>
      <c r="AO1517" s="1"/>
      <c r="AP1517" s="1"/>
      <c r="AQ1517" s="1"/>
      <c r="AR1517" s="1"/>
      <c r="AS1517" s="1"/>
      <c r="AT1517" s="1"/>
      <c r="AU1517" s="1"/>
      <c r="AV1517" s="1"/>
      <c r="AW1517" s="1"/>
      <c r="AX1517" s="1"/>
      <c r="AY1517" s="1"/>
      <c r="AZ1517" s="1"/>
      <c r="BA1517" s="1"/>
      <c r="BB1517" s="1"/>
      <c r="BC1517" s="1"/>
      <c r="BD1517" s="1"/>
    </row>
    <row r="1518" spans="35:56">
      <c r="AI1518" s="1"/>
      <c r="AJ1518" s="1"/>
      <c r="AK1518" s="1"/>
      <c r="AL1518" s="1"/>
      <c r="AM1518" s="1"/>
      <c r="AN1518" s="1"/>
      <c r="AO1518" s="1"/>
      <c r="AP1518" s="1"/>
      <c r="AQ1518" s="1"/>
      <c r="AR1518" s="1"/>
      <c r="AS1518" s="1"/>
      <c r="AT1518" s="1"/>
      <c r="AU1518" s="1"/>
      <c r="AV1518" s="1"/>
      <c r="AW1518" s="1"/>
      <c r="AX1518" s="1"/>
      <c r="AY1518" s="1"/>
      <c r="AZ1518" s="1"/>
      <c r="BA1518" s="1"/>
      <c r="BB1518" s="1"/>
      <c r="BC1518" s="1"/>
      <c r="BD1518" s="1"/>
    </row>
    <row r="1519" spans="35:56">
      <c r="AI1519" s="1"/>
      <c r="AJ1519" s="1"/>
      <c r="AK1519" s="1"/>
      <c r="AL1519" s="1"/>
      <c r="AM1519" s="1"/>
      <c r="AN1519" s="1"/>
      <c r="AO1519" s="1"/>
      <c r="AP1519" s="1"/>
      <c r="AQ1519" s="1"/>
      <c r="AR1519" s="1"/>
      <c r="AS1519" s="1"/>
      <c r="AT1519" s="1"/>
      <c r="AU1519" s="1"/>
      <c r="AV1519" s="1"/>
      <c r="AW1519" s="1"/>
      <c r="AX1519" s="1"/>
      <c r="AY1519" s="1"/>
      <c r="AZ1519" s="1"/>
      <c r="BA1519" s="1"/>
      <c r="BB1519" s="1"/>
      <c r="BC1519" s="1"/>
      <c r="BD1519" s="1"/>
    </row>
    <row r="1520" spans="35:56">
      <c r="AI1520" s="1"/>
      <c r="AJ1520" s="1"/>
      <c r="AK1520" s="1"/>
      <c r="AL1520" s="1"/>
      <c r="AM1520" s="1"/>
      <c r="AN1520" s="1"/>
      <c r="AO1520" s="1"/>
      <c r="AP1520" s="1"/>
      <c r="AQ1520" s="1"/>
      <c r="AR1520" s="1"/>
      <c r="AS1520" s="1"/>
      <c r="AT1520" s="1"/>
      <c r="AU1520" s="1"/>
      <c r="AV1520" s="1"/>
      <c r="AW1520" s="1"/>
      <c r="AX1520" s="1"/>
      <c r="AY1520" s="1"/>
      <c r="AZ1520" s="1"/>
      <c r="BA1520" s="1"/>
      <c r="BB1520" s="1"/>
      <c r="BC1520" s="1"/>
      <c r="BD1520" s="1"/>
    </row>
    <row r="1521" spans="35:56">
      <c r="AI1521" s="1"/>
      <c r="AJ1521" s="1"/>
      <c r="AK1521" s="1"/>
      <c r="AL1521" s="1"/>
      <c r="AM1521" s="1"/>
      <c r="AN1521" s="1"/>
      <c r="AO1521" s="1"/>
      <c r="AP1521" s="1"/>
      <c r="AQ1521" s="1"/>
      <c r="AR1521" s="1"/>
      <c r="AS1521" s="1"/>
      <c r="AT1521" s="1"/>
      <c r="AU1521" s="1"/>
      <c r="AV1521" s="1"/>
      <c r="AW1521" s="1"/>
      <c r="AX1521" s="1"/>
      <c r="AY1521" s="1"/>
      <c r="AZ1521" s="1"/>
      <c r="BA1521" s="1"/>
      <c r="BB1521" s="1"/>
      <c r="BC1521" s="1"/>
      <c r="BD1521" s="1"/>
    </row>
    <row r="1522" spans="35:56">
      <c r="AI1522" s="1"/>
      <c r="AJ1522" s="1"/>
      <c r="AK1522" s="1"/>
      <c r="AL1522" s="1"/>
      <c r="AM1522" s="1"/>
      <c r="AN1522" s="1"/>
      <c r="AO1522" s="1"/>
      <c r="AP1522" s="1"/>
      <c r="AQ1522" s="1"/>
      <c r="AR1522" s="1"/>
      <c r="AS1522" s="1"/>
      <c r="AT1522" s="1"/>
      <c r="AU1522" s="1"/>
      <c r="AV1522" s="1"/>
      <c r="AW1522" s="1"/>
      <c r="AX1522" s="1"/>
      <c r="AY1522" s="1"/>
      <c r="AZ1522" s="1"/>
      <c r="BA1522" s="1"/>
      <c r="BB1522" s="1"/>
      <c r="BC1522" s="1"/>
      <c r="BD1522" s="1"/>
    </row>
    <row r="1523" spans="35:56">
      <c r="AI1523" s="1"/>
      <c r="AJ1523" s="1"/>
      <c r="AK1523" s="1"/>
      <c r="AL1523" s="1"/>
      <c r="AM1523" s="1"/>
      <c r="AN1523" s="1"/>
      <c r="AO1523" s="1"/>
      <c r="AP1523" s="1"/>
      <c r="AQ1523" s="1"/>
      <c r="AR1523" s="1"/>
      <c r="AS1523" s="1"/>
      <c r="AT1523" s="1"/>
      <c r="AU1523" s="1"/>
      <c r="AV1523" s="1"/>
      <c r="AW1523" s="1"/>
      <c r="AX1523" s="1"/>
      <c r="AY1523" s="1"/>
      <c r="AZ1523" s="1"/>
      <c r="BA1523" s="1"/>
      <c r="BB1523" s="1"/>
      <c r="BC1523" s="1"/>
      <c r="BD1523" s="1"/>
    </row>
    <row r="1524" spans="35:56">
      <c r="AI1524" s="1"/>
      <c r="AJ1524" s="1"/>
      <c r="AK1524" s="1"/>
      <c r="AL1524" s="1"/>
      <c r="AM1524" s="1"/>
      <c r="AN1524" s="1"/>
      <c r="AO1524" s="1"/>
      <c r="AP1524" s="1"/>
      <c r="AQ1524" s="1"/>
      <c r="AR1524" s="1"/>
      <c r="AS1524" s="1"/>
      <c r="AT1524" s="1"/>
      <c r="AU1524" s="1"/>
      <c r="AV1524" s="1"/>
      <c r="AW1524" s="1"/>
      <c r="AX1524" s="1"/>
      <c r="AY1524" s="1"/>
      <c r="AZ1524" s="1"/>
      <c r="BA1524" s="1"/>
      <c r="BB1524" s="1"/>
      <c r="BC1524" s="1"/>
      <c r="BD1524" s="1"/>
    </row>
    <row r="1525" spans="35:56">
      <c r="AI1525" s="1"/>
      <c r="AJ1525" s="1"/>
      <c r="AK1525" s="1"/>
      <c r="AL1525" s="1"/>
      <c r="AM1525" s="1"/>
      <c r="AN1525" s="1"/>
      <c r="AO1525" s="1"/>
      <c r="AP1525" s="1"/>
      <c r="AQ1525" s="1"/>
      <c r="AR1525" s="1"/>
      <c r="AS1525" s="1"/>
      <c r="AT1525" s="1"/>
      <c r="AU1525" s="1"/>
      <c r="AV1525" s="1"/>
      <c r="AW1525" s="1"/>
      <c r="AX1525" s="1"/>
      <c r="AY1525" s="1"/>
      <c r="AZ1525" s="1"/>
      <c r="BA1525" s="1"/>
      <c r="BB1525" s="1"/>
      <c r="BC1525" s="1"/>
      <c r="BD1525" s="1"/>
    </row>
    <row r="1526" spans="35:56">
      <c r="AI1526" s="1"/>
      <c r="AJ1526" s="1"/>
      <c r="AK1526" s="1"/>
      <c r="AL1526" s="1"/>
      <c r="AM1526" s="1"/>
      <c r="AN1526" s="1"/>
      <c r="AO1526" s="1"/>
      <c r="AP1526" s="1"/>
      <c r="AQ1526" s="1"/>
      <c r="AR1526" s="1"/>
      <c r="AS1526" s="1"/>
      <c r="AT1526" s="1"/>
      <c r="AU1526" s="1"/>
      <c r="AV1526" s="1"/>
      <c r="AW1526" s="1"/>
      <c r="AX1526" s="1"/>
      <c r="AY1526" s="1"/>
      <c r="AZ1526" s="1"/>
      <c r="BA1526" s="1"/>
      <c r="BB1526" s="1"/>
      <c r="BC1526" s="1"/>
      <c r="BD1526" s="1"/>
    </row>
    <row r="1527" spans="35:56">
      <c r="AI1527" s="1"/>
      <c r="AJ1527" s="1"/>
      <c r="AK1527" s="1"/>
      <c r="AL1527" s="1"/>
      <c r="AM1527" s="1"/>
      <c r="AN1527" s="1"/>
      <c r="AO1527" s="1"/>
      <c r="AP1527" s="1"/>
      <c r="AQ1527" s="1"/>
      <c r="AR1527" s="1"/>
      <c r="AS1527" s="1"/>
      <c r="AT1527" s="1"/>
      <c r="AU1527" s="1"/>
      <c r="AV1527" s="1"/>
      <c r="AW1527" s="1"/>
      <c r="AX1527" s="1"/>
      <c r="AY1527" s="1"/>
      <c r="AZ1527" s="1"/>
      <c r="BA1527" s="1"/>
      <c r="BB1527" s="1"/>
      <c r="BC1527" s="1"/>
      <c r="BD1527" s="1"/>
    </row>
    <row r="1528" spans="35:56">
      <c r="AI1528" s="1"/>
      <c r="AJ1528" s="1"/>
      <c r="AK1528" s="1"/>
      <c r="AL1528" s="1"/>
      <c r="AM1528" s="1"/>
      <c r="AN1528" s="1"/>
      <c r="AO1528" s="1"/>
      <c r="AP1528" s="1"/>
      <c r="AQ1528" s="1"/>
      <c r="AR1528" s="1"/>
      <c r="AS1528" s="1"/>
      <c r="AT1528" s="1"/>
      <c r="AU1528" s="1"/>
      <c r="AV1528" s="1"/>
      <c r="AW1528" s="1"/>
      <c r="AX1528" s="1"/>
      <c r="AY1528" s="1"/>
      <c r="AZ1528" s="1"/>
      <c r="BA1528" s="1"/>
      <c r="BB1528" s="1"/>
      <c r="BC1528" s="1"/>
      <c r="BD1528" s="1"/>
    </row>
    <row r="1529" spans="35:56">
      <c r="AI1529" s="1"/>
      <c r="AJ1529" s="1"/>
      <c r="AK1529" s="1"/>
      <c r="AL1529" s="1"/>
      <c r="AM1529" s="1"/>
      <c r="AN1529" s="1"/>
      <c r="AO1529" s="1"/>
      <c r="AP1529" s="1"/>
      <c r="AQ1529" s="1"/>
      <c r="AR1529" s="1"/>
      <c r="AS1529" s="1"/>
      <c r="AT1529" s="1"/>
      <c r="AU1529" s="1"/>
      <c r="AV1529" s="1"/>
      <c r="AW1529" s="1"/>
      <c r="AX1529" s="1"/>
      <c r="AY1529" s="1"/>
      <c r="AZ1529" s="1"/>
      <c r="BA1529" s="1"/>
      <c r="BB1529" s="1"/>
      <c r="BC1529" s="1"/>
      <c r="BD1529" s="1"/>
    </row>
    <row r="1530" spans="35:56">
      <c r="AI1530" s="1"/>
      <c r="AJ1530" s="1"/>
      <c r="AK1530" s="1"/>
      <c r="AL1530" s="1"/>
      <c r="AM1530" s="1"/>
      <c r="AN1530" s="1"/>
      <c r="AO1530" s="1"/>
      <c r="AP1530" s="1"/>
      <c r="AQ1530" s="1"/>
      <c r="AR1530" s="1"/>
      <c r="AS1530" s="1"/>
      <c r="AT1530" s="1"/>
      <c r="AU1530" s="1"/>
      <c r="AV1530" s="1"/>
      <c r="AW1530" s="1"/>
      <c r="AX1530" s="1"/>
      <c r="AY1530" s="1"/>
      <c r="AZ1530" s="1"/>
      <c r="BA1530" s="1"/>
      <c r="BB1530" s="1"/>
      <c r="BC1530" s="1"/>
      <c r="BD1530" s="1"/>
    </row>
    <row r="1531" spans="35:56">
      <c r="AI1531" s="1"/>
      <c r="AJ1531" s="1"/>
      <c r="AK1531" s="1"/>
      <c r="AL1531" s="1"/>
      <c r="AM1531" s="1"/>
      <c r="AN1531" s="1"/>
      <c r="AO1531" s="1"/>
      <c r="AP1531" s="1"/>
      <c r="AQ1531" s="1"/>
      <c r="AR1531" s="1"/>
      <c r="AS1531" s="1"/>
      <c r="AT1531" s="1"/>
      <c r="AU1531" s="1"/>
      <c r="AV1531" s="1"/>
      <c r="AW1531" s="1"/>
      <c r="AX1531" s="1"/>
      <c r="AY1531" s="1"/>
      <c r="AZ1531" s="1"/>
      <c r="BA1531" s="1"/>
      <c r="BB1531" s="1"/>
      <c r="BC1531" s="1"/>
      <c r="BD1531" s="1"/>
    </row>
    <row r="1532" spans="35:56">
      <c r="AI1532" s="1"/>
      <c r="AJ1532" s="1"/>
      <c r="AK1532" s="1"/>
      <c r="AL1532" s="1"/>
      <c r="AM1532" s="1"/>
      <c r="AN1532" s="1"/>
      <c r="AO1532" s="1"/>
      <c r="AP1532" s="1"/>
      <c r="AQ1532" s="1"/>
      <c r="AR1532" s="1"/>
      <c r="AS1532" s="1"/>
      <c r="AT1532" s="1"/>
      <c r="AU1532" s="1"/>
      <c r="AV1532" s="1"/>
      <c r="AW1532" s="1"/>
      <c r="AX1532" s="1"/>
      <c r="AY1532" s="1"/>
      <c r="AZ1532" s="1"/>
      <c r="BA1532" s="1"/>
      <c r="BB1532" s="1"/>
      <c r="BC1532" s="1"/>
      <c r="BD1532" s="1"/>
    </row>
    <row r="1533" spans="35:56">
      <c r="AI1533" s="1"/>
      <c r="AJ1533" s="1"/>
      <c r="AK1533" s="1"/>
      <c r="AL1533" s="1"/>
      <c r="AM1533" s="1"/>
      <c r="AN1533" s="1"/>
      <c r="AO1533" s="1"/>
      <c r="AP1533" s="1"/>
      <c r="AQ1533" s="1"/>
      <c r="AR1533" s="1"/>
      <c r="AS1533" s="1"/>
      <c r="AT1533" s="1"/>
      <c r="AU1533" s="1"/>
      <c r="AV1533" s="1"/>
      <c r="AW1533" s="1"/>
      <c r="AX1533" s="1"/>
      <c r="AY1533" s="1"/>
      <c r="AZ1533" s="1"/>
      <c r="BA1533" s="1"/>
      <c r="BB1533" s="1"/>
      <c r="BC1533" s="1"/>
      <c r="BD1533" s="1"/>
    </row>
    <row r="1534" spans="35:56">
      <c r="AI1534" s="1"/>
      <c r="AJ1534" s="1"/>
      <c r="AK1534" s="1"/>
      <c r="AL1534" s="1"/>
      <c r="AM1534" s="1"/>
      <c r="AN1534" s="1"/>
      <c r="AO1534" s="1"/>
      <c r="AP1534" s="1"/>
      <c r="AQ1534" s="1"/>
      <c r="AR1534" s="1"/>
      <c r="AS1534" s="1"/>
      <c r="AT1534" s="1"/>
      <c r="AU1534" s="1"/>
      <c r="AV1534" s="1"/>
      <c r="AW1534" s="1"/>
      <c r="AX1534" s="1"/>
      <c r="AY1534" s="1"/>
      <c r="AZ1534" s="1"/>
      <c r="BA1534" s="1"/>
      <c r="BB1534" s="1"/>
      <c r="BC1534" s="1"/>
      <c r="BD1534" s="1"/>
    </row>
    <row r="1535" spans="35:56">
      <c r="AI1535" s="1"/>
      <c r="AJ1535" s="1"/>
      <c r="AK1535" s="1"/>
      <c r="AL1535" s="1"/>
      <c r="AM1535" s="1"/>
      <c r="AN1535" s="1"/>
      <c r="AO1535" s="1"/>
      <c r="AP1535" s="1"/>
      <c r="AQ1535" s="1"/>
      <c r="AR1535" s="1"/>
      <c r="AS1535" s="1"/>
      <c r="AT1535" s="1"/>
      <c r="AU1535" s="1"/>
      <c r="AV1535" s="1"/>
      <c r="AW1535" s="1"/>
      <c r="AX1535" s="1"/>
      <c r="AY1535" s="1"/>
      <c r="AZ1535" s="1"/>
      <c r="BA1535" s="1"/>
      <c r="BB1535" s="1"/>
      <c r="BC1535" s="1"/>
      <c r="BD1535" s="1"/>
    </row>
    <row r="1536" spans="35:56">
      <c r="AI1536" s="1"/>
      <c r="AJ1536" s="1"/>
      <c r="AK1536" s="1"/>
      <c r="AL1536" s="1"/>
      <c r="AM1536" s="1"/>
      <c r="AN1536" s="1"/>
      <c r="AO1536" s="1"/>
      <c r="AP1536" s="1"/>
      <c r="AQ1536" s="1"/>
      <c r="AR1536" s="1"/>
      <c r="AS1536" s="1"/>
      <c r="AT1536" s="1"/>
      <c r="AU1536" s="1"/>
      <c r="AV1536" s="1"/>
      <c r="AW1536" s="1"/>
      <c r="AX1536" s="1"/>
      <c r="AY1536" s="1"/>
      <c r="AZ1536" s="1"/>
      <c r="BA1536" s="1"/>
      <c r="BB1536" s="1"/>
      <c r="BC1536" s="1"/>
      <c r="BD1536" s="1"/>
    </row>
    <row r="1537" spans="35:56">
      <c r="AI1537" s="1"/>
      <c r="AJ1537" s="1"/>
      <c r="AK1537" s="1"/>
      <c r="AL1537" s="1"/>
      <c r="AM1537" s="1"/>
      <c r="AN1537" s="1"/>
      <c r="AO1537" s="1"/>
      <c r="AP1537" s="1"/>
      <c r="AQ1537" s="1"/>
      <c r="AR1537" s="1"/>
      <c r="AS1537" s="1"/>
      <c r="AT1537" s="1"/>
      <c r="AU1537" s="1"/>
      <c r="AV1537" s="1"/>
      <c r="AW1537" s="1"/>
      <c r="AX1537" s="1"/>
      <c r="AY1537" s="1"/>
      <c r="AZ1537" s="1"/>
      <c r="BA1537" s="1"/>
      <c r="BB1537" s="1"/>
      <c r="BC1537" s="1"/>
      <c r="BD1537" s="1"/>
    </row>
    <row r="1538" spans="35:56">
      <c r="AI1538" s="1"/>
      <c r="AJ1538" s="1"/>
      <c r="AK1538" s="1"/>
      <c r="AL1538" s="1"/>
      <c r="AM1538" s="1"/>
      <c r="AN1538" s="1"/>
      <c r="AO1538" s="1"/>
      <c r="AP1538" s="1"/>
      <c r="AQ1538" s="1"/>
      <c r="AR1538" s="1"/>
      <c r="AS1538" s="1"/>
      <c r="AT1538" s="1"/>
      <c r="AU1538" s="1"/>
      <c r="AV1538" s="1"/>
      <c r="AW1538" s="1"/>
      <c r="AX1538" s="1"/>
      <c r="AY1538" s="1"/>
      <c r="AZ1538" s="1"/>
      <c r="BA1538" s="1"/>
      <c r="BB1538" s="1"/>
      <c r="BC1538" s="1"/>
      <c r="BD1538" s="1"/>
    </row>
    <row r="1539" spans="35:56">
      <c r="AI1539" s="1"/>
      <c r="AJ1539" s="1"/>
      <c r="AK1539" s="1"/>
      <c r="AL1539" s="1"/>
      <c r="AM1539" s="1"/>
      <c r="AN1539" s="1"/>
      <c r="AO1539" s="1"/>
      <c r="AP1539" s="1"/>
      <c r="AQ1539" s="1"/>
      <c r="AR1539" s="1"/>
      <c r="AS1539" s="1"/>
      <c r="AT1539" s="1"/>
      <c r="AU1539" s="1"/>
      <c r="AV1539" s="1"/>
      <c r="AW1539" s="1"/>
      <c r="AX1539" s="1"/>
      <c r="AY1539" s="1"/>
      <c r="AZ1539" s="1"/>
      <c r="BA1539" s="1"/>
      <c r="BB1539" s="1"/>
      <c r="BC1539" s="1"/>
      <c r="BD1539" s="1"/>
    </row>
    <row r="1540" spans="35:56">
      <c r="AI1540" s="1"/>
      <c r="AJ1540" s="1"/>
      <c r="AK1540" s="1"/>
      <c r="AL1540" s="1"/>
      <c r="AM1540" s="1"/>
      <c r="AN1540" s="1"/>
      <c r="AO1540" s="1"/>
      <c r="AP1540" s="1"/>
      <c r="AQ1540" s="1"/>
      <c r="AR1540" s="1"/>
      <c r="AS1540" s="1"/>
      <c r="AT1540" s="1"/>
      <c r="AU1540" s="1"/>
      <c r="AV1540" s="1"/>
      <c r="AW1540" s="1"/>
      <c r="AX1540" s="1"/>
      <c r="AY1540" s="1"/>
      <c r="AZ1540" s="1"/>
      <c r="BA1540" s="1"/>
      <c r="BB1540" s="1"/>
      <c r="BC1540" s="1"/>
      <c r="BD1540" s="1"/>
    </row>
    <row r="1541" spans="35:56">
      <c r="AI1541" s="1"/>
      <c r="AJ1541" s="1"/>
      <c r="AK1541" s="1"/>
      <c r="AL1541" s="1"/>
      <c r="AM1541" s="1"/>
      <c r="AN1541" s="1"/>
      <c r="AO1541" s="1"/>
      <c r="AP1541" s="1"/>
      <c r="AQ1541" s="1"/>
      <c r="AR1541" s="1"/>
      <c r="AS1541" s="1"/>
      <c r="AT1541" s="1"/>
      <c r="AU1541" s="1"/>
      <c r="AV1541" s="1"/>
      <c r="AW1541" s="1"/>
      <c r="AX1541" s="1"/>
      <c r="AY1541" s="1"/>
      <c r="AZ1541" s="1"/>
      <c r="BA1541" s="1"/>
      <c r="BB1541" s="1"/>
      <c r="BC1541" s="1"/>
      <c r="BD1541" s="1"/>
    </row>
    <row r="1542" spans="35:56">
      <c r="AI1542" s="1"/>
      <c r="AJ1542" s="1"/>
      <c r="AK1542" s="1"/>
      <c r="AL1542" s="1"/>
      <c r="AM1542" s="1"/>
      <c r="AN1542" s="1"/>
      <c r="AO1542" s="1"/>
      <c r="AP1542" s="1"/>
      <c r="AQ1542" s="1"/>
      <c r="AR1542" s="1"/>
      <c r="AS1542" s="1"/>
      <c r="AT1542" s="1"/>
      <c r="AU1542" s="1"/>
      <c r="AV1542" s="1"/>
      <c r="AW1542" s="1"/>
      <c r="AX1542" s="1"/>
      <c r="AY1542" s="1"/>
      <c r="AZ1542" s="1"/>
      <c r="BA1542" s="1"/>
      <c r="BB1542" s="1"/>
      <c r="BC1542" s="1"/>
      <c r="BD1542" s="1"/>
    </row>
    <row r="1543" spans="35:56">
      <c r="AI1543" s="1"/>
      <c r="AJ1543" s="1"/>
      <c r="AK1543" s="1"/>
      <c r="AL1543" s="1"/>
      <c r="AM1543" s="1"/>
      <c r="AN1543" s="1"/>
      <c r="AO1543" s="1"/>
      <c r="AP1543" s="1"/>
      <c r="AQ1543" s="1"/>
      <c r="AR1543" s="1"/>
      <c r="AS1543" s="1"/>
      <c r="AT1543" s="1"/>
      <c r="AU1543" s="1"/>
      <c r="AV1543" s="1"/>
      <c r="AW1543" s="1"/>
      <c r="AX1543" s="1"/>
      <c r="AY1543" s="1"/>
      <c r="AZ1543" s="1"/>
      <c r="BA1543" s="1"/>
      <c r="BB1543" s="1"/>
      <c r="BC1543" s="1"/>
      <c r="BD1543" s="1"/>
    </row>
    <row r="1544" spans="35:56">
      <c r="AI1544" s="1"/>
      <c r="AJ1544" s="1"/>
      <c r="AK1544" s="1"/>
      <c r="AL1544" s="1"/>
      <c r="AM1544" s="1"/>
      <c r="AN1544" s="1"/>
      <c r="AO1544" s="1"/>
      <c r="AP1544" s="1"/>
      <c r="AQ1544" s="1"/>
      <c r="AR1544" s="1"/>
      <c r="AS1544" s="1"/>
      <c r="AT1544" s="1"/>
      <c r="AU1544" s="1"/>
      <c r="AV1544" s="1"/>
      <c r="AW1544" s="1"/>
      <c r="AX1544" s="1"/>
      <c r="AY1544" s="1"/>
      <c r="AZ1544" s="1"/>
      <c r="BA1544" s="1"/>
      <c r="BB1544" s="1"/>
      <c r="BC1544" s="1"/>
      <c r="BD1544" s="1"/>
    </row>
    <row r="1545" spans="35:56">
      <c r="AI1545" s="1"/>
      <c r="AJ1545" s="1"/>
      <c r="AK1545" s="1"/>
      <c r="AL1545" s="1"/>
      <c r="AM1545" s="1"/>
      <c r="AN1545" s="1"/>
      <c r="AO1545" s="1"/>
      <c r="AP1545" s="1"/>
      <c r="AQ1545" s="1"/>
      <c r="AR1545" s="1"/>
      <c r="AS1545" s="1"/>
      <c r="AT1545" s="1"/>
      <c r="AU1545" s="1"/>
      <c r="AV1545" s="1"/>
      <c r="AW1545" s="1"/>
      <c r="AX1545" s="1"/>
      <c r="AY1545" s="1"/>
      <c r="AZ1545" s="1"/>
      <c r="BA1545" s="1"/>
      <c r="BB1545" s="1"/>
      <c r="BC1545" s="1"/>
      <c r="BD1545" s="1"/>
    </row>
    <row r="1546" spans="35:56">
      <c r="AI1546" s="1"/>
      <c r="AJ1546" s="1"/>
      <c r="AK1546" s="1"/>
      <c r="AL1546" s="1"/>
      <c r="AM1546" s="1"/>
      <c r="AN1546" s="1"/>
      <c r="AO1546" s="1"/>
      <c r="AP1546" s="1"/>
      <c r="AQ1546" s="1"/>
      <c r="AR1546" s="1"/>
      <c r="AS1546" s="1"/>
      <c r="AT1546" s="1"/>
      <c r="AU1546" s="1"/>
      <c r="AV1546" s="1"/>
      <c r="AW1546" s="1"/>
      <c r="AX1546" s="1"/>
      <c r="AY1546" s="1"/>
      <c r="AZ1546" s="1"/>
      <c r="BA1546" s="1"/>
      <c r="BB1546" s="1"/>
      <c r="BC1546" s="1"/>
      <c r="BD1546" s="1"/>
    </row>
    <row r="1547" spans="35:56">
      <c r="AI1547" s="1"/>
      <c r="AJ1547" s="1"/>
      <c r="AK1547" s="1"/>
      <c r="AL1547" s="1"/>
      <c r="AM1547" s="1"/>
      <c r="AN1547" s="1"/>
      <c r="AO1547" s="1"/>
      <c r="AP1547" s="1"/>
      <c r="AQ1547" s="1"/>
      <c r="AR1547" s="1"/>
      <c r="AS1547" s="1"/>
      <c r="AT1547" s="1"/>
      <c r="AU1547" s="1"/>
      <c r="AV1547" s="1"/>
      <c r="AW1547" s="1"/>
      <c r="AX1547" s="1"/>
      <c r="AY1547" s="1"/>
      <c r="AZ1547" s="1"/>
      <c r="BA1547" s="1"/>
      <c r="BB1547" s="1"/>
      <c r="BC1547" s="1"/>
      <c r="BD1547" s="1"/>
    </row>
    <row r="1548" spans="35:56">
      <c r="AI1548" s="1"/>
      <c r="AJ1548" s="1"/>
      <c r="AK1548" s="1"/>
      <c r="AL1548" s="1"/>
      <c r="AM1548" s="1"/>
      <c r="AN1548" s="1"/>
      <c r="AO1548" s="1"/>
      <c r="AP1548" s="1"/>
      <c r="AQ1548" s="1"/>
      <c r="AR1548" s="1"/>
      <c r="AS1548" s="1"/>
      <c r="AT1548" s="1"/>
      <c r="AU1548" s="1"/>
      <c r="AV1548" s="1"/>
      <c r="AW1548" s="1"/>
      <c r="AX1548" s="1"/>
      <c r="AY1548" s="1"/>
      <c r="AZ1548" s="1"/>
      <c r="BA1548" s="1"/>
      <c r="BB1548" s="1"/>
      <c r="BC1548" s="1"/>
      <c r="BD1548" s="1"/>
    </row>
    <row r="1549" spans="35:56">
      <c r="AI1549" s="1"/>
      <c r="AJ1549" s="1"/>
      <c r="AK1549" s="1"/>
      <c r="AL1549" s="1"/>
      <c r="AM1549" s="1"/>
      <c r="AN1549" s="1"/>
      <c r="AO1549" s="1"/>
      <c r="AP1549" s="1"/>
      <c r="AQ1549" s="1"/>
      <c r="AR1549" s="1"/>
      <c r="AS1549" s="1"/>
      <c r="AT1549" s="1"/>
      <c r="AU1549" s="1"/>
      <c r="AV1549" s="1"/>
      <c r="AW1549" s="1"/>
      <c r="AX1549" s="1"/>
      <c r="AY1549" s="1"/>
      <c r="AZ1549" s="1"/>
      <c r="BA1549" s="1"/>
      <c r="BB1549" s="1"/>
      <c r="BC1549" s="1"/>
      <c r="BD1549" s="1"/>
    </row>
    <row r="1550" spans="35:56">
      <c r="AI1550" s="1"/>
      <c r="AJ1550" s="1"/>
      <c r="AK1550" s="1"/>
      <c r="AL1550" s="1"/>
      <c r="AM1550" s="1"/>
      <c r="AN1550" s="1"/>
      <c r="AO1550" s="1"/>
      <c r="AP1550" s="1"/>
      <c r="AQ1550" s="1"/>
      <c r="AR1550" s="1"/>
      <c r="AS1550" s="1"/>
      <c r="AT1550" s="1"/>
      <c r="AU1550" s="1"/>
      <c r="AV1550" s="1"/>
      <c r="AW1550" s="1"/>
      <c r="AX1550" s="1"/>
      <c r="AY1550" s="1"/>
      <c r="AZ1550" s="1"/>
      <c r="BA1550" s="1"/>
      <c r="BB1550" s="1"/>
      <c r="BC1550" s="1"/>
      <c r="BD1550" s="1"/>
    </row>
    <row r="1551" spans="35:56">
      <c r="AI1551" s="1"/>
      <c r="AJ1551" s="1"/>
      <c r="AK1551" s="1"/>
      <c r="AL1551" s="1"/>
      <c r="AM1551" s="1"/>
      <c r="AN1551" s="1"/>
      <c r="AO1551" s="1"/>
      <c r="AP1551" s="1"/>
      <c r="AQ1551" s="1"/>
      <c r="AR1551" s="1"/>
      <c r="AS1551" s="1"/>
      <c r="AT1551" s="1"/>
      <c r="AU1551" s="1"/>
      <c r="AV1551" s="1"/>
      <c r="AW1551" s="1"/>
      <c r="AX1551" s="1"/>
      <c r="AY1551" s="1"/>
      <c r="AZ1551" s="1"/>
      <c r="BA1551" s="1"/>
      <c r="BB1551" s="1"/>
      <c r="BC1551" s="1"/>
      <c r="BD1551" s="1"/>
    </row>
    <row r="1552" spans="35:56">
      <c r="AI1552" s="1"/>
      <c r="AJ1552" s="1"/>
      <c r="AK1552" s="1"/>
      <c r="AL1552" s="1"/>
      <c r="AM1552" s="1"/>
      <c r="AN1552" s="1"/>
      <c r="AO1552" s="1"/>
      <c r="AP1552" s="1"/>
      <c r="AQ1552" s="1"/>
      <c r="AR1552" s="1"/>
      <c r="AS1552" s="1"/>
      <c r="AT1552" s="1"/>
      <c r="AU1552" s="1"/>
      <c r="AV1552" s="1"/>
      <c r="AW1552" s="1"/>
      <c r="AX1552" s="1"/>
      <c r="AY1552" s="1"/>
      <c r="AZ1552" s="1"/>
      <c r="BA1552" s="1"/>
      <c r="BB1552" s="1"/>
      <c r="BC1552" s="1"/>
      <c r="BD1552" s="1"/>
    </row>
    <row r="1553" spans="35:56">
      <c r="AI1553" s="1"/>
      <c r="AJ1553" s="1"/>
      <c r="AK1553" s="1"/>
      <c r="AL1553" s="1"/>
      <c r="AM1553" s="1"/>
      <c r="AN1553" s="1"/>
      <c r="AO1553" s="1"/>
      <c r="AP1553" s="1"/>
      <c r="AQ1553" s="1"/>
      <c r="AR1553" s="1"/>
      <c r="AS1553" s="1"/>
      <c r="AT1553" s="1"/>
      <c r="AU1553" s="1"/>
      <c r="AV1553" s="1"/>
      <c r="AW1553" s="1"/>
      <c r="AX1553" s="1"/>
      <c r="AY1553" s="1"/>
      <c r="AZ1553" s="1"/>
      <c r="BA1553" s="1"/>
      <c r="BB1553" s="1"/>
      <c r="BC1553" s="1"/>
      <c r="BD1553" s="1"/>
    </row>
    <row r="1554" spans="35:56">
      <c r="AI1554" s="1"/>
      <c r="AJ1554" s="1"/>
      <c r="AK1554" s="1"/>
      <c r="AL1554" s="1"/>
      <c r="AM1554" s="1"/>
      <c r="AN1554" s="1"/>
      <c r="AO1554" s="1"/>
      <c r="AP1554" s="1"/>
      <c r="AQ1554" s="1"/>
      <c r="AR1554" s="1"/>
      <c r="AS1554" s="1"/>
      <c r="AT1554" s="1"/>
      <c r="AU1554" s="1"/>
      <c r="AV1554" s="1"/>
      <c r="AW1554" s="1"/>
      <c r="AX1554" s="1"/>
      <c r="AY1554" s="1"/>
      <c r="AZ1554" s="1"/>
      <c r="BA1554" s="1"/>
      <c r="BB1554" s="1"/>
      <c r="BC1554" s="1"/>
      <c r="BD1554" s="1"/>
    </row>
    <row r="1555" spans="35:56">
      <c r="AI1555" s="1"/>
      <c r="AJ1555" s="1"/>
      <c r="AK1555" s="1"/>
      <c r="AL1555" s="1"/>
      <c r="AM1555" s="1"/>
      <c r="AN1555" s="1"/>
      <c r="AO1555" s="1"/>
      <c r="AP1555" s="1"/>
      <c r="AQ1555" s="1"/>
      <c r="AR1555" s="1"/>
      <c r="AS1555" s="1"/>
      <c r="AT1555" s="1"/>
      <c r="AU1555" s="1"/>
      <c r="AV1555" s="1"/>
      <c r="AW1555" s="1"/>
      <c r="AX1555" s="1"/>
      <c r="AY1555" s="1"/>
      <c r="AZ1555" s="1"/>
      <c r="BA1555" s="1"/>
      <c r="BB1555" s="1"/>
      <c r="BC1555" s="1"/>
      <c r="BD1555" s="1"/>
    </row>
    <row r="1556" spans="35:56">
      <c r="AI1556" s="1"/>
      <c r="AJ1556" s="1"/>
      <c r="AK1556" s="1"/>
      <c r="AL1556" s="1"/>
      <c r="AM1556" s="1"/>
      <c r="AN1556" s="1"/>
      <c r="AO1556" s="1"/>
      <c r="AP1556" s="1"/>
      <c r="AQ1556" s="1"/>
      <c r="AR1556" s="1"/>
      <c r="AS1556" s="1"/>
      <c r="AT1556" s="1"/>
      <c r="AU1556" s="1"/>
      <c r="AV1556" s="1"/>
      <c r="AW1556" s="1"/>
      <c r="AX1556" s="1"/>
      <c r="AY1556" s="1"/>
      <c r="AZ1556" s="1"/>
      <c r="BA1556" s="1"/>
      <c r="BB1556" s="1"/>
      <c r="BC1556" s="1"/>
      <c r="BD1556" s="1"/>
    </row>
    <row r="1557" spans="35:56">
      <c r="AI1557" s="1"/>
      <c r="AJ1557" s="1"/>
      <c r="AK1557" s="1"/>
      <c r="AL1557" s="1"/>
      <c r="AM1557" s="1"/>
      <c r="AN1557" s="1"/>
      <c r="AO1557" s="1"/>
      <c r="AP1557" s="1"/>
      <c r="AQ1557" s="1"/>
      <c r="AR1557" s="1"/>
      <c r="AS1557" s="1"/>
      <c r="AT1557" s="1"/>
      <c r="AU1557" s="1"/>
      <c r="AV1557" s="1"/>
      <c r="AW1557" s="1"/>
      <c r="AX1557" s="1"/>
      <c r="AY1557" s="1"/>
      <c r="AZ1557" s="1"/>
      <c r="BA1557" s="1"/>
      <c r="BB1557" s="1"/>
      <c r="BC1557" s="1"/>
      <c r="BD1557" s="1"/>
    </row>
    <row r="1558" spans="35:56">
      <c r="AI1558" s="1"/>
      <c r="AJ1558" s="1"/>
      <c r="AK1558" s="1"/>
      <c r="AL1558" s="1"/>
      <c r="AM1558" s="1"/>
      <c r="AN1558" s="1"/>
      <c r="AO1558" s="1"/>
      <c r="AP1558" s="1"/>
      <c r="AQ1558" s="1"/>
      <c r="AR1558" s="1"/>
      <c r="AS1558" s="1"/>
      <c r="AT1558" s="1"/>
      <c r="AU1558" s="1"/>
      <c r="AV1558" s="1"/>
      <c r="AW1558" s="1"/>
      <c r="AX1558" s="1"/>
      <c r="AY1558" s="1"/>
      <c r="AZ1558" s="1"/>
      <c r="BA1558" s="1"/>
      <c r="BB1558" s="1"/>
      <c r="BC1558" s="1"/>
      <c r="BD1558" s="1"/>
    </row>
    <row r="1559" spans="35:56">
      <c r="AI1559" s="1"/>
      <c r="AJ1559" s="1"/>
      <c r="AK1559" s="1"/>
      <c r="AL1559" s="1"/>
      <c r="AM1559" s="1"/>
      <c r="AN1559" s="1"/>
      <c r="AO1559" s="1"/>
      <c r="AP1559" s="1"/>
      <c r="AQ1559" s="1"/>
      <c r="AR1559" s="1"/>
      <c r="AS1559" s="1"/>
      <c r="AT1559" s="1"/>
      <c r="AU1559" s="1"/>
      <c r="AV1559" s="1"/>
      <c r="AW1559" s="1"/>
      <c r="AX1559" s="1"/>
      <c r="AY1559" s="1"/>
      <c r="AZ1559" s="1"/>
      <c r="BA1559" s="1"/>
      <c r="BB1559" s="1"/>
      <c r="BC1559" s="1"/>
      <c r="BD1559" s="1"/>
    </row>
    <row r="1560" spans="35:56">
      <c r="AI1560" s="1"/>
      <c r="AJ1560" s="1"/>
      <c r="AK1560" s="1"/>
      <c r="AL1560" s="1"/>
      <c r="AM1560" s="1"/>
      <c r="AN1560" s="1"/>
      <c r="AO1560" s="1"/>
      <c r="AP1560" s="1"/>
      <c r="AQ1560" s="1"/>
      <c r="AR1560" s="1"/>
      <c r="AS1560" s="1"/>
      <c r="AT1560" s="1"/>
      <c r="AU1560" s="1"/>
      <c r="AV1560" s="1"/>
      <c r="AW1560" s="1"/>
      <c r="AX1560" s="1"/>
      <c r="AY1560" s="1"/>
      <c r="AZ1560" s="1"/>
      <c r="BA1560" s="1"/>
      <c r="BB1560" s="1"/>
      <c r="BC1560" s="1"/>
      <c r="BD1560" s="1"/>
    </row>
    <row r="1561" spans="35:56">
      <c r="AI1561" s="1"/>
      <c r="AJ1561" s="1"/>
      <c r="AK1561" s="1"/>
      <c r="AL1561" s="1"/>
      <c r="AM1561" s="1"/>
      <c r="AN1561" s="1"/>
      <c r="AO1561" s="1"/>
      <c r="AP1561" s="1"/>
      <c r="AQ1561" s="1"/>
      <c r="AR1561" s="1"/>
      <c r="AS1561" s="1"/>
      <c r="AT1561" s="1"/>
      <c r="AU1561" s="1"/>
      <c r="AV1561" s="1"/>
      <c r="AW1561" s="1"/>
      <c r="AX1561" s="1"/>
      <c r="AY1561" s="1"/>
      <c r="AZ1561" s="1"/>
      <c r="BA1561" s="1"/>
      <c r="BB1561" s="1"/>
      <c r="BC1561" s="1"/>
      <c r="BD1561" s="1"/>
    </row>
    <row r="1562" spans="35:56">
      <c r="AI1562" s="1"/>
      <c r="AJ1562" s="1"/>
      <c r="AK1562" s="1"/>
      <c r="AL1562" s="1"/>
      <c r="AM1562" s="1"/>
      <c r="AN1562" s="1"/>
      <c r="AO1562" s="1"/>
      <c r="AP1562" s="1"/>
      <c r="AQ1562" s="1"/>
      <c r="AR1562" s="1"/>
      <c r="AS1562" s="1"/>
      <c r="AT1562" s="1"/>
      <c r="AU1562" s="1"/>
      <c r="AV1562" s="1"/>
      <c r="AW1562" s="1"/>
      <c r="AX1562" s="1"/>
      <c r="AY1562" s="1"/>
      <c r="AZ1562" s="1"/>
      <c r="BA1562" s="1"/>
      <c r="BB1562" s="1"/>
      <c r="BC1562" s="1"/>
      <c r="BD1562" s="1"/>
    </row>
    <row r="1563" spans="35:56">
      <c r="AI1563" s="1"/>
      <c r="AJ1563" s="1"/>
      <c r="AK1563" s="1"/>
      <c r="AL1563" s="1"/>
      <c r="AM1563" s="1"/>
      <c r="AN1563" s="1"/>
      <c r="AO1563" s="1"/>
      <c r="AP1563" s="1"/>
      <c r="AQ1563" s="1"/>
      <c r="AR1563" s="1"/>
      <c r="AS1563" s="1"/>
      <c r="AT1563" s="1"/>
      <c r="AU1563" s="1"/>
      <c r="AV1563" s="1"/>
      <c r="AW1563" s="1"/>
      <c r="AX1563" s="1"/>
      <c r="AY1563" s="1"/>
      <c r="AZ1563" s="1"/>
      <c r="BA1563" s="1"/>
      <c r="BB1563" s="1"/>
      <c r="BC1563" s="1"/>
      <c r="BD1563" s="1"/>
    </row>
    <row r="1564" spans="35:56">
      <c r="AI1564" s="1"/>
      <c r="AJ1564" s="1"/>
      <c r="AK1564" s="1"/>
      <c r="AL1564" s="1"/>
      <c r="AM1564" s="1"/>
      <c r="AN1564" s="1"/>
      <c r="AO1564" s="1"/>
      <c r="AP1564" s="1"/>
      <c r="AQ1564" s="1"/>
      <c r="AR1564" s="1"/>
      <c r="AS1564" s="1"/>
      <c r="AT1564" s="1"/>
      <c r="AU1564" s="1"/>
      <c r="AV1564" s="1"/>
      <c r="AW1564" s="1"/>
      <c r="AX1564" s="1"/>
      <c r="AY1564" s="1"/>
      <c r="AZ1564" s="1"/>
      <c r="BA1564" s="1"/>
      <c r="BB1564" s="1"/>
      <c r="BC1564" s="1"/>
      <c r="BD1564" s="1"/>
    </row>
    <row r="1565" spans="35:56">
      <c r="AI1565" s="1"/>
      <c r="AJ1565" s="1"/>
      <c r="AK1565" s="1"/>
      <c r="AL1565" s="1"/>
      <c r="AM1565" s="1"/>
      <c r="AN1565" s="1"/>
      <c r="AO1565" s="1"/>
      <c r="AP1565" s="1"/>
      <c r="AQ1565" s="1"/>
      <c r="AR1565" s="1"/>
      <c r="AS1565" s="1"/>
      <c r="AT1565" s="1"/>
      <c r="AU1565" s="1"/>
      <c r="AV1565" s="1"/>
      <c r="AW1565" s="1"/>
      <c r="AX1565" s="1"/>
      <c r="AY1565" s="1"/>
      <c r="AZ1565" s="1"/>
      <c r="BA1565" s="1"/>
      <c r="BB1565" s="1"/>
      <c r="BC1565" s="1"/>
      <c r="BD1565" s="1"/>
    </row>
    <row r="1566" spans="35:56">
      <c r="AI1566" s="1"/>
      <c r="AJ1566" s="1"/>
      <c r="AK1566" s="1"/>
      <c r="AL1566" s="1"/>
      <c r="AM1566" s="1"/>
      <c r="AN1566" s="1"/>
      <c r="AO1566" s="1"/>
      <c r="AP1566" s="1"/>
      <c r="AQ1566" s="1"/>
      <c r="AR1566" s="1"/>
      <c r="AS1566" s="1"/>
      <c r="AT1566" s="1"/>
      <c r="AU1566" s="1"/>
      <c r="AV1566" s="1"/>
      <c r="AW1566" s="1"/>
      <c r="AX1566" s="1"/>
      <c r="AY1566" s="1"/>
      <c r="AZ1566" s="1"/>
      <c r="BA1566" s="1"/>
      <c r="BB1566" s="1"/>
      <c r="BC1566" s="1"/>
      <c r="BD1566" s="1"/>
    </row>
    <row r="1567" spans="35:56">
      <c r="AI1567" s="1"/>
      <c r="AJ1567" s="1"/>
      <c r="AK1567" s="1"/>
      <c r="AL1567" s="1"/>
      <c r="AM1567" s="1"/>
      <c r="AN1567" s="1"/>
      <c r="AO1567" s="1"/>
      <c r="AP1567" s="1"/>
      <c r="AQ1567" s="1"/>
      <c r="AR1567" s="1"/>
      <c r="AS1567" s="1"/>
      <c r="AT1567" s="1"/>
      <c r="AU1567" s="1"/>
      <c r="AV1567" s="1"/>
      <c r="AW1567" s="1"/>
      <c r="AX1567" s="1"/>
      <c r="AY1567" s="1"/>
      <c r="AZ1567" s="1"/>
      <c r="BA1567" s="1"/>
      <c r="BB1567" s="1"/>
      <c r="BC1567" s="1"/>
      <c r="BD1567" s="1"/>
    </row>
    <row r="1568" spans="35:56">
      <c r="AI1568" s="1"/>
      <c r="AJ1568" s="1"/>
      <c r="AK1568" s="1"/>
      <c r="AL1568" s="1"/>
      <c r="AM1568" s="1"/>
      <c r="AN1568" s="1"/>
      <c r="AO1568" s="1"/>
      <c r="AP1568" s="1"/>
      <c r="AQ1568" s="1"/>
      <c r="AR1568" s="1"/>
      <c r="AS1568" s="1"/>
      <c r="AT1568" s="1"/>
      <c r="AU1568" s="1"/>
      <c r="AV1568" s="1"/>
      <c r="AW1568" s="1"/>
      <c r="AX1568" s="1"/>
      <c r="AY1568" s="1"/>
      <c r="AZ1568" s="1"/>
      <c r="BA1568" s="1"/>
      <c r="BB1568" s="1"/>
      <c r="BC1568" s="1"/>
      <c r="BD1568" s="1"/>
    </row>
    <row r="1569" spans="35:56">
      <c r="AI1569" s="1"/>
      <c r="AJ1569" s="1"/>
      <c r="AK1569" s="1"/>
      <c r="AL1569" s="1"/>
      <c r="AM1569" s="1"/>
      <c r="AN1569" s="1"/>
      <c r="AO1569" s="1"/>
      <c r="AP1569" s="1"/>
      <c r="AQ1569" s="1"/>
      <c r="AR1569" s="1"/>
      <c r="AS1569" s="1"/>
      <c r="AT1569" s="1"/>
      <c r="AU1569" s="1"/>
      <c r="AV1569" s="1"/>
      <c r="AW1569" s="1"/>
      <c r="AX1569" s="1"/>
      <c r="AY1569" s="1"/>
      <c r="AZ1569" s="1"/>
      <c r="BA1569" s="1"/>
      <c r="BB1569" s="1"/>
      <c r="BC1569" s="1"/>
      <c r="BD1569" s="1"/>
    </row>
    <row r="1570" spans="35:56">
      <c r="AI1570" s="1"/>
      <c r="AJ1570" s="1"/>
      <c r="AK1570" s="1"/>
      <c r="AL1570" s="1"/>
      <c r="AM1570" s="1"/>
      <c r="AN1570" s="1"/>
      <c r="AO1570" s="1"/>
      <c r="AP1570" s="1"/>
      <c r="AQ1570" s="1"/>
      <c r="AR1570" s="1"/>
      <c r="AS1570" s="1"/>
      <c r="AT1570" s="1"/>
      <c r="AU1570" s="1"/>
      <c r="AV1570" s="1"/>
      <c r="AW1570" s="1"/>
      <c r="AX1570" s="1"/>
      <c r="AY1570" s="1"/>
      <c r="AZ1570" s="1"/>
      <c r="BA1570" s="1"/>
      <c r="BB1570" s="1"/>
      <c r="BC1570" s="1"/>
      <c r="BD1570" s="1"/>
    </row>
    <row r="1571" spans="35:56">
      <c r="AI1571" s="1"/>
      <c r="AJ1571" s="1"/>
      <c r="AK1571" s="1"/>
      <c r="AL1571" s="1"/>
      <c r="AM1571" s="1"/>
      <c r="AN1571" s="1"/>
      <c r="AO1571" s="1"/>
      <c r="AP1571" s="1"/>
      <c r="AQ1571" s="1"/>
      <c r="AR1571" s="1"/>
      <c r="AS1571" s="1"/>
      <c r="AT1571" s="1"/>
      <c r="AU1571" s="1"/>
      <c r="AV1571" s="1"/>
      <c r="AW1571" s="1"/>
      <c r="AX1571" s="1"/>
      <c r="AY1571" s="1"/>
      <c r="AZ1571" s="1"/>
      <c r="BA1571" s="1"/>
      <c r="BB1571" s="1"/>
      <c r="BC1571" s="1"/>
      <c r="BD1571" s="1"/>
    </row>
    <row r="1572" spans="35:56">
      <c r="AI1572" s="1"/>
      <c r="AJ1572" s="1"/>
      <c r="AK1572" s="1"/>
      <c r="AL1572" s="1"/>
      <c r="AM1572" s="1"/>
      <c r="AN1572" s="1"/>
      <c r="AO1572" s="1"/>
      <c r="AP1572" s="1"/>
      <c r="AQ1572" s="1"/>
      <c r="AR1572" s="1"/>
      <c r="AS1572" s="1"/>
      <c r="AT1572" s="1"/>
      <c r="AU1572" s="1"/>
      <c r="AV1572" s="1"/>
      <c r="AW1572" s="1"/>
      <c r="AX1572" s="1"/>
      <c r="AY1572" s="1"/>
      <c r="AZ1572" s="1"/>
      <c r="BA1572" s="1"/>
      <c r="BB1572" s="1"/>
      <c r="BC1572" s="1"/>
      <c r="BD1572" s="1"/>
    </row>
    <row r="1573" spans="35:56">
      <c r="AI1573" s="1"/>
      <c r="AJ1573" s="1"/>
      <c r="AK1573" s="1"/>
      <c r="AL1573" s="1"/>
      <c r="AM1573" s="1"/>
      <c r="AN1573" s="1"/>
      <c r="AO1573" s="1"/>
      <c r="AP1573" s="1"/>
      <c r="AQ1573" s="1"/>
      <c r="AR1573" s="1"/>
      <c r="AS1573" s="1"/>
      <c r="AT1573" s="1"/>
      <c r="AU1573" s="1"/>
      <c r="AV1573" s="1"/>
      <c r="AW1573" s="1"/>
      <c r="AX1573" s="1"/>
      <c r="AY1573" s="1"/>
      <c r="AZ1573" s="1"/>
      <c r="BA1573" s="1"/>
      <c r="BB1573" s="1"/>
      <c r="BC1573" s="1"/>
      <c r="BD1573" s="1"/>
    </row>
    <row r="1574" spans="35:56">
      <c r="AI1574" s="1"/>
      <c r="AJ1574" s="1"/>
      <c r="AK1574" s="1"/>
      <c r="AL1574" s="1"/>
      <c r="AM1574" s="1"/>
      <c r="AN1574" s="1"/>
      <c r="AO1574" s="1"/>
      <c r="AP1574" s="1"/>
      <c r="AQ1574" s="1"/>
      <c r="AR1574" s="1"/>
      <c r="AS1574" s="1"/>
      <c r="AT1574" s="1"/>
      <c r="AU1574" s="1"/>
      <c r="AV1574" s="1"/>
      <c r="AW1574" s="1"/>
      <c r="AX1574" s="1"/>
      <c r="AY1574" s="1"/>
      <c r="AZ1574" s="1"/>
      <c r="BA1574" s="1"/>
      <c r="BB1574" s="1"/>
      <c r="BC1574" s="1"/>
      <c r="BD1574" s="1"/>
    </row>
    <row r="1575" spans="35:56">
      <c r="AI1575" s="1"/>
      <c r="AJ1575" s="1"/>
      <c r="AK1575" s="1"/>
      <c r="AL1575" s="1"/>
      <c r="AM1575" s="1"/>
      <c r="AN1575" s="1"/>
      <c r="AO1575" s="1"/>
      <c r="AP1575" s="1"/>
      <c r="AQ1575" s="1"/>
      <c r="AR1575" s="1"/>
      <c r="AS1575" s="1"/>
      <c r="AT1575" s="1"/>
      <c r="AU1575" s="1"/>
      <c r="AV1575" s="1"/>
      <c r="AW1575" s="1"/>
      <c r="AX1575" s="1"/>
      <c r="AY1575" s="1"/>
      <c r="AZ1575" s="1"/>
      <c r="BA1575" s="1"/>
      <c r="BB1575" s="1"/>
      <c r="BC1575" s="1"/>
      <c r="BD1575" s="1"/>
    </row>
    <row r="1576" spans="35:56">
      <c r="AI1576" s="1"/>
      <c r="AJ1576" s="1"/>
      <c r="AK1576" s="1"/>
      <c r="AL1576" s="1"/>
      <c r="AM1576" s="1"/>
      <c r="AN1576" s="1"/>
      <c r="AO1576" s="1"/>
      <c r="AP1576" s="1"/>
      <c r="AQ1576" s="1"/>
      <c r="AR1576" s="1"/>
      <c r="AS1576" s="1"/>
      <c r="AT1576" s="1"/>
      <c r="AU1576" s="1"/>
      <c r="AV1576" s="1"/>
      <c r="AW1576" s="1"/>
      <c r="AX1576" s="1"/>
      <c r="AY1576" s="1"/>
      <c r="AZ1576" s="1"/>
      <c r="BA1576" s="1"/>
      <c r="BB1576" s="1"/>
      <c r="BC1576" s="1"/>
      <c r="BD1576" s="1"/>
    </row>
    <row r="1577" spans="35:56">
      <c r="AI1577" s="1"/>
      <c r="AJ1577" s="1"/>
      <c r="AK1577" s="1"/>
      <c r="AL1577" s="1"/>
      <c r="AM1577" s="1"/>
      <c r="AN1577" s="1"/>
      <c r="AO1577" s="1"/>
      <c r="AP1577" s="1"/>
      <c r="AQ1577" s="1"/>
      <c r="AR1577" s="1"/>
      <c r="AS1577" s="1"/>
      <c r="AT1577" s="1"/>
      <c r="AU1577" s="1"/>
      <c r="AV1577" s="1"/>
      <c r="AW1577" s="1"/>
      <c r="AX1577" s="1"/>
      <c r="AY1577" s="1"/>
      <c r="AZ1577" s="1"/>
      <c r="BA1577" s="1"/>
      <c r="BB1577" s="1"/>
      <c r="BC1577" s="1"/>
      <c r="BD1577" s="1"/>
    </row>
    <row r="1578" spans="35:56">
      <c r="AI1578" s="1"/>
      <c r="AJ1578" s="1"/>
      <c r="AK1578" s="1"/>
      <c r="AL1578" s="1"/>
      <c r="AM1578" s="1"/>
      <c r="AN1578" s="1"/>
      <c r="AO1578" s="1"/>
      <c r="AP1578" s="1"/>
      <c r="AQ1578" s="1"/>
      <c r="AR1578" s="1"/>
      <c r="AS1578" s="1"/>
      <c r="AT1578" s="1"/>
      <c r="AU1578" s="1"/>
      <c r="AV1578" s="1"/>
      <c r="AW1578" s="1"/>
      <c r="AX1578" s="1"/>
      <c r="AY1578" s="1"/>
      <c r="AZ1578" s="1"/>
      <c r="BA1578" s="1"/>
      <c r="BB1578" s="1"/>
      <c r="BC1578" s="1"/>
      <c r="BD1578" s="1"/>
    </row>
    <row r="1579" spans="35:56">
      <c r="AI1579" s="1"/>
      <c r="AJ1579" s="1"/>
      <c r="AK1579" s="1"/>
      <c r="AL1579" s="1"/>
      <c r="AM1579" s="1"/>
      <c r="AN1579" s="1"/>
      <c r="AO1579" s="1"/>
      <c r="AP1579" s="1"/>
      <c r="AQ1579" s="1"/>
      <c r="AR1579" s="1"/>
      <c r="AS1579" s="1"/>
      <c r="AT1579" s="1"/>
      <c r="AU1579" s="1"/>
      <c r="AV1579" s="1"/>
      <c r="AW1579" s="1"/>
      <c r="AX1579" s="1"/>
      <c r="AY1579" s="1"/>
      <c r="AZ1579" s="1"/>
      <c r="BA1579" s="1"/>
      <c r="BB1579" s="1"/>
      <c r="BC1579" s="1"/>
      <c r="BD1579" s="1"/>
    </row>
    <row r="1580" spans="35:56">
      <c r="AI1580" s="1"/>
      <c r="AJ1580" s="1"/>
      <c r="AK1580" s="1"/>
      <c r="AL1580" s="1"/>
      <c r="AM1580" s="1"/>
      <c r="AN1580" s="1"/>
      <c r="AO1580" s="1"/>
      <c r="AP1580" s="1"/>
      <c r="AQ1580" s="1"/>
      <c r="AR1580" s="1"/>
      <c r="AS1580" s="1"/>
      <c r="AT1580" s="1"/>
      <c r="AU1580" s="1"/>
      <c r="AV1580" s="1"/>
      <c r="AW1580" s="1"/>
      <c r="AX1580" s="1"/>
      <c r="AY1580" s="1"/>
      <c r="AZ1580" s="1"/>
      <c r="BA1580" s="1"/>
      <c r="BB1580" s="1"/>
      <c r="BC1580" s="1"/>
      <c r="BD1580" s="1"/>
    </row>
    <row r="1581" spans="35:56">
      <c r="AI1581" s="1"/>
      <c r="AJ1581" s="1"/>
      <c r="AK1581" s="1"/>
      <c r="AL1581" s="1"/>
      <c r="AM1581" s="1"/>
      <c r="AN1581" s="1"/>
      <c r="AO1581" s="1"/>
      <c r="AP1581" s="1"/>
      <c r="AQ1581" s="1"/>
      <c r="AR1581" s="1"/>
      <c r="AS1581" s="1"/>
      <c r="AT1581" s="1"/>
      <c r="AU1581" s="1"/>
      <c r="AV1581" s="1"/>
      <c r="AW1581" s="1"/>
      <c r="AX1581" s="1"/>
      <c r="AY1581" s="1"/>
      <c r="AZ1581" s="1"/>
      <c r="BA1581" s="1"/>
      <c r="BB1581" s="1"/>
      <c r="BC1581" s="1"/>
      <c r="BD1581" s="1"/>
    </row>
    <row r="1582" spans="35:56">
      <c r="AI1582" s="1"/>
      <c r="AJ1582" s="1"/>
      <c r="AK1582" s="1"/>
      <c r="AL1582" s="1"/>
      <c r="AM1582" s="1"/>
      <c r="AN1582" s="1"/>
      <c r="AO1582" s="1"/>
      <c r="AP1582" s="1"/>
      <c r="AQ1582" s="1"/>
      <c r="AR1582" s="1"/>
      <c r="AS1582" s="1"/>
      <c r="AT1582" s="1"/>
      <c r="AU1582" s="1"/>
      <c r="AV1582" s="1"/>
      <c r="AW1582" s="1"/>
      <c r="AX1582" s="1"/>
      <c r="AY1582" s="1"/>
      <c r="AZ1582" s="1"/>
      <c r="BA1582" s="1"/>
      <c r="BB1582" s="1"/>
      <c r="BC1582" s="1"/>
      <c r="BD1582" s="1"/>
    </row>
    <row r="1583" spans="35:56">
      <c r="AI1583" s="1"/>
      <c r="AJ1583" s="1"/>
      <c r="AK1583" s="1"/>
      <c r="AL1583" s="1"/>
      <c r="AM1583" s="1"/>
      <c r="AN1583" s="1"/>
      <c r="AO1583" s="1"/>
      <c r="AP1583" s="1"/>
      <c r="AQ1583" s="1"/>
      <c r="AR1583" s="1"/>
      <c r="AS1583" s="1"/>
      <c r="AT1583" s="1"/>
      <c r="AU1583" s="1"/>
      <c r="AV1583" s="1"/>
      <c r="AW1583" s="1"/>
      <c r="AX1583" s="1"/>
      <c r="AY1583" s="1"/>
      <c r="AZ1583" s="1"/>
      <c r="BA1583" s="1"/>
      <c r="BB1583" s="1"/>
      <c r="BC1583" s="1"/>
      <c r="BD1583" s="1"/>
    </row>
    <row r="1584" spans="35:56">
      <c r="AI1584" s="1"/>
      <c r="AJ1584" s="1"/>
      <c r="AK1584" s="1"/>
      <c r="AL1584" s="1"/>
      <c r="AM1584" s="1"/>
      <c r="AN1584" s="1"/>
      <c r="AO1584" s="1"/>
      <c r="AP1584" s="1"/>
      <c r="AQ1584" s="1"/>
      <c r="AR1584" s="1"/>
      <c r="AS1584" s="1"/>
      <c r="AT1584" s="1"/>
      <c r="AU1584" s="1"/>
      <c r="AV1584" s="1"/>
      <c r="AW1584" s="1"/>
      <c r="AX1584" s="1"/>
      <c r="AY1584" s="1"/>
      <c r="AZ1584" s="1"/>
      <c r="BA1584" s="1"/>
      <c r="BB1584" s="1"/>
      <c r="BC1584" s="1"/>
      <c r="BD1584" s="1"/>
    </row>
    <row r="1585" spans="35:56">
      <c r="AI1585" s="1"/>
      <c r="AJ1585" s="1"/>
      <c r="AK1585" s="1"/>
      <c r="AL1585" s="1"/>
      <c r="AM1585" s="1"/>
      <c r="AN1585" s="1"/>
      <c r="AO1585" s="1"/>
      <c r="AP1585" s="1"/>
      <c r="AQ1585" s="1"/>
      <c r="AR1585" s="1"/>
      <c r="AS1585" s="1"/>
      <c r="AT1585" s="1"/>
      <c r="AU1585" s="1"/>
      <c r="AV1585" s="1"/>
      <c r="AW1585" s="1"/>
      <c r="AX1585" s="1"/>
      <c r="AY1585" s="1"/>
      <c r="AZ1585" s="1"/>
      <c r="BA1585" s="1"/>
      <c r="BB1585" s="1"/>
      <c r="BC1585" s="1"/>
      <c r="BD1585" s="1"/>
    </row>
    <row r="1586" spans="35:56">
      <c r="AI1586" s="1"/>
      <c r="AJ1586" s="1"/>
      <c r="AK1586" s="1"/>
      <c r="AL1586" s="1"/>
      <c r="AM1586" s="1"/>
      <c r="AN1586" s="1"/>
      <c r="AO1586" s="1"/>
      <c r="AP1586" s="1"/>
      <c r="AQ1586" s="1"/>
      <c r="AR1586" s="1"/>
      <c r="AS1586" s="1"/>
      <c r="AT1586" s="1"/>
      <c r="AU1586" s="1"/>
      <c r="AV1586" s="1"/>
      <c r="AW1586" s="1"/>
      <c r="AX1586" s="1"/>
      <c r="AY1586" s="1"/>
      <c r="AZ1586" s="1"/>
      <c r="BA1586" s="1"/>
      <c r="BB1586" s="1"/>
      <c r="BC1586" s="1"/>
      <c r="BD1586" s="1"/>
    </row>
    <row r="1587" spans="35:56">
      <c r="AI1587" s="1"/>
      <c r="AJ1587" s="1"/>
      <c r="AK1587" s="1"/>
      <c r="AL1587" s="1"/>
      <c r="AM1587" s="1"/>
      <c r="AN1587" s="1"/>
      <c r="AO1587" s="1"/>
      <c r="AP1587" s="1"/>
      <c r="AQ1587" s="1"/>
      <c r="AR1587" s="1"/>
      <c r="AS1587" s="1"/>
      <c r="AT1587" s="1"/>
      <c r="AU1587" s="1"/>
      <c r="AV1587" s="1"/>
      <c r="AW1587" s="1"/>
      <c r="AX1587" s="1"/>
      <c r="AY1587" s="1"/>
      <c r="AZ1587" s="1"/>
      <c r="BA1587" s="1"/>
      <c r="BB1587" s="1"/>
      <c r="BC1587" s="1"/>
      <c r="BD1587" s="1"/>
    </row>
    <row r="1588" spans="35:56">
      <c r="AI1588" s="1"/>
      <c r="AJ1588" s="1"/>
      <c r="AK1588" s="1"/>
      <c r="AL1588" s="1"/>
      <c r="AM1588" s="1"/>
      <c r="AN1588" s="1"/>
      <c r="AO1588" s="1"/>
      <c r="AP1588" s="1"/>
      <c r="AQ1588" s="1"/>
      <c r="AR1588" s="1"/>
      <c r="AS1588" s="1"/>
      <c r="AT1588" s="1"/>
      <c r="AU1588" s="1"/>
      <c r="AV1588" s="1"/>
      <c r="AW1588" s="1"/>
      <c r="AX1588" s="1"/>
      <c r="AY1588" s="1"/>
      <c r="AZ1588" s="1"/>
      <c r="BA1588" s="1"/>
      <c r="BB1588" s="1"/>
      <c r="BC1588" s="1"/>
      <c r="BD1588" s="1"/>
    </row>
    <row r="1589" spans="35:56">
      <c r="AI1589" s="1"/>
      <c r="AJ1589" s="1"/>
      <c r="AK1589" s="1"/>
      <c r="AL1589" s="1"/>
      <c r="AM1589" s="1"/>
      <c r="AN1589" s="1"/>
      <c r="AO1589" s="1"/>
      <c r="AP1589" s="1"/>
      <c r="AQ1589" s="1"/>
      <c r="AR1589" s="1"/>
      <c r="AS1589" s="1"/>
      <c r="AT1589" s="1"/>
      <c r="AU1589" s="1"/>
      <c r="AV1589" s="1"/>
      <c r="AW1589" s="1"/>
      <c r="AX1589" s="1"/>
      <c r="AY1589" s="1"/>
      <c r="AZ1589" s="1"/>
      <c r="BA1589" s="1"/>
      <c r="BB1589" s="1"/>
      <c r="BC1589" s="1"/>
      <c r="BD1589" s="1"/>
    </row>
    <row r="1590" spans="35:56">
      <c r="AI1590" s="1"/>
      <c r="AJ1590" s="1"/>
      <c r="AK1590" s="1"/>
      <c r="AL1590" s="1"/>
      <c r="AM1590" s="1"/>
      <c r="AN1590" s="1"/>
      <c r="AO1590" s="1"/>
      <c r="AP1590" s="1"/>
      <c r="AQ1590" s="1"/>
      <c r="AR1590" s="1"/>
      <c r="AS1590" s="1"/>
      <c r="AT1590" s="1"/>
      <c r="AU1590" s="1"/>
      <c r="AV1590" s="1"/>
      <c r="AW1590" s="1"/>
      <c r="AX1590" s="1"/>
      <c r="AY1590" s="1"/>
      <c r="AZ1590" s="1"/>
      <c r="BA1590" s="1"/>
      <c r="BB1590" s="1"/>
      <c r="BC1590" s="1"/>
      <c r="BD1590" s="1"/>
    </row>
    <row r="1591" spans="35:56">
      <c r="AI1591" s="1"/>
      <c r="AJ1591" s="1"/>
      <c r="AK1591" s="1"/>
      <c r="AL1591" s="1"/>
      <c r="AM1591" s="1"/>
      <c r="AN1591" s="1"/>
      <c r="AO1591" s="1"/>
      <c r="AP1591" s="1"/>
      <c r="AQ1591" s="1"/>
      <c r="AR1591" s="1"/>
      <c r="AS1591" s="1"/>
      <c r="AT1591" s="1"/>
      <c r="AU1591" s="1"/>
      <c r="AV1591" s="1"/>
      <c r="AW1591" s="1"/>
      <c r="AX1591" s="1"/>
      <c r="AY1591" s="1"/>
      <c r="AZ1591" s="1"/>
      <c r="BA1591" s="1"/>
      <c r="BB1591" s="1"/>
      <c r="BC1591" s="1"/>
      <c r="BD1591" s="1"/>
    </row>
    <row r="1592" spans="35:56">
      <c r="AI1592" s="1"/>
      <c r="AJ1592" s="1"/>
      <c r="AK1592" s="1"/>
      <c r="AL1592" s="1"/>
      <c r="AM1592" s="1"/>
      <c r="AN1592" s="1"/>
      <c r="AO1592" s="1"/>
      <c r="AP1592" s="1"/>
      <c r="AQ1592" s="1"/>
      <c r="AR1592" s="1"/>
      <c r="AS1592" s="1"/>
      <c r="AT1592" s="1"/>
      <c r="AU1592" s="1"/>
      <c r="AV1592" s="1"/>
      <c r="AW1592" s="1"/>
      <c r="AX1592" s="1"/>
      <c r="AY1592" s="1"/>
      <c r="AZ1592" s="1"/>
      <c r="BA1592" s="1"/>
      <c r="BB1592" s="1"/>
      <c r="BC1592" s="1"/>
      <c r="BD1592" s="1"/>
    </row>
    <row r="1593" spans="35:56">
      <c r="AI1593" s="1"/>
      <c r="AJ1593" s="1"/>
      <c r="AK1593" s="1"/>
      <c r="AL1593" s="1"/>
      <c r="AM1593" s="1"/>
      <c r="AN1593" s="1"/>
      <c r="AO1593" s="1"/>
      <c r="AP1593" s="1"/>
      <c r="AQ1593" s="1"/>
      <c r="AR1593" s="1"/>
      <c r="AS1593" s="1"/>
      <c r="AT1593" s="1"/>
      <c r="AU1593" s="1"/>
      <c r="AV1593" s="1"/>
      <c r="AW1593" s="1"/>
      <c r="AX1593" s="1"/>
      <c r="AY1593" s="1"/>
      <c r="AZ1593" s="1"/>
      <c r="BA1593" s="1"/>
      <c r="BB1593" s="1"/>
      <c r="BC1593" s="1"/>
      <c r="BD1593" s="1"/>
    </row>
    <row r="1594" spans="35:56">
      <c r="AI1594" s="1"/>
      <c r="AJ1594" s="1"/>
      <c r="AK1594" s="1"/>
      <c r="AL1594" s="1"/>
      <c r="AM1594" s="1"/>
      <c r="AN1594" s="1"/>
      <c r="AO1594" s="1"/>
      <c r="AP1594" s="1"/>
      <c r="AQ1594" s="1"/>
      <c r="AR1594" s="1"/>
      <c r="AS1594" s="1"/>
      <c r="AT1594" s="1"/>
      <c r="AU1594" s="1"/>
      <c r="AV1594" s="1"/>
      <c r="AW1594" s="1"/>
      <c r="AX1594" s="1"/>
      <c r="AY1594" s="1"/>
      <c r="AZ1594" s="1"/>
      <c r="BA1594" s="1"/>
      <c r="BB1594" s="1"/>
      <c r="BC1594" s="1"/>
      <c r="BD1594" s="1"/>
    </row>
    <row r="1595" spans="35:56">
      <c r="AI1595" s="1"/>
      <c r="AJ1595" s="1"/>
      <c r="AK1595" s="1"/>
      <c r="AL1595" s="1"/>
      <c r="AM1595" s="1"/>
      <c r="AN1595" s="1"/>
      <c r="AO1595" s="1"/>
      <c r="AP1595" s="1"/>
      <c r="AQ1595" s="1"/>
      <c r="AR1595" s="1"/>
      <c r="AS1595" s="1"/>
      <c r="AT1595" s="1"/>
      <c r="AU1595" s="1"/>
      <c r="AV1595" s="1"/>
      <c r="AW1595" s="1"/>
      <c r="AX1595" s="1"/>
      <c r="AY1595" s="1"/>
      <c r="AZ1595" s="1"/>
      <c r="BA1595" s="1"/>
      <c r="BB1595" s="1"/>
      <c r="BC1595" s="1"/>
      <c r="BD1595" s="1"/>
    </row>
    <row r="1596" spans="35:56">
      <c r="AI1596" s="1"/>
      <c r="AJ1596" s="1"/>
      <c r="AK1596" s="1"/>
      <c r="AL1596" s="1"/>
      <c r="AM1596" s="1"/>
      <c r="AN1596" s="1"/>
      <c r="AO1596" s="1"/>
      <c r="AP1596" s="1"/>
      <c r="AQ1596" s="1"/>
      <c r="AR1596" s="1"/>
      <c r="AS1596" s="1"/>
      <c r="AT1596" s="1"/>
      <c r="AU1596" s="1"/>
      <c r="AV1596" s="1"/>
      <c r="AW1596" s="1"/>
      <c r="AX1596" s="1"/>
      <c r="AY1596" s="1"/>
      <c r="AZ1596" s="1"/>
      <c r="BA1596" s="1"/>
      <c r="BB1596" s="1"/>
      <c r="BC1596" s="1"/>
      <c r="BD1596" s="1"/>
    </row>
    <row r="1597" spans="35:56">
      <c r="AI1597" s="1"/>
      <c r="AJ1597" s="1"/>
      <c r="AK1597" s="1"/>
      <c r="AL1597" s="1"/>
      <c r="AM1597" s="1"/>
      <c r="AN1597" s="1"/>
      <c r="AO1597" s="1"/>
      <c r="AP1597" s="1"/>
      <c r="AQ1597" s="1"/>
      <c r="AR1597" s="1"/>
      <c r="AS1597" s="1"/>
      <c r="AT1597" s="1"/>
      <c r="AU1597" s="1"/>
      <c r="AV1597" s="1"/>
      <c r="AW1597" s="1"/>
      <c r="AX1597" s="1"/>
      <c r="AY1597" s="1"/>
      <c r="AZ1597" s="1"/>
      <c r="BA1597" s="1"/>
      <c r="BB1597" s="1"/>
      <c r="BC1597" s="1"/>
      <c r="BD1597" s="1"/>
    </row>
    <row r="1598" spans="35:56">
      <c r="AI1598" s="1"/>
      <c r="AJ1598" s="1"/>
      <c r="AK1598" s="1"/>
      <c r="AL1598" s="1"/>
      <c r="AM1598" s="1"/>
      <c r="AN1598" s="1"/>
      <c r="AO1598" s="1"/>
      <c r="AP1598" s="1"/>
      <c r="AQ1598" s="1"/>
      <c r="AR1598" s="1"/>
      <c r="AS1598" s="1"/>
      <c r="AT1598" s="1"/>
      <c r="AU1598" s="1"/>
      <c r="AV1598" s="1"/>
      <c r="AW1598" s="1"/>
      <c r="AX1598" s="1"/>
      <c r="AY1598" s="1"/>
      <c r="AZ1598" s="1"/>
      <c r="BA1598" s="1"/>
      <c r="BB1598" s="1"/>
      <c r="BC1598" s="1"/>
      <c r="BD1598" s="1"/>
    </row>
    <row r="1599" spans="35:56">
      <c r="AI1599" s="1"/>
      <c r="AJ1599" s="1"/>
      <c r="AK1599" s="1"/>
      <c r="AL1599" s="1"/>
      <c r="AM1599" s="1"/>
      <c r="AN1599" s="1"/>
      <c r="AO1599" s="1"/>
      <c r="AP1599" s="1"/>
      <c r="AQ1599" s="1"/>
      <c r="AR1599" s="1"/>
      <c r="AS1599" s="1"/>
      <c r="AT1599" s="1"/>
      <c r="AU1599" s="1"/>
      <c r="AV1599" s="1"/>
      <c r="AW1599" s="1"/>
      <c r="AX1599" s="1"/>
      <c r="AY1599" s="1"/>
      <c r="AZ1599" s="1"/>
      <c r="BA1599" s="1"/>
      <c r="BB1599" s="1"/>
      <c r="BC1599" s="1"/>
      <c r="BD1599" s="1"/>
    </row>
    <row r="1600" spans="35:56">
      <c r="AI1600" s="1"/>
      <c r="AJ1600" s="1"/>
      <c r="AK1600" s="1"/>
      <c r="AL1600" s="1"/>
      <c r="AM1600" s="1"/>
      <c r="AN1600" s="1"/>
      <c r="AO1600" s="1"/>
      <c r="AP1600" s="1"/>
      <c r="AQ1600" s="1"/>
      <c r="AR1600" s="1"/>
      <c r="AS1600" s="1"/>
      <c r="AT1600" s="1"/>
      <c r="AU1600" s="1"/>
      <c r="AV1600" s="1"/>
      <c r="AW1600" s="1"/>
      <c r="AX1600" s="1"/>
      <c r="AY1600" s="1"/>
      <c r="AZ1600" s="1"/>
      <c r="BA1600" s="1"/>
      <c r="BB1600" s="1"/>
      <c r="BC1600" s="1"/>
      <c r="BD1600" s="1"/>
    </row>
    <row r="1601" spans="35:56">
      <c r="AI1601" s="1"/>
      <c r="AJ1601" s="1"/>
      <c r="AK1601" s="1"/>
      <c r="AL1601" s="1"/>
      <c r="AM1601" s="1"/>
      <c r="AN1601" s="1"/>
      <c r="AO1601" s="1"/>
      <c r="AP1601" s="1"/>
      <c r="AQ1601" s="1"/>
      <c r="AR1601" s="1"/>
      <c r="AS1601" s="1"/>
      <c r="AT1601" s="1"/>
      <c r="AU1601" s="1"/>
      <c r="AV1601" s="1"/>
      <c r="AW1601" s="1"/>
      <c r="AX1601" s="1"/>
      <c r="AY1601" s="1"/>
      <c r="AZ1601" s="1"/>
      <c r="BA1601" s="1"/>
      <c r="BB1601" s="1"/>
      <c r="BC1601" s="1"/>
      <c r="BD1601" s="1"/>
    </row>
    <row r="1602" spans="35:56">
      <c r="AI1602" s="1"/>
      <c r="AJ1602" s="1"/>
      <c r="AK1602" s="1"/>
      <c r="AL1602" s="1"/>
      <c r="AM1602" s="1"/>
      <c r="AN1602" s="1"/>
      <c r="AO1602" s="1"/>
      <c r="AP1602" s="1"/>
      <c r="AQ1602" s="1"/>
      <c r="AR1602" s="1"/>
      <c r="AS1602" s="1"/>
      <c r="AT1602" s="1"/>
      <c r="AU1602" s="1"/>
      <c r="AV1602" s="1"/>
      <c r="AW1602" s="1"/>
      <c r="AX1602" s="1"/>
      <c r="AY1602" s="1"/>
      <c r="AZ1602" s="1"/>
      <c r="BA1602" s="1"/>
      <c r="BB1602" s="1"/>
      <c r="BC1602" s="1"/>
      <c r="BD1602" s="1"/>
    </row>
    <row r="1603" spans="35:56">
      <c r="AI1603" s="1"/>
      <c r="AJ1603" s="1"/>
      <c r="AK1603" s="1"/>
      <c r="AL1603" s="1"/>
      <c r="AM1603" s="1"/>
      <c r="AN1603" s="1"/>
      <c r="AO1603" s="1"/>
      <c r="AP1603" s="1"/>
      <c r="AQ1603" s="1"/>
      <c r="AR1603" s="1"/>
      <c r="AS1603" s="1"/>
      <c r="AT1603" s="1"/>
      <c r="AU1603" s="1"/>
      <c r="AV1603" s="1"/>
      <c r="AW1603" s="1"/>
      <c r="AX1603" s="1"/>
      <c r="AY1603" s="1"/>
      <c r="AZ1603" s="1"/>
      <c r="BA1603" s="1"/>
      <c r="BB1603" s="1"/>
      <c r="BC1603" s="1"/>
      <c r="BD1603" s="1"/>
    </row>
    <row r="1604" spans="35:56">
      <c r="AI1604" s="1"/>
      <c r="AJ1604" s="1"/>
      <c r="AK1604" s="1"/>
      <c r="AL1604" s="1"/>
      <c r="AM1604" s="1"/>
      <c r="AN1604" s="1"/>
      <c r="AO1604" s="1"/>
      <c r="AP1604" s="1"/>
      <c r="AQ1604" s="1"/>
      <c r="AR1604" s="1"/>
      <c r="AS1604" s="1"/>
      <c r="AT1604" s="1"/>
      <c r="AU1604" s="1"/>
      <c r="AV1604" s="1"/>
      <c r="AW1604" s="1"/>
      <c r="AX1604" s="1"/>
      <c r="AY1604" s="1"/>
      <c r="AZ1604" s="1"/>
      <c r="BA1604" s="1"/>
      <c r="BB1604" s="1"/>
      <c r="BC1604" s="1"/>
      <c r="BD1604" s="1"/>
    </row>
    <row r="1605" spans="35:56">
      <c r="AI1605" s="1"/>
      <c r="AJ1605" s="1"/>
      <c r="AK1605" s="1"/>
      <c r="AL1605" s="1"/>
      <c r="AM1605" s="1"/>
      <c r="AN1605" s="1"/>
      <c r="AO1605" s="1"/>
      <c r="AP1605" s="1"/>
      <c r="AQ1605" s="1"/>
      <c r="AR1605" s="1"/>
      <c r="AS1605" s="1"/>
      <c r="AT1605" s="1"/>
      <c r="AU1605" s="1"/>
      <c r="AV1605" s="1"/>
      <c r="AW1605" s="1"/>
      <c r="AX1605" s="1"/>
      <c r="AY1605" s="1"/>
      <c r="AZ1605" s="1"/>
      <c r="BA1605" s="1"/>
      <c r="BB1605" s="1"/>
      <c r="BC1605" s="1"/>
      <c r="BD1605" s="1"/>
    </row>
    <row r="1606" spans="35:56">
      <c r="AI1606" s="1"/>
      <c r="AJ1606" s="1"/>
      <c r="AK1606" s="1"/>
      <c r="AL1606" s="1"/>
      <c r="AM1606" s="1"/>
      <c r="AN1606" s="1"/>
      <c r="AO1606" s="1"/>
      <c r="AP1606" s="1"/>
      <c r="AQ1606" s="1"/>
      <c r="AR1606" s="1"/>
      <c r="AS1606" s="1"/>
      <c r="AT1606" s="1"/>
      <c r="AU1606" s="1"/>
      <c r="AV1606" s="1"/>
      <c r="AW1606" s="1"/>
      <c r="AX1606" s="1"/>
      <c r="AY1606" s="1"/>
      <c r="AZ1606" s="1"/>
      <c r="BA1606" s="1"/>
      <c r="BB1606" s="1"/>
      <c r="BC1606" s="1"/>
      <c r="BD1606" s="1"/>
    </row>
    <row r="1607" spans="35:56">
      <c r="AI1607" s="1"/>
      <c r="AJ1607" s="1"/>
      <c r="AK1607" s="1"/>
      <c r="AL1607" s="1"/>
      <c r="AM1607" s="1"/>
      <c r="AN1607" s="1"/>
      <c r="AO1607" s="1"/>
      <c r="AP1607" s="1"/>
      <c r="AQ1607" s="1"/>
      <c r="AR1607" s="1"/>
      <c r="AS1607" s="1"/>
      <c r="AT1607" s="1"/>
      <c r="AU1607" s="1"/>
      <c r="AV1607" s="1"/>
      <c r="AW1607" s="1"/>
      <c r="AX1607" s="1"/>
      <c r="AY1607" s="1"/>
      <c r="AZ1607" s="1"/>
      <c r="BA1607" s="1"/>
      <c r="BB1607" s="1"/>
      <c r="BC1607" s="1"/>
      <c r="BD1607" s="1"/>
    </row>
    <row r="1608" spans="35:56">
      <c r="AI1608" s="1"/>
      <c r="AJ1608" s="1"/>
      <c r="AK1608" s="1"/>
      <c r="AL1608" s="1"/>
      <c r="AM1608" s="1"/>
      <c r="AN1608" s="1"/>
      <c r="AO1608" s="1"/>
      <c r="AP1608" s="1"/>
      <c r="AQ1608" s="1"/>
      <c r="AR1608" s="1"/>
      <c r="AS1608" s="1"/>
      <c r="AT1608" s="1"/>
      <c r="AU1608" s="1"/>
      <c r="AV1608" s="1"/>
      <c r="AW1608" s="1"/>
      <c r="AX1608" s="1"/>
      <c r="AY1608" s="1"/>
      <c r="AZ1608" s="1"/>
      <c r="BA1608" s="1"/>
      <c r="BB1608" s="1"/>
      <c r="BC1608" s="1"/>
      <c r="BD1608" s="1"/>
    </row>
    <row r="1609" spans="35:56">
      <c r="AI1609" s="1"/>
      <c r="AJ1609" s="1"/>
      <c r="AK1609" s="1"/>
      <c r="AL1609" s="1"/>
      <c r="AM1609" s="1"/>
      <c r="AN1609" s="1"/>
      <c r="AO1609" s="1"/>
      <c r="AP1609" s="1"/>
      <c r="AQ1609" s="1"/>
      <c r="AR1609" s="1"/>
      <c r="AS1609" s="1"/>
      <c r="AT1609" s="1"/>
      <c r="AU1609" s="1"/>
      <c r="AV1609" s="1"/>
      <c r="AW1609" s="1"/>
      <c r="AX1609" s="1"/>
      <c r="AY1609" s="1"/>
      <c r="AZ1609" s="1"/>
      <c r="BA1609" s="1"/>
      <c r="BB1609" s="1"/>
      <c r="BC1609" s="1"/>
      <c r="BD1609" s="1"/>
    </row>
    <row r="1610" spans="35:56">
      <c r="AI1610" s="1"/>
      <c r="AJ1610" s="1"/>
      <c r="AK1610" s="1"/>
      <c r="AL1610" s="1"/>
      <c r="AM1610" s="1"/>
      <c r="AN1610" s="1"/>
      <c r="AO1610" s="1"/>
      <c r="AP1610" s="1"/>
      <c r="AQ1610" s="1"/>
      <c r="AR1610" s="1"/>
      <c r="AS1610" s="1"/>
      <c r="AT1610" s="1"/>
      <c r="AU1610" s="1"/>
      <c r="AV1610" s="1"/>
      <c r="AW1610" s="1"/>
      <c r="AX1610" s="1"/>
      <c r="AY1610" s="1"/>
      <c r="AZ1610" s="1"/>
      <c r="BA1610" s="1"/>
      <c r="BB1610" s="1"/>
      <c r="BC1610" s="1"/>
      <c r="BD1610" s="1"/>
    </row>
    <row r="1611" spans="35:56">
      <c r="AI1611" s="1"/>
      <c r="AJ1611" s="1"/>
      <c r="AK1611" s="1"/>
      <c r="AL1611" s="1"/>
      <c r="AM1611" s="1"/>
      <c r="AN1611" s="1"/>
      <c r="AO1611" s="1"/>
      <c r="AP1611" s="1"/>
      <c r="AQ1611" s="1"/>
      <c r="AR1611" s="1"/>
      <c r="AS1611" s="1"/>
      <c r="AT1611" s="1"/>
      <c r="AU1611" s="1"/>
      <c r="AV1611" s="1"/>
      <c r="AW1611" s="1"/>
      <c r="AX1611" s="1"/>
      <c r="AY1611" s="1"/>
      <c r="AZ1611" s="1"/>
      <c r="BA1611" s="1"/>
      <c r="BB1611" s="1"/>
      <c r="BC1611" s="1"/>
      <c r="BD1611" s="1"/>
    </row>
    <row r="1612" spans="35:56">
      <c r="AI1612" s="1"/>
      <c r="AJ1612" s="1"/>
      <c r="AK1612" s="1"/>
      <c r="AL1612" s="1"/>
      <c r="AM1612" s="1"/>
      <c r="AN1612" s="1"/>
      <c r="AO1612" s="1"/>
      <c r="AP1612" s="1"/>
      <c r="AQ1612" s="1"/>
      <c r="AR1612" s="1"/>
      <c r="AS1612" s="1"/>
      <c r="AT1612" s="1"/>
      <c r="AU1612" s="1"/>
      <c r="AV1612" s="1"/>
      <c r="AW1612" s="1"/>
      <c r="AX1612" s="1"/>
      <c r="AY1612" s="1"/>
      <c r="AZ1612" s="1"/>
      <c r="BA1612" s="1"/>
      <c r="BB1612" s="1"/>
      <c r="BC1612" s="1"/>
      <c r="BD1612" s="1"/>
    </row>
    <row r="1613" spans="35:56">
      <c r="AI1613" s="1"/>
      <c r="AJ1613" s="1"/>
      <c r="AK1613" s="1"/>
      <c r="AL1613" s="1"/>
      <c r="AM1613" s="1"/>
      <c r="AN1613" s="1"/>
      <c r="AO1613" s="1"/>
      <c r="AP1613" s="1"/>
      <c r="AQ1613" s="1"/>
      <c r="AR1613" s="1"/>
      <c r="AS1613" s="1"/>
      <c r="AT1613" s="1"/>
      <c r="AU1613" s="1"/>
      <c r="AV1613" s="1"/>
      <c r="AW1613" s="1"/>
      <c r="AX1613" s="1"/>
      <c r="AY1613" s="1"/>
      <c r="AZ1613" s="1"/>
      <c r="BA1613" s="1"/>
      <c r="BB1613" s="1"/>
      <c r="BC1613" s="1"/>
      <c r="BD1613" s="1"/>
    </row>
    <row r="1614" spans="35:56">
      <c r="AI1614" s="1"/>
      <c r="AJ1614" s="1"/>
      <c r="AK1614" s="1"/>
      <c r="AL1614" s="1"/>
      <c r="AM1614" s="1"/>
      <c r="AN1614" s="1"/>
      <c r="AO1614" s="1"/>
      <c r="AP1614" s="1"/>
      <c r="AQ1614" s="1"/>
      <c r="AR1614" s="1"/>
      <c r="AS1614" s="1"/>
      <c r="AT1614" s="1"/>
      <c r="AU1614" s="1"/>
      <c r="AV1614" s="1"/>
      <c r="AW1614" s="1"/>
      <c r="AX1614" s="1"/>
      <c r="AY1614" s="1"/>
      <c r="AZ1614" s="1"/>
      <c r="BA1614" s="1"/>
      <c r="BB1614" s="1"/>
      <c r="BC1614" s="1"/>
      <c r="BD1614" s="1"/>
    </row>
    <row r="1615" spans="35:56">
      <c r="AI1615" s="1"/>
      <c r="AJ1615" s="1"/>
      <c r="AK1615" s="1"/>
      <c r="AL1615" s="1"/>
      <c r="AM1615" s="1"/>
      <c r="AN1615" s="1"/>
      <c r="AO1615" s="1"/>
      <c r="AP1615" s="1"/>
      <c r="AQ1615" s="1"/>
      <c r="AR1615" s="1"/>
      <c r="AS1615" s="1"/>
      <c r="AT1615" s="1"/>
      <c r="AU1615" s="1"/>
      <c r="AV1615" s="1"/>
      <c r="AW1615" s="1"/>
      <c r="AX1615" s="1"/>
      <c r="AY1615" s="1"/>
      <c r="AZ1615" s="1"/>
      <c r="BA1615" s="1"/>
      <c r="BB1615" s="1"/>
      <c r="BC1615" s="1"/>
      <c r="BD1615" s="1"/>
    </row>
    <row r="1616" spans="35:56">
      <c r="AI1616" s="1"/>
      <c r="AJ1616" s="1"/>
      <c r="AK1616" s="1"/>
      <c r="AL1616" s="1"/>
      <c r="AM1616" s="1"/>
      <c r="AN1616" s="1"/>
      <c r="AO1616" s="1"/>
      <c r="AP1616" s="1"/>
      <c r="AQ1616" s="1"/>
      <c r="AR1616" s="1"/>
      <c r="AS1616" s="1"/>
      <c r="AT1616" s="1"/>
      <c r="AU1616" s="1"/>
      <c r="AV1616" s="1"/>
      <c r="AW1616" s="1"/>
      <c r="AX1616" s="1"/>
      <c r="AY1616" s="1"/>
      <c r="AZ1616" s="1"/>
      <c r="BA1616" s="1"/>
      <c r="BB1616" s="1"/>
      <c r="BC1616" s="1"/>
      <c r="BD1616" s="1"/>
    </row>
    <row r="1617" spans="35:56">
      <c r="AI1617" s="1"/>
      <c r="AJ1617" s="1"/>
      <c r="AK1617" s="1"/>
      <c r="AL1617" s="1"/>
      <c r="AM1617" s="1"/>
      <c r="AN1617" s="1"/>
      <c r="AO1617" s="1"/>
      <c r="AP1617" s="1"/>
      <c r="AQ1617" s="1"/>
      <c r="AR1617" s="1"/>
      <c r="AS1617" s="1"/>
      <c r="AT1617" s="1"/>
      <c r="AU1617" s="1"/>
      <c r="AV1617" s="1"/>
      <c r="AW1617" s="1"/>
      <c r="AX1617" s="1"/>
      <c r="AY1617" s="1"/>
      <c r="AZ1617" s="1"/>
      <c r="BA1617" s="1"/>
      <c r="BB1617" s="1"/>
      <c r="BC1617" s="1"/>
      <c r="BD1617" s="1"/>
    </row>
    <row r="1618" spans="35:56">
      <c r="AI1618" s="1"/>
      <c r="AJ1618" s="1"/>
      <c r="AK1618" s="1"/>
      <c r="AL1618" s="1"/>
      <c r="AM1618" s="1"/>
      <c r="AN1618" s="1"/>
      <c r="AO1618" s="1"/>
      <c r="AP1618" s="1"/>
      <c r="AQ1618" s="1"/>
      <c r="AR1618" s="1"/>
      <c r="AS1618" s="1"/>
      <c r="AT1618" s="1"/>
      <c r="AU1618" s="1"/>
      <c r="AV1618" s="1"/>
      <c r="AW1618" s="1"/>
      <c r="AX1618" s="1"/>
      <c r="AY1618" s="1"/>
      <c r="AZ1618" s="1"/>
      <c r="BA1618" s="1"/>
      <c r="BB1618" s="1"/>
      <c r="BC1618" s="1"/>
      <c r="BD1618" s="1"/>
    </row>
    <row r="1619" spans="35:56">
      <c r="AI1619" s="1"/>
      <c r="AJ1619" s="1"/>
      <c r="AK1619" s="1"/>
      <c r="AL1619" s="1"/>
      <c r="AM1619" s="1"/>
      <c r="AN1619" s="1"/>
      <c r="AO1619" s="1"/>
      <c r="AP1619" s="1"/>
      <c r="AQ1619" s="1"/>
      <c r="AR1619" s="1"/>
      <c r="AS1619" s="1"/>
      <c r="AT1619" s="1"/>
      <c r="AU1619" s="1"/>
      <c r="AV1619" s="1"/>
      <c r="AW1619" s="1"/>
      <c r="AX1619" s="1"/>
      <c r="AY1619" s="1"/>
      <c r="AZ1619" s="1"/>
      <c r="BA1619" s="1"/>
      <c r="BB1619" s="1"/>
      <c r="BC1619" s="1"/>
      <c r="BD1619" s="1"/>
    </row>
    <row r="1620" spans="35:56">
      <c r="AI1620" s="1"/>
      <c r="AJ1620" s="1"/>
      <c r="AK1620" s="1"/>
      <c r="AL1620" s="1"/>
      <c r="AM1620" s="1"/>
      <c r="AN1620" s="1"/>
      <c r="AO1620" s="1"/>
      <c r="AP1620" s="1"/>
      <c r="AQ1620" s="1"/>
      <c r="AR1620" s="1"/>
      <c r="AS1620" s="1"/>
      <c r="AT1620" s="1"/>
      <c r="AU1620" s="1"/>
      <c r="AV1620" s="1"/>
      <c r="AW1620" s="1"/>
      <c r="AX1620" s="1"/>
      <c r="AY1620" s="1"/>
      <c r="AZ1620" s="1"/>
      <c r="BA1620" s="1"/>
      <c r="BB1620" s="1"/>
      <c r="BC1620" s="1"/>
      <c r="BD1620" s="1"/>
    </row>
    <row r="1621" spans="35:56">
      <c r="AI1621" s="1"/>
      <c r="AJ1621" s="1"/>
      <c r="AK1621" s="1"/>
      <c r="AL1621" s="1"/>
      <c r="AM1621" s="1"/>
      <c r="AN1621" s="1"/>
      <c r="AO1621" s="1"/>
      <c r="AP1621" s="1"/>
      <c r="AQ1621" s="1"/>
      <c r="AR1621" s="1"/>
      <c r="AS1621" s="1"/>
      <c r="AT1621" s="1"/>
      <c r="AU1621" s="1"/>
      <c r="AV1621" s="1"/>
      <c r="AW1621" s="1"/>
      <c r="AX1621" s="1"/>
      <c r="AY1621" s="1"/>
      <c r="AZ1621" s="1"/>
      <c r="BA1621" s="1"/>
      <c r="BB1621" s="1"/>
      <c r="BC1621" s="1"/>
      <c r="BD1621" s="1"/>
    </row>
    <row r="1622" spans="35:56">
      <c r="AI1622" s="1"/>
      <c r="AJ1622" s="1"/>
      <c r="AK1622" s="1"/>
      <c r="AL1622" s="1"/>
      <c r="AM1622" s="1"/>
      <c r="AN1622" s="1"/>
      <c r="AO1622" s="1"/>
      <c r="AP1622" s="1"/>
      <c r="AQ1622" s="1"/>
      <c r="AR1622" s="1"/>
      <c r="AS1622" s="1"/>
      <c r="AT1622" s="1"/>
      <c r="AU1622" s="1"/>
      <c r="AV1622" s="1"/>
      <c r="AW1622" s="1"/>
      <c r="AX1622" s="1"/>
      <c r="AY1622" s="1"/>
      <c r="AZ1622" s="1"/>
      <c r="BA1622" s="1"/>
      <c r="BB1622" s="1"/>
      <c r="BC1622" s="1"/>
      <c r="BD1622" s="1"/>
    </row>
    <row r="1623" spans="35:56">
      <c r="AI1623" s="1"/>
      <c r="AJ1623" s="1"/>
      <c r="AK1623" s="1"/>
      <c r="AL1623" s="1"/>
      <c r="AM1623" s="1"/>
      <c r="AN1623" s="1"/>
      <c r="AO1623" s="1"/>
      <c r="AP1623" s="1"/>
      <c r="AQ1623" s="1"/>
      <c r="AR1623" s="1"/>
      <c r="AS1623" s="1"/>
      <c r="AT1623" s="1"/>
      <c r="AU1623" s="1"/>
      <c r="AV1623" s="1"/>
      <c r="AW1623" s="1"/>
      <c r="AX1623" s="1"/>
      <c r="AY1623" s="1"/>
      <c r="AZ1623" s="1"/>
      <c r="BA1623" s="1"/>
      <c r="BB1623" s="1"/>
      <c r="BC1623" s="1"/>
      <c r="BD1623" s="1"/>
    </row>
    <row r="1624" spans="35:56">
      <c r="AI1624" s="1"/>
      <c r="AJ1624" s="1"/>
      <c r="AK1624" s="1"/>
      <c r="AL1624" s="1"/>
      <c r="AM1624" s="1"/>
      <c r="AN1624" s="1"/>
      <c r="AO1624" s="1"/>
      <c r="AP1624" s="1"/>
      <c r="AQ1624" s="1"/>
      <c r="AR1624" s="1"/>
      <c r="AS1624" s="1"/>
      <c r="AT1624" s="1"/>
      <c r="AU1624" s="1"/>
      <c r="AV1624" s="1"/>
      <c r="AW1624" s="1"/>
      <c r="AX1624" s="1"/>
      <c r="AY1624" s="1"/>
      <c r="AZ1624" s="1"/>
      <c r="BA1624" s="1"/>
      <c r="BB1624" s="1"/>
      <c r="BC1624" s="1"/>
      <c r="BD1624" s="1"/>
    </row>
    <row r="1625" spans="35:56">
      <c r="AI1625" s="1"/>
      <c r="AJ1625" s="1"/>
      <c r="AK1625" s="1"/>
      <c r="AL1625" s="1"/>
      <c r="AM1625" s="1"/>
      <c r="AN1625" s="1"/>
      <c r="AO1625" s="1"/>
      <c r="AP1625" s="1"/>
      <c r="AQ1625" s="1"/>
      <c r="AR1625" s="1"/>
      <c r="AS1625" s="1"/>
      <c r="AT1625" s="1"/>
      <c r="AU1625" s="1"/>
      <c r="AV1625" s="1"/>
      <c r="AW1625" s="1"/>
      <c r="AX1625" s="1"/>
      <c r="AY1625" s="1"/>
      <c r="AZ1625" s="1"/>
      <c r="BA1625" s="1"/>
      <c r="BB1625" s="1"/>
      <c r="BC1625" s="1"/>
      <c r="BD1625" s="1"/>
    </row>
    <row r="1626" spans="35:56">
      <c r="AI1626" s="1"/>
      <c r="AJ1626" s="1"/>
      <c r="AK1626" s="1"/>
      <c r="AL1626" s="1"/>
      <c r="AM1626" s="1"/>
      <c r="AN1626" s="1"/>
      <c r="AO1626" s="1"/>
      <c r="AP1626" s="1"/>
      <c r="AQ1626" s="1"/>
      <c r="AR1626" s="1"/>
      <c r="AS1626" s="1"/>
      <c r="AT1626" s="1"/>
      <c r="AU1626" s="1"/>
      <c r="AV1626" s="1"/>
      <c r="AW1626" s="1"/>
      <c r="AX1626" s="1"/>
      <c r="AY1626" s="1"/>
      <c r="AZ1626" s="1"/>
      <c r="BA1626" s="1"/>
      <c r="BB1626" s="1"/>
      <c r="BC1626" s="1"/>
      <c r="BD1626" s="1"/>
    </row>
    <row r="1627" spans="35:56">
      <c r="AI1627" s="1"/>
      <c r="AJ1627" s="1"/>
      <c r="AK1627" s="1"/>
      <c r="AL1627" s="1"/>
      <c r="AM1627" s="1"/>
      <c r="AN1627" s="1"/>
      <c r="AO1627" s="1"/>
      <c r="AP1627" s="1"/>
      <c r="AQ1627" s="1"/>
      <c r="AR1627" s="1"/>
      <c r="AS1627" s="1"/>
      <c r="AT1627" s="1"/>
      <c r="AU1627" s="1"/>
      <c r="AV1627" s="1"/>
      <c r="AW1627" s="1"/>
      <c r="AX1627" s="1"/>
      <c r="AY1627" s="1"/>
      <c r="AZ1627" s="1"/>
      <c r="BA1627" s="1"/>
      <c r="BB1627" s="1"/>
      <c r="BC1627" s="1"/>
      <c r="BD1627" s="1"/>
    </row>
    <row r="1628" spans="35:56">
      <c r="AI1628" s="1"/>
      <c r="AJ1628" s="1"/>
      <c r="AK1628" s="1"/>
      <c r="AL1628" s="1"/>
      <c r="AM1628" s="1"/>
      <c r="AN1628" s="1"/>
      <c r="AO1628" s="1"/>
      <c r="AP1628" s="1"/>
      <c r="AQ1628" s="1"/>
      <c r="AR1628" s="1"/>
      <c r="AS1628" s="1"/>
      <c r="AT1628" s="1"/>
      <c r="AU1628" s="1"/>
      <c r="AV1628" s="1"/>
      <c r="AW1628" s="1"/>
      <c r="AX1628" s="1"/>
      <c r="AY1628" s="1"/>
      <c r="AZ1628" s="1"/>
      <c r="BA1628" s="1"/>
      <c r="BB1628" s="1"/>
      <c r="BC1628" s="1"/>
      <c r="BD1628" s="1"/>
    </row>
    <row r="1629" spans="35:56">
      <c r="AI1629" s="1"/>
      <c r="AJ1629" s="1"/>
      <c r="AK1629" s="1"/>
      <c r="AL1629" s="1"/>
      <c r="AM1629" s="1"/>
      <c r="AN1629" s="1"/>
      <c r="AO1629" s="1"/>
      <c r="AP1629" s="1"/>
      <c r="AQ1629" s="1"/>
      <c r="AR1629" s="1"/>
      <c r="AS1629" s="1"/>
      <c r="AT1629" s="1"/>
      <c r="AU1629" s="1"/>
      <c r="AV1629" s="1"/>
      <c r="AW1629" s="1"/>
      <c r="AX1629" s="1"/>
      <c r="AY1629" s="1"/>
      <c r="AZ1629" s="1"/>
      <c r="BA1629" s="1"/>
      <c r="BB1629" s="1"/>
      <c r="BC1629" s="1"/>
      <c r="BD1629" s="1"/>
    </row>
    <row r="1630" spans="35:56">
      <c r="AI1630" s="1"/>
      <c r="AJ1630" s="1"/>
      <c r="AK1630" s="1"/>
      <c r="AL1630" s="1"/>
      <c r="AM1630" s="1"/>
      <c r="AN1630" s="1"/>
      <c r="AO1630" s="1"/>
      <c r="AP1630" s="1"/>
      <c r="AQ1630" s="1"/>
      <c r="AR1630" s="1"/>
      <c r="AS1630" s="1"/>
      <c r="AT1630" s="1"/>
      <c r="AU1630" s="1"/>
      <c r="AV1630" s="1"/>
      <c r="AW1630" s="1"/>
      <c r="AX1630" s="1"/>
      <c r="AY1630" s="1"/>
      <c r="AZ1630" s="1"/>
      <c r="BA1630" s="1"/>
      <c r="BB1630" s="1"/>
      <c r="BC1630" s="1"/>
      <c r="BD1630" s="1"/>
    </row>
    <row r="1631" spans="35:56">
      <c r="AI1631" s="1"/>
      <c r="AJ1631" s="1"/>
      <c r="AK1631" s="1"/>
      <c r="AL1631" s="1"/>
      <c r="AM1631" s="1"/>
      <c r="AN1631" s="1"/>
      <c r="AO1631" s="1"/>
      <c r="AP1631" s="1"/>
      <c r="AQ1631" s="1"/>
      <c r="AR1631" s="1"/>
      <c r="AS1631" s="1"/>
      <c r="AT1631" s="1"/>
      <c r="AU1631" s="1"/>
      <c r="AV1631" s="1"/>
      <c r="AW1631" s="1"/>
      <c r="AX1631" s="1"/>
      <c r="AY1631" s="1"/>
      <c r="AZ1631" s="1"/>
      <c r="BA1631" s="1"/>
      <c r="BB1631" s="1"/>
      <c r="BC1631" s="1"/>
      <c r="BD1631" s="1"/>
    </row>
    <row r="1632" spans="35:56">
      <c r="AI1632" s="1"/>
      <c r="AJ1632" s="1"/>
      <c r="AK1632" s="1"/>
      <c r="AL1632" s="1"/>
      <c r="AM1632" s="1"/>
      <c r="AN1632" s="1"/>
      <c r="AO1632" s="1"/>
      <c r="AP1632" s="1"/>
      <c r="AQ1632" s="1"/>
      <c r="AR1632" s="1"/>
      <c r="AS1632" s="1"/>
      <c r="AT1632" s="1"/>
      <c r="AU1632" s="1"/>
      <c r="AV1632" s="1"/>
      <c r="AW1632" s="1"/>
      <c r="AX1632" s="1"/>
      <c r="AY1632" s="1"/>
      <c r="AZ1632" s="1"/>
      <c r="BA1632" s="1"/>
      <c r="BB1632" s="1"/>
      <c r="BC1632" s="1"/>
      <c r="BD1632" s="1"/>
    </row>
    <row r="1633" spans="35:56">
      <c r="AI1633" s="1"/>
      <c r="AJ1633" s="1"/>
      <c r="AK1633" s="1"/>
      <c r="AL1633" s="1"/>
      <c r="AM1633" s="1"/>
      <c r="AN1633" s="1"/>
      <c r="AO1633" s="1"/>
      <c r="AP1633" s="1"/>
      <c r="AQ1633" s="1"/>
      <c r="AR1633" s="1"/>
      <c r="AS1633" s="1"/>
      <c r="AT1633" s="1"/>
      <c r="AU1633" s="1"/>
      <c r="AV1633" s="1"/>
      <c r="AW1633" s="1"/>
      <c r="AX1633" s="1"/>
      <c r="AY1633" s="1"/>
      <c r="AZ1633" s="1"/>
      <c r="BA1633" s="1"/>
      <c r="BB1633" s="1"/>
      <c r="BC1633" s="1"/>
      <c r="BD1633" s="1"/>
    </row>
    <row r="1634" spans="35:56">
      <c r="AI1634" s="1"/>
      <c r="AJ1634" s="1"/>
      <c r="AK1634" s="1"/>
      <c r="AL1634" s="1"/>
      <c r="AM1634" s="1"/>
      <c r="AN1634" s="1"/>
      <c r="AO1634" s="1"/>
      <c r="AP1634" s="1"/>
      <c r="AQ1634" s="1"/>
      <c r="AR1634" s="1"/>
      <c r="AS1634" s="1"/>
      <c r="AT1634" s="1"/>
      <c r="AU1634" s="1"/>
      <c r="AV1634" s="1"/>
      <c r="AW1634" s="1"/>
      <c r="AX1634" s="1"/>
      <c r="AY1634" s="1"/>
      <c r="AZ1634" s="1"/>
      <c r="BA1634" s="1"/>
      <c r="BB1634" s="1"/>
      <c r="BC1634" s="1"/>
      <c r="BD1634" s="1"/>
    </row>
    <row r="1635" spans="35:56">
      <c r="AI1635" s="1"/>
      <c r="AJ1635" s="1"/>
      <c r="AK1635" s="1"/>
      <c r="AL1635" s="1"/>
      <c r="AM1635" s="1"/>
      <c r="AN1635" s="1"/>
      <c r="AO1635" s="1"/>
      <c r="AP1635" s="1"/>
      <c r="AQ1635" s="1"/>
      <c r="AR1635" s="1"/>
      <c r="AS1635" s="1"/>
      <c r="AT1635" s="1"/>
      <c r="AU1635" s="1"/>
      <c r="AV1635" s="1"/>
      <c r="AW1635" s="1"/>
      <c r="AX1635" s="1"/>
      <c r="AY1635" s="1"/>
      <c r="AZ1635" s="1"/>
      <c r="BA1635" s="1"/>
      <c r="BB1635" s="1"/>
      <c r="BC1635" s="1"/>
      <c r="BD1635" s="1"/>
    </row>
    <row r="1636" spans="35:56">
      <c r="AI1636" s="1"/>
      <c r="AJ1636" s="1"/>
      <c r="AK1636" s="1"/>
      <c r="AL1636" s="1"/>
      <c r="AM1636" s="1"/>
      <c r="AN1636" s="1"/>
      <c r="AO1636" s="1"/>
      <c r="AP1636" s="1"/>
      <c r="AQ1636" s="1"/>
      <c r="AR1636" s="1"/>
      <c r="AS1636" s="1"/>
      <c r="AT1636" s="1"/>
      <c r="AU1636" s="1"/>
      <c r="AV1636" s="1"/>
      <c r="AW1636" s="1"/>
      <c r="AX1636" s="1"/>
      <c r="AY1636" s="1"/>
      <c r="AZ1636" s="1"/>
      <c r="BA1636" s="1"/>
      <c r="BB1636" s="1"/>
      <c r="BC1636" s="1"/>
      <c r="BD1636" s="1"/>
    </row>
    <row r="1637" spans="35:56">
      <c r="AI1637" s="1"/>
      <c r="AJ1637" s="1"/>
      <c r="AK1637" s="1"/>
      <c r="AL1637" s="1"/>
      <c r="AM1637" s="1"/>
      <c r="AN1637" s="1"/>
      <c r="AO1637" s="1"/>
      <c r="AP1637" s="1"/>
      <c r="AQ1637" s="1"/>
      <c r="AR1637" s="1"/>
      <c r="AS1637" s="1"/>
      <c r="AT1637" s="1"/>
      <c r="AU1637" s="1"/>
      <c r="AV1637" s="1"/>
      <c r="AW1637" s="1"/>
      <c r="AX1637" s="1"/>
      <c r="AY1637" s="1"/>
      <c r="AZ1637" s="1"/>
      <c r="BA1637" s="1"/>
      <c r="BB1637" s="1"/>
      <c r="BC1637" s="1"/>
      <c r="BD1637" s="1"/>
    </row>
    <row r="1638" spans="35:56">
      <c r="AI1638" s="1"/>
      <c r="AJ1638" s="1"/>
      <c r="AK1638" s="1"/>
      <c r="AL1638" s="1"/>
      <c r="AM1638" s="1"/>
      <c r="AN1638" s="1"/>
      <c r="AO1638" s="1"/>
      <c r="AP1638" s="1"/>
      <c r="AQ1638" s="1"/>
      <c r="AR1638" s="1"/>
      <c r="AS1638" s="1"/>
      <c r="AT1638" s="1"/>
      <c r="AU1638" s="1"/>
      <c r="AV1638" s="1"/>
      <c r="AW1638" s="1"/>
      <c r="AX1638" s="1"/>
      <c r="AY1638" s="1"/>
      <c r="AZ1638" s="1"/>
      <c r="BA1638" s="1"/>
      <c r="BB1638" s="1"/>
      <c r="BC1638" s="1"/>
      <c r="BD1638" s="1"/>
    </row>
    <row r="1639" spans="35:56">
      <c r="AI1639" s="1"/>
      <c r="AJ1639" s="1"/>
      <c r="AK1639" s="1"/>
      <c r="AL1639" s="1"/>
      <c r="AM1639" s="1"/>
      <c r="AN1639" s="1"/>
      <c r="AO1639" s="1"/>
      <c r="AP1639" s="1"/>
      <c r="AQ1639" s="1"/>
      <c r="AR1639" s="1"/>
      <c r="AS1639" s="1"/>
      <c r="AT1639" s="1"/>
      <c r="AU1639" s="1"/>
      <c r="AV1639" s="1"/>
      <c r="AW1639" s="1"/>
      <c r="AX1639" s="1"/>
      <c r="AY1639" s="1"/>
      <c r="AZ1639" s="1"/>
      <c r="BA1639" s="1"/>
      <c r="BB1639" s="1"/>
      <c r="BC1639" s="1"/>
      <c r="BD1639" s="1"/>
    </row>
    <row r="1640" spans="35:56">
      <c r="AI1640" s="1"/>
      <c r="AJ1640" s="1"/>
      <c r="AK1640" s="1"/>
      <c r="AL1640" s="1"/>
      <c r="AM1640" s="1"/>
      <c r="AN1640" s="1"/>
      <c r="AO1640" s="1"/>
      <c r="AP1640" s="1"/>
      <c r="AQ1640" s="1"/>
      <c r="AR1640" s="1"/>
      <c r="AS1640" s="1"/>
      <c r="AT1640" s="1"/>
      <c r="AU1640" s="1"/>
      <c r="AV1640" s="1"/>
      <c r="AW1640" s="1"/>
      <c r="AX1640" s="1"/>
      <c r="AY1640" s="1"/>
      <c r="AZ1640" s="1"/>
      <c r="BA1640" s="1"/>
      <c r="BB1640" s="1"/>
      <c r="BC1640" s="1"/>
      <c r="BD1640" s="1"/>
    </row>
    <row r="1641" spans="35:56">
      <c r="AI1641" s="1"/>
      <c r="AJ1641" s="1"/>
      <c r="AK1641" s="1"/>
      <c r="AL1641" s="1"/>
      <c r="AM1641" s="1"/>
      <c r="AN1641" s="1"/>
      <c r="AO1641" s="1"/>
      <c r="AP1641" s="1"/>
      <c r="AQ1641" s="1"/>
      <c r="AR1641" s="1"/>
      <c r="AS1641" s="1"/>
      <c r="AT1641" s="1"/>
      <c r="AU1641" s="1"/>
      <c r="AV1641" s="1"/>
      <c r="AW1641" s="1"/>
      <c r="AX1641" s="1"/>
      <c r="AY1641" s="1"/>
      <c r="AZ1641" s="1"/>
      <c r="BA1641" s="1"/>
      <c r="BB1641" s="1"/>
      <c r="BC1641" s="1"/>
      <c r="BD1641" s="1"/>
    </row>
    <row r="1642" spans="35:56">
      <c r="AI1642" s="1"/>
      <c r="AJ1642" s="1"/>
      <c r="AK1642" s="1"/>
      <c r="AL1642" s="1"/>
      <c r="AM1642" s="1"/>
      <c r="AN1642" s="1"/>
      <c r="AO1642" s="1"/>
      <c r="AP1642" s="1"/>
      <c r="AQ1642" s="1"/>
      <c r="AR1642" s="1"/>
      <c r="AS1642" s="1"/>
      <c r="AT1642" s="1"/>
      <c r="AU1642" s="1"/>
      <c r="AV1642" s="1"/>
      <c r="AW1642" s="1"/>
      <c r="AX1642" s="1"/>
      <c r="AY1642" s="1"/>
      <c r="AZ1642" s="1"/>
      <c r="BA1642" s="1"/>
      <c r="BB1642" s="1"/>
      <c r="BC1642" s="1"/>
      <c r="BD1642" s="1"/>
    </row>
    <row r="1643" spans="35:56">
      <c r="AI1643" s="1"/>
      <c r="AJ1643" s="1"/>
      <c r="AK1643" s="1"/>
      <c r="AL1643" s="1"/>
      <c r="AM1643" s="1"/>
      <c r="AN1643" s="1"/>
      <c r="AO1643" s="1"/>
      <c r="AP1643" s="1"/>
      <c r="AQ1643" s="1"/>
      <c r="AR1643" s="1"/>
      <c r="AS1643" s="1"/>
      <c r="AT1643" s="1"/>
      <c r="AU1643" s="1"/>
      <c r="AV1643" s="1"/>
      <c r="AW1643" s="1"/>
      <c r="AX1643" s="1"/>
      <c r="AY1643" s="1"/>
      <c r="AZ1643" s="1"/>
      <c r="BA1643" s="1"/>
      <c r="BB1643" s="1"/>
      <c r="BC1643" s="1"/>
      <c r="BD1643" s="1"/>
    </row>
    <row r="1644" spans="35:56">
      <c r="AI1644" s="1"/>
      <c r="AJ1644" s="1"/>
      <c r="AK1644" s="1"/>
      <c r="AL1644" s="1"/>
      <c r="AM1644" s="1"/>
      <c r="AN1644" s="1"/>
      <c r="AO1644" s="1"/>
      <c r="AP1644" s="1"/>
      <c r="AQ1644" s="1"/>
      <c r="AR1644" s="1"/>
      <c r="AS1644" s="1"/>
      <c r="AT1644" s="1"/>
      <c r="AU1644" s="1"/>
      <c r="AV1644" s="1"/>
      <c r="AW1644" s="1"/>
      <c r="AX1644" s="1"/>
      <c r="AY1644" s="1"/>
      <c r="AZ1644" s="1"/>
      <c r="BA1644" s="1"/>
      <c r="BB1644" s="1"/>
      <c r="BC1644" s="1"/>
      <c r="BD1644" s="1"/>
    </row>
    <row r="1645" spans="35:56">
      <c r="AI1645" s="1"/>
      <c r="AJ1645" s="1"/>
      <c r="AK1645" s="1"/>
      <c r="AL1645" s="1"/>
      <c r="AM1645" s="1"/>
      <c r="AN1645" s="1"/>
      <c r="AO1645" s="1"/>
      <c r="AP1645" s="1"/>
      <c r="AQ1645" s="1"/>
      <c r="AR1645" s="1"/>
      <c r="AS1645" s="1"/>
      <c r="AT1645" s="1"/>
      <c r="AU1645" s="1"/>
      <c r="AV1645" s="1"/>
      <c r="AW1645" s="1"/>
      <c r="AX1645" s="1"/>
      <c r="AY1645" s="1"/>
      <c r="AZ1645" s="1"/>
      <c r="BA1645" s="1"/>
      <c r="BB1645" s="1"/>
      <c r="BC1645" s="1"/>
      <c r="BD1645" s="1"/>
    </row>
    <row r="1646" spans="35:56">
      <c r="AI1646" s="1"/>
      <c r="AJ1646" s="1"/>
      <c r="AK1646" s="1"/>
      <c r="AL1646" s="1"/>
      <c r="AM1646" s="1"/>
      <c r="AN1646" s="1"/>
      <c r="AO1646" s="1"/>
      <c r="AP1646" s="1"/>
      <c r="AQ1646" s="1"/>
      <c r="AR1646" s="1"/>
      <c r="AS1646" s="1"/>
      <c r="AT1646" s="1"/>
      <c r="AU1646" s="1"/>
      <c r="AV1646" s="1"/>
      <c r="AW1646" s="1"/>
      <c r="AX1646" s="1"/>
      <c r="AY1646" s="1"/>
      <c r="AZ1646" s="1"/>
      <c r="BA1646" s="1"/>
      <c r="BB1646" s="1"/>
      <c r="BC1646" s="1"/>
      <c r="BD1646" s="1"/>
    </row>
    <row r="1647" spans="35:56">
      <c r="AI1647" s="1"/>
      <c r="AJ1647" s="1"/>
      <c r="AK1647" s="1"/>
      <c r="AL1647" s="1"/>
      <c r="AM1647" s="1"/>
      <c r="AN1647" s="1"/>
      <c r="AO1647" s="1"/>
      <c r="AP1647" s="1"/>
      <c r="AQ1647" s="1"/>
      <c r="AR1647" s="1"/>
      <c r="AS1647" s="1"/>
      <c r="AT1647" s="1"/>
      <c r="AU1647" s="1"/>
      <c r="AV1647" s="1"/>
      <c r="AW1647" s="1"/>
      <c r="AX1647" s="1"/>
      <c r="AY1647" s="1"/>
      <c r="AZ1647" s="1"/>
      <c r="BA1647" s="1"/>
      <c r="BB1647" s="1"/>
      <c r="BC1647" s="1"/>
      <c r="BD1647" s="1"/>
    </row>
    <row r="1648" spans="35:56">
      <c r="AI1648" s="1"/>
      <c r="AJ1648" s="1"/>
      <c r="AK1648" s="1"/>
      <c r="AL1648" s="1"/>
      <c r="AM1648" s="1"/>
      <c r="AN1648" s="1"/>
      <c r="AO1648" s="1"/>
      <c r="AP1648" s="1"/>
      <c r="AQ1648" s="1"/>
      <c r="AR1648" s="1"/>
      <c r="AS1648" s="1"/>
      <c r="AT1648" s="1"/>
      <c r="AU1648" s="1"/>
      <c r="AV1648" s="1"/>
      <c r="AW1648" s="1"/>
      <c r="AX1648" s="1"/>
      <c r="AY1648" s="1"/>
      <c r="AZ1648" s="1"/>
      <c r="BA1648" s="1"/>
      <c r="BB1648" s="1"/>
      <c r="BC1648" s="1"/>
      <c r="BD1648" s="1"/>
    </row>
    <row r="1649" spans="35:56">
      <c r="AI1649" s="1"/>
      <c r="AJ1649" s="1"/>
      <c r="AK1649" s="1"/>
      <c r="AL1649" s="1"/>
      <c r="AM1649" s="1"/>
      <c r="AN1649" s="1"/>
      <c r="AO1649" s="1"/>
      <c r="AP1649" s="1"/>
      <c r="AQ1649" s="1"/>
      <c r="AR1649" s="1"/>
      <c r="AS1649" s="1"/>
      <c r="AT1649" s="1"/>
      <c r="AU1649" s="1"/>
      <c r="AV1649" s="1"/>
      <c r="AW1649" s="1"/>
      <c r="AX1649" s="1"/>
      <c r="AY1649" s="1"/>
      <c r="AZ1649" s="1"/>
      <c r="BA1649" s="1"/>
      <c r="BB1649" s="1"/>
      <c r="BC1649" s="1"/>
      <c r="BD1649" s="1"/>
    </row>
    <row r="1650" spans="35:56">
      <c r="AI1650" s="1"/>
      <c r="AJ1650" s="1"/>
      <c r="AK1650" s="1"/>
      <c r="AL1650" s="1"/>
      <c r="AM1650" s="1"/>
      <c r="AN1650" s="1"/>
      <c r="AO1650" s="1"/>
      <c r="AP1650" s="1"/>
      <c r="AQ1650" s="1"/>
      <c r="AR1650" s="1"/>
      <c r="AS1650" s="1"/>
      <c r="AT1650" s="1"/>
      <c r="AU1650" s="1"/>
      <c r="AV1650" s="1"/>
      <c r="AW1650" s="1"/>
      <c r="AX1650" s="1"/>
      <c r="AY1650" s="1"/>
      <c r="AZ1650" s="1"/>
      <c r="BA1650" s="1"/>
      <c r="BB1650" s="1"/>
      <c r="BC1650" s="1"/>
      <c r="BD1650" s="1"/>
    </row>
    <row r="1651" spans="35:56">
      <c r="AI1651" s="1"/>
      <c r="AJ1651" s="1"/>
      <c r="AK1651" s="1"/>
      <c r="AL1651" s="1"/>
      <c r="AM1651" s="1"/>
      <c r="AN1651" s="1"/>
      <c r="AO1651" s="1"/>
      <c r="AP1651" s="1"/>
      <c r="AQ1651" s="1"/>
      <c r="AR1651" s="1"/>
      <c r="AS1651" s="1"/>
      <c r="AT1651" s="1"/>
      <c r="AU1651" s="1"/>
      <c r="AV1651" s="1"/>
      <c r="AW1651" s="1"/>
      <c r="AX1651" s="1"/>
      <c r="AY1651" s="1"/>
      <c r="AZ1651" s="1"/>
      <c r="BA1651" s="1"/>
      <c r="BB1651" s="1"/>
      <c r="BC1651" s="1"/>
      <c r="BD1651" s="1"/>
    </row>
    <row r="1652" spans="35:56">
      <c r="AI1652" s="1"/>
      <c r="AJ1652" s="1"/>
      <c r="AK1652" s="1"/>
      <c r="AL1652" s="1"/>
      <c r="AM1652" s="1"/>
      <c r="AN1652" s="1"/>
      <c r="AO1652" s="1"/>
      <c r="AP1652" s="1"/>
      <c r="AQ1652" s="1"/>
      <c r="AR1652" s="1"/>
      <c r="AS1652" s="1"/>
      <c r="AT1652" s="1"/>
      <c r="AU1652" s="1"/>
      <c r="AV1652" s="1"/>
      <c r="AW1652" s="1"/>
      <c r="AX1652" s="1"/>
      <c r="AY1652" s="1"/>
      <c r="AZ1652" s="1"/>
      <c r="BA1652" s="1"/>
      <c r="BB1652" s="1"/>
      <c r="BC1652" s="1"/>
      <c r="BD1652" s="1"/>
    </row>
    <row r="1653" spans="35:56">
      <c r="AI1653" s="1"/>
      <c r="AJ1653" s="1"/>
      <c r="AK1653" s="1"/>
      <c r="AL1653" s="1"/>
      <c r="AM1653" s="1"/>
      <c r="AN1653" s="1"/>
      <c r="AO1653" s="1"/>
      <c r="AP1653" s="1"/>
      <c r="AQ1653" s="1"/>
      <c r="AR1653" s="1"/>
      <c r="AS1653" s="1"/>
      <c r="AT1653" s="1"/>
      <c r="AU1653" s="1"/>
      <c r="AV1653" s="1"/>
      <c r="AW1653" s="1"/>
      <c r="AX1653" s="1"/>
      <c r="AY1653" s="1"/>
      <c r="AZ1653" s="1"/>
      <c r="BA1653" s="1"/>
      <c r="BB1653" s="1"/>
      <c r="BC1653" s="1"/>
      <c r="BD1653" s="1"/>
    </row>
    <row r="1654" spans="35:56">
      <c r="AI1654" s="1"/>
      <c r="AJ1654" s="1"/>
      <c r="AK1654" s="1"/>
      <c r="AL1654" s="1"/>
      <c r="AM1654" s="1"/>
      <c r="AN1654" s="1"/>
      <c r="AO1654" s="1"/>
      <c r="AP1654" s="1"/>
      <c r="AQ1654" s="1"/>
      <c r="AR1654" s="1"/>
      <c r="AS1654" s="1"/>
      <c r="AT1654" s="1"/>
      <c r="AU1654" s="1"/>
      <c r="AV1654" s="1"/>
      <c r="AW1654" s="1"/>
      <c r="AX1654" s="1"/>
      <c r="AY1654" s="1"/>
      <c r="AZ1654" s="1"/>
      <c r="BA1654" s="1"/>
      <c r="BB1654" s="1"/>
      <c r="BC1654" s="1"/>
      <c r="BD1654" s="1"/>
    </row>
    <row r="1655" spans="35:56">
      <c r="AI1655" s="1"/>
      <c r="AJ1655" s="1"/>
      <c r="AK1655" s="1"/>
      <c r="AL1655" s="1"/>
      <c r="AM1655" s="1"/>
      <c r="AN1655" s="1"/>
      <c r="AO1655" s="1"/>
      <c r="AP1655" s="1"/>
      <c r="AQ1655" s="1"/>
      <c r="AR1655" s="1"/>
      <c r="AS1655" s="1"/>
      <c r="AT1655" s="1"/>
      <c r="AU1655" s="1"/>
      <c r="AV1655" s="1"/>
      <c r="AW1655" s="1"/>
      <c r="AX1655" s="1"/>
      <c r="AY1655" s="1"/>
      <c r="AZ1655" s="1"/>
      <c r="BA1655" s="1"/>
      <c r="BB1655" s="1"/>
      <c r="BC1655" s="1"/>
      <c r="BD1655" s="1"/>
    </row>
    <row r="1656" spans="35:56">
      <c r="AI1656" s="1"/>
      <c r="AJ1656" s="1"/>
      <c r="AK1656" s="1"/>
      <c r="AL1656" s="1"/>
      <c r="AM1656" s="1"/>
      <c r="AN1656" s="1"/>
      <c r="AO1656" s="1"/>
      <c r="AP1656" s="1"/>
      <c r="AQ1656" s="1"/>
      <c r="AR1656" s="1"/>
      <c r="AS1656" s="1"/>
      <c r="AT1656" s="1"/>
      <c r="AU1656" s="1"/>
      <c r="AV1656" s="1"/>
      <c r="AW1656" s="1"/>
      <c r="AX1656" s="1"/>
      <c r="AY1656" s="1"/>
      <c r="AZ1656" s="1"/>
      <c r="BA1656" s="1"/>
      <c r="BB1656" s="1"/>
      <c r="BC1656" s="1"/>
      <c r="BD1656" s="1"/>
    </row>
    <row r="1657" spans="35:56">
      <c r="AI1657" s="1"/>
      <c r="AJ1657" s="1"/>
      <c r="AK1657" s="1"/>
      <c r="AL1657" s="1"/>
      <c r="AM1657" s="1"/>
      <c r="AN1657" s="1"/>
      <c r="AO1657" s="1"/>
      <c r="AP1657" s="1"/>
      <c r="AQ1657" s="1"/>
      <c r="AR1657" s="1"/>
      <c r="AS1657" s="1"/>
      <c r="AT1657" s="1"/>
      <c r="AU1657" s="1"/>
      <c r="AV1657" s="1"/>
      <c r="AW1657" s="1"/>
      <c r="AX1657" s="1"/>
      <c r="AY1657" s="1"/>
      <c r="AZ1657" s="1"/>
      <c r="BA1657" s="1"/>
      <c r="BB1657" s="1"/>
      <c r="BC1657" s="1"/>
      <c r="BD1657" s="1"/>
    </row>
    <row r="1658" spans="35:56">
      <c r="AI1658" s="1"/>
      <c r="AJ1658" s="1"/>
      <c r="AK1658" s="1"/>
      <c r="AL1658" s="1"/>
      <c r="AM1658" s="1"/>
      <c r="AN1658" s="1"/>
      <c r="AO1658" s="1"/>
      <c r="AP1658" s="1"/>
      <c r="AQ1658" s="1"/>
      <c r="AR1658" s="1"/>
      <c r="AS1658" s="1"/>
      <c r="AT1658" s="1"/>
      <c r="AU1658" s="1"/>
      <c r="AV1658" s="1"/>
      <c r="AW1658" s="1"/>
      <c r="AX1658" s="1"/>
      <c r="AY1658" s="1"/>
      <c r="AZ1658" s="1"/>
      <c r="BA1658" s="1"/>
      <c r="BB1658" s="1"/>
      <c r="BC1658" s="1"/>
      <c r="BD1658" s="1"/>
    </row>
    <row r="1659" spans="35:56">
      <c r="AI1659" s="1"/>
      <c r="AJ1659" s="1"/>
      <c r="AK1659" s="1"/>
      <c r="AL1659" s="1"/>
      <c r="AM1659" s="1"/>
      <c r="AN1659" s="1"/>
      <c r="AO1659" s="1"/>
      <c r="AP1659" s="1"/>
      <c r="AQ1659" s="1"/>
      <c r="AR1659" s="1"/>
      <c r="AS1659" s="1"/>
      <c r="AT1659" s="1"/>
      <c r="AU1659" s="1"/>
      <c r="AV1659" s="1"/>
      <c r="AW1659" s="1"/>
      <c r="AX1659" s="1"/>
      <c r="AY1659" s="1"/>
      <c r="AZ1659" s="1"/>
      <c r="BA1659" s="1"/>
      <c r="BB1659" s="1"/>
      <c r="BC1659" s="1"/>
      <c r="BD1659" s="1"/>
    </row>
    <row r="1660" spans="35:56">
      <c r="AI1660" s="1"/>
      <c r="AJ1660" s="1"/>
      <c r="AK1660" s="1"/>
      <c r="AL1660" s="1"/>
      <c r="AM1660" s="1"/>
      <c r="AN1660" s="1"/>
      <c r="AO1660" s="1"/>
      <c r="AP1660" s="1"/>
      <c r="AQ1660" s="1"/>
      <c r="AR1660" s="1"/>
      <c r="AS1660" s="1"/>
      <c r="AT1660" s="1"/>
      <c r="AU1660" s="1"/>
      <c r="AV1660" s="1"/>
      <c r="AW1660" s="1"/>
      <c r="AX1660" s="1"/>
      <c r="AY1660" s="1"/>
      <c r="AZ1660" s="1"/>
      <c r="BA1660" s="1"/>
      <c r="BB1660" s="1"/>
      <c r="BC1660" s="1"/>
      <c r="BD1660" s="1"/>
    </row>
    <row r="1661" spans="35:56">
      <c r="AI1661" s="1"/>
      <c r="AJ1661" s="1"/>
      <c r="AK1661" s="1"/>
      <c r="AL1661" s="1"/>
      <c r="AM1661" s="1"/>
      <c r="AN1661" s="1"/>
      <c r="AO1661" s="1"/>
      <c r="AP1661" s="1"/>
      <c r="AQ1661" s="1"/>
      <c r="AR1661" s="1"/>
      <c r="AS1661" s="1"/>
      <c r="AT1661" s="1"/>
      <c r="AU1661" s="1"/>
      <c r="AV1661" s="1"/>
      <c r="AW1661" s="1"/>
      <c r="AX1661" s="1"/>
      <c r="AY1661" s="1"/>
      <c r="AZ1661" s="1"/>
      <c r="BA1661" s="1"/>
      <c r="BB1661" s="1"/>
      <c r="BC1661" s="1"/>
      <c r="BD1661" s="1"/>
    </row>
    <row r="1662" spans="35:56">
      <c r="AI1662" s="1"/>
      <c r="AJ1662" s="1"/>
      <c r="AK1662" s="1"/>
      <c r="AL1662" s="1"/>
      <c r="AM1662" s="1"/>
      <c r="AN1662" s="1"/>
      <c r="AO1662" s="1"/>
      <c r="AP1662" s="1"/>
      <c r="AQ1662" s="1"/>
      <c r="AR1662" s="1"/>
      <c r="AS1662" s="1"/>
      <c r="AT1662" s="1"/>
      <c r="AU1662" s="1"/>
      <c r="AV1662" s="1"/>
      <c r="AW1662" s="1"/>
      <c r="AX1662" s="1"/>
      <c r="AY1662" s="1"/>
      <c r="AZ1662" s="1"/>
      <c r="BA1662" s="1"/>
      <c r="BB1662" s="1"/>
      <c r="BC1662" s="1"/>
      <c r="BD1662" s="1"/>
    </row>
    <row r="1663" spans="35:56">
      <c r="AI1663" s="1"/>
      <c r="AJ1663" s="1"/>
      <c r="AK1663" s="1"/>
      <c r="AL1663" s="1"/>
      <c r="AM1663" s="1"/>
      <c r="AN1663" s="1"/>
      <c r="AO1663" s="1"/>
      <c r="AP1663" s="1"/>
      <c r="AQ1663" s="1"/>
      <c r="AR1663" s="1"/>
      <c r="AS1663" s="1"/>
      <c r="AT1663" s="1"/>
      <c r="AU1663" s="1"/>
      <c r="AV1663" s="1"/>
      <c r="AW1663" s="1"/>
      <c r="AX1663" s="1"/>
      <c r="AY1663" s="1"/>
      <c r="AZ1663" s="1"/>
      <c r="BA1663" s="1"/>
      <c r="BB1663" s="1"/>
      <c r="BC1663" s="1"/>
      <c r="BD1663" s="1"/>
    </row>
    <row r="1664" spans="35:56">
      <c r="AI1664" s="1"/>
      <c r="AJ1664" s="1"/>
      <c r="AK1664" s="1"/>
      <c r="AL1664" s="1"/>
      <c r="AM1664" s="1"/>
      <c r="AN1664" s="1"/>
      <c r="AO1664" s="1"/>
      <c r="AP1664" s="1"/>
      <c r="AQ1664" s="1"/>
      <c r="AR1664" s="1"/>
      <c r="AS1664" s="1"/>
      <c r="AT1664" s="1"/>
      <c r="AU1664" s="1"/>
      <c r="AV1664" s="1"/>
      <c r="AW1664" s="1"/>
      <c r="AX1664" s="1"/>
      <c r="AY1664" s="1"/>
      <c r="AZ1664" s="1"/>
      <c r="BA1664" s="1"/>
      <c r="BB1664" s="1"/>
      <c r="BC1664" s="1"/>
      <c r="BD1664" s="1"/>
    </row>
    <row r="1665" spans="35:56">
      <c r="AI1665" s="1"/>
      <c r="AJ1665" s="1"/>
      <c r="AK1665" s="1"/>
      <c r="AL1665" s="1"/>
      <c r="AM1665" s="1"/>
      <c r="AN1665" s="1"/>
      <c r="AO1665" s="1"/>
      <c r="AP1665" s="1"/>
      <c r="AQ1665" s="1"/>
      <c r="AR1665" s="1"/>
      <c r="AS1665" s="1"/>
      <c r="AT1665" s="1"/>
      <c r="AU1665" s="1"/>
      <c r="AV1665" s="1"/>
      <c r="AW1665" s="1"/>
      <c r="AX1665" s="1"/>
      <c r="AY1665" s="1"/>
      <c r="AZ1665" s="1"/>
      <c r="BA1665" s="1"/>
      <c r="BB1665" s="1"/>
      <c r="BC1665" s="1"/>
      <c r="BD1665" s="1"/>
    </row>
    <row r="1666" spans="35:56">
      <c r="AI1666" s="1"/>
      <c r="AJ1666" s="1"/>
      <c r="AK1666" s="1"/>
      <c r="AL1666" s="1"/>
      <c r="AM1666" s="1"/>
      <c r="AN1666" s="1"/>
      <c r="AO1666" s="1"/>
      <c r="AP1666" s="1"/>
      <c r="AQ1666" s="1"/>
      <c r="AR1666" s="1"/>
      <c r="AS1666" s="1"/>
      <c r="AT1666" s="1"/>
      <c r="AU1666" s="1"/>
      <c r="AV1666" s="1"/>
      <c r="AW1666" s="1"/>
      <c r="AX1666" s="1"/>
      <c r="AY1666" s="1"/>
      <c r="AZ1666" s="1"/>
      <c r="BA1666" s="1"/>
      <c r="BB1666" s="1"/>
      <c r="BC1666" s="1"/>
      <c r="BD1666" s="1"/>
    </row>
    <row r="1667" spans="35:56">
      <c r="AI1667" s="1"/>
      <c r="AJ1667" s="1"/>
      <c r="AK1667" s="1"/>
      <c r="AL1667" s="1"/>
      <c r="AM1667" s="1"/>
      <c r="AN1667" s="1"/>
      <c r="AO1667" s="1"/>
      <c r="AP1667" s="1"/>
      <c r="AQ1667" s="1"/>
      <c r="AR1667" s="1"/>
      <c r="AS1667" s="1"/>
      <c r="AT1667" s="1"/>
      <c r="AU1667" s="1"/>
      <c r="AV1667" s="1"/>
      <c r="AW1667" s="1"/>
      <c r="AX1667" s="1"/>
      <c r="AY1667" s="1"/>
      <c r="AZ1667" s="1"/>
      <c r="BA1667" s="1"/>
      <c r="BB1667" s="1"/>
      <c r="BC1667" s="1"/>
      <c r="BD1667" s="1"/>
    </row>
    <row r="1668" spans="35:56">
      <c r="AI1668" s="1"/>
      <c r="AJ1668" s="1"/>
      <c r="AK1668" s="1"/>
      <c r="AL1668" s="1"/>
      <c r="AM1668" s="1"/>
      <c r="AN1668" s="1"/>
      <c r="AO1668" s="1"/>
      <c r="AP1668" s="1"/>
      <c r="AQ1668" s="1"/>
      <c r="AR1668" s="1"/>
      <c r="AS1668" s="1"/>
      <c r="AT1668" s="1"/>
      <c r="AU1668" s="1"/>
      <c r="AV1668" s="1"/>
      <c r="AW1668" s="1"/>
      <c r="AX1668" s="1"/>
      <c r="AY1668" s="1"/>
      <c r="AZ1668" s="1"/>
      <c r="BA1668" s="1"/>
      <c r="BB1668" s="1"/>
      <c r="BC1668" s="1"/>
      <c r="BD1668" s="1"/>
    </row>
    <row r="1669" spans="35:56">
      <c r="AI1669" s="1"/>
      <c r="AJ1669" s="1"/>
      <c r="AK1669" s="1"/>
      <c r="AL1669" s="1"/>
      <c r="AM1669" s="1"/>
      <c r="AN1669" s="1"/>
      <c r="AO1669" s="1"/>
      <c r="AP1669" s="1"/>
      <c r="AQ1669" s="1"/>
      <c r="AR1669" s="1"/>
      <c r="AS1669" s="1"/>
      <c r="AT1669" s="1"/>
      <c r="AU1669" s="1"/>
      <c r="AV1669" s="1"/>
      <c r="AW1669" s="1"/>
      <c r="AX1669" s="1"/>
      <c r="AY1669" s="1"/>
      <c r="AZ1669" s="1"/>
      <c r="BA1669" s="1"/>
      <c r="BB1669" s="1"/>
      <c r="BC1669" s="1"/>
      <c r="BD1669" s="1"/>
    </row>
    <row r="1670" spans="35:56">
      <c r="AI1670" s="1"/>
      <c r="AJ1670" s="1"/>
      <c r="AK1670" s="1"/>
      <c r="AL1670" s="1"/>
      <c r="AM1670" s="1"/>
      <c r="AN1670" s="1"/>
      <c r="AO1670" s="1"/>
      <c r="AP1670" s="1"/>
      <c r="AQ1670" s="1"/>
      <c r="AR1670" s="1"/>
      <c r="AS1670" s="1"/>
      <c r="AT1670" s="1"/>
      <c r="AU1670" s="1"/>
      <c r="AV1670" s="1"/>
      <c r="AW1670" s="1"/>
      <c r="AX1670" s="1"/>
      <c r="AY1670" s="1"/>
      <c r="AZ1670" s="1"/>
      <c r="BA1670" s="1"/>
      <c r="BB1670" s="1"/>
      <c r="BC1670" s="1"/>
      <c r="BD1670" s="1"/>
    </row>
    <row r="1671" spans="35:56">
      <c r="AI1671" s="1"/>
      <c r="AJ1671" s="1"/>
      <c r="AK1671" s="1"/>
      <c r="AL1671" s="1"/>
      <c r="AM1671" s="1"/>
      <c r="AN1671" s="1"/>
      <c r="AO1671" s="1"/>
      <c r="AP1671" s="1"/>
      <c r="AQ1671" s="1"/>
      <c r="AR1671" s="1"/>
      <c r="AS1671" s="1"/>
      <c r="AT1671" s="1"/>
      <c r="AU1671" s="1"/>
      <c r="AV1671" s="1"/>
      <c r="AW1671" s="1"/>
      <c r="AX1671" s="1"/>
      <c r="AY1671" s="1"/>
      <c r="AZ1671" s="1"/>
      <c r="BA1671" s="1"/>
      <c r="BB1671" s="1"/>
      <c r="BC1671" s="1"/>
      <c r="BD1671" s="1"/>
    </row>
    <row r="1672" spans="35:56">
      <c r="AI1672" s="1"/>
      <c r="AJ1672" s="1"/>
      <c r="AK1672" s="1"/>
      <c r="AL1672" s="1"/>
      <c r="AM1672" s="1"/>
      <c r="AN1672" s="1"/>
      <c r="AO1672" s="1"/>
      <c r="AP1672" s="1"/>
      <c r="AQ1672" s="1"/>
      <c r="AR1672" s="1"/>
      <c r="AS1672" s="1"/>
      <c r="AT1672" s="1"/>
      <c r="AU1672" s="1"/>
      <c r="AV1672" s="1"/>
      <c r="AW1672" s="1"/>
      <c r="AX1672" s="1"/>
      <c r="AY1672" s="1"/>
      <c r="AZ1672" s="1"/>
      <c r="BA1672" s="1"/>
      <c r="BB1672" s="1"/>
      <c r="BC1672" s="1"/>
      <c r="BD1672" s="1"/>
    </row>
    <row r="1673" spans="35:56">
      <c r="AI1673" s="1"/>
      <c r="AJ1673" s="1"/>
      <c r="AK1673" s="1"/>
      <c r="AL1673" s="1"/>
      <c r="AM1673" s="1"/>
      <c r="AN1673" s="1"/>
      <c r="AO1673" s="1"/>
      <c r="AP1673" s="1"/>
      <c r="AQ1673" s="1"/>
      <c r="AR1673" s="1"/>
      <c r="AS1673" s="1"/>
      <c r="AT1673" s="1"/>
      <c r="AU1673" s="1"/>
      <c r="AV1673" s="1"/>
      <c r="AW1673" s="1"/>
      <c r="AX1673" s="1"/>
      <c r="AY1673" s="1"/>
      <c r="AZ1673" s="1"/>
      <c r="BA1673" s="1"/>
      <c r="BB1673" s="1"/>
      <c r="BC1673" s="1"/>
      <c r="BD1673" s="1"/>
    </row>
    <row r="1674" spans="35:56">
      <c r="AI1674" s="1"/>
      <c r="AJ1674" s="1"/>
      <c r="AK1674" s="1"/>
      <c r="AL1674" s="1"/>
      <c r="AM1674" s="1"/>
      <c r="AN1674" s="1"/>
      <c r="AO1674" s="1"/>
      <c r="AP1674" s="1"/>
      <c r="AQ1674" s="1"/>
      <c r="AR1674" s="1"/>
      <c r="AS1674" s="1"/>
      <c r="AT1674" s="1"/>
      <c r="AU1674" s="1"/>
      <c r="AV1674" s="1"/>
      <c r="AW1674" s="1"/>
      <c r="AX1674" s="1"/>
      <c r="AY1674" s="1"/>
      <c r="AZ1674" s="1"/>
      <c r="BA1674" s="1"/>
      <c r="BB1674" s="1"/>
      <c r="BC1674" s="1"/>
      <c r="BD1674" s="1"/>
    </row>
    <row r="1675" spans="35:56">
      <c r="AI1675" s="1"/>
      <c r="AJ1675" s="1"/>
      <c r="AK1675" s="1"/>
      <c r="AL1675" s="1"/>
      <c r="AM1675" s="1"/>
      <c r="AN1675" s="1"/>
      <c r="AO1675" s="1"/>
      <c r="AP1675" s="1"/>
      <c r="AQ1675" s="1"/>
      <c r="AR1675" s="1"/>
      <c r="AS1675" s="1"/>
      <c r="AT1675" s="1"/>
      <c r="AU1675" s="1"/>
      <c r="AV1675" s="1"/>
      <c r="AW1675" s="1"/>
      <c r="AX1675" s="1"/>
      <c r="AY1675" s="1"/>
      <c r="AZ1675" s="1"/>
      <c r="BA1675" s="1"/>
      <c r="BB1675" s="1"/>
      <c r="BC1675" s="1"/>
      <c r="BD1675" s="1"/>
    </row>
    <row r="1676" spans="35:56">
      <c r="AI1676" s="1"/>
      <c r="AJ1676" s="1"/>
      <c r="AK1676" s="1"/>
      <c r="AL1676" s="1"/>
      <c r="AM1676" s="1"/>
      <c r="AN1676" s="1"/>
      <c r="AO1676" s="1"/>
      <c r="AP1676" s="1"/>
      <c r="AQ1676" s="1"/>
      <c r="AR1676" s="1"/>
      <c r="AS1676" s="1"/>
      <c r="AT1676" s="1"/>
      <c r="AU1676" s="1"/>
      <c r="AV1676" s="1"/>
      <c r="AW1676" s="1"/>
      <c r="AX1676" s="1"/>
      <c r="AY1676" s="1"/>
      <c r="AZ1676" s="1"/>
      <c r="BA1676" s="1"/>
      <c r="BB1676" s="1"/>
      <c r="BC1676" s="1"/>
      <c r="BD1676" s="1"/>
    </row>
    <row r="1677" spans="35:56">
      <c r="AI1677" s="1"/>
      <c r="AJ1677" s="1"/>
      <c r="AK1677" s="1"/>
      <c r="AL1677" s="1"/>
      <c r="AM1677" s="1"/>
      <c r="AN1677" s="1"/>
      <c r="AO1677" s="1"/>
      <c r="AP1677" s="1"/>
      <c r="AQ1677" s="1"/>
      <c r="AR1677" s="1"/>
      <c r="AS1677" s="1"/>
      <c r="AT1677" s="1"/>
      <c r="AU1677" s="1"/>
      <c r="AV1677" s="1"/>
      <c r="AW1677" s="1"/>
      <c r="AX1677" s="1"/>
      <c r="AY1677" s="1"/>
      <c r="AZ1677" s="1"/>
      <c r="BA1677" s="1"/>
      <c r="BB1677" s="1"/>
      <c r="BC1677" s="1"/>
      <c r="BD1677" s="1"/>
    </row>
    <row r="1678" spans="35:56">
      <c r="AI1678" s="1"/>
      <c r="AJ1678" s="1"/>
      <c r="AK1678" s="1"/>
      <c r="AL1678" s="1"/>
      <c r="AM1678" s="1"/>
      <c r="AN1678" s="1"/>
      <c r="AO1678" s="1"/>
      <c r="AP1678" s="1"/>
      <c r="AQ1678" s="1"/>
      <c r="AR1678" s="1"/>
      <c r="AS1678" s="1"/>
      <c r="AT1678" s="1"/>
      <c r="AU1678" s="1"/>
      <c r="AV1678" s="1"/>
      <c r="AW1678" s="1"/>
      <c r="AX1678" s="1"/>
      <c r="AY1678" s="1"/>
      <c r="AZ1678" s="1"/>
      <c r="BA1678" s="1"/>
      <c r="BB1678" s="1"/>
      <c r="BC1678" s="1"/>
      <c r="BD1678" s="1"/>
    </row>
    <row r="1679" spans="35:56">
      <c r="AI1679" s="1"/>
      <c r="AJ1679" s="1"/>
      <c r="AK1679" s="1"/>
      <c r="AL1679" s="1"/>
      <c r="AM1679" s="1"/>
      <c r="AN1679" s="1"/>
      <c r="AO1679" s="1"/>
      <c r="AP1679" s="1"/>
      <c r="AQ1679" s="1"/>
      <c r="AR1679" s="1"/>
      <c r="AS1679" s="1"/>
      <c r="AT1679" s="1"/>
      <c r="AU1679" s="1"/>
      <c r="AV1679" s="1"/>
      <c r="AW1679" s="1"/>
      <c r="AX1679" s="1"/>
      <c r="AY1679" s="1"/>
      <c r="AZ1679" s="1"/>
      <c r="BA1679" s="1"/>
      <c r="BB1679" s="1"/>
      <c r="BC1679" s="1"/>
      <c r="BD1679" s="1"/>
    </row>
    <row r="1680" spans="35:56">
      <c r="AI1680" s="1"/>
      <c r="AJ1680" s="1"/>
      <c r="AK1680" s="1"/>
      <c r="AL1680" s="1"/>
      <c r="AM1680" s="1"/>
      <c r="AN1680" s="1"/>
      <c r="AO1680" s="1"/>
      <c r="AP1680" s="1"/>
      <c r="AQ1680" s="1"/>
      <c r="AR1680" s="1"/>
      <c r="AS1680" s="1"/>
      <c r="AT1680" s="1"/>
      <c r="AU1680" s="1"/>
      <c r="AV1680" s="1"/>
      <c r="AW1680" s="1"/>
      <c r="AX1680" s="1"/>
      <c r="AY1680" s="1"/>
      <c r="AZ1680" s="1"/>
      <c r="BA1680" s="1"/>
      <c r="BB1680" s="1"/>
      <c r="BC1680" s="1"/>
      <c r="BD1680" s="1"/>
    </row>
    <row r="1681" spans="35:56">
      <c r="AI1681" s="1"/>
      <c r="AJ1681" s="1"/>
      <c r="AK1681" s="1"/>
      <c r="AL1681" s="1"/>
      <c r="AM1681" s="1"/>
      <c r="AN1681" s="1"/>
      <c r="AO1681" s="1"/>
      <c r="AP1681" s="1"/>
      <c r="AQ1681" s="1"/>
      <c r="AR1681" s="1"/>
      <c r="AS1681" s="1"/>
      <c r="AT1681" s="1"/>
      <c r="AU1681" s="1"/>
      <c r="AV1681" s="1"/>
      <c r="AW1681" s="1"/>
      <c r="AX1681" s="1"/>
      <c r="AY1681" s="1"/>
      <c r="AZ1681" s="1"/>
      <c r="BA1681" s="1"/>
      <c r="BB1681" s="1"/>
      <c r="BC1681" s="1"/>
      <c r="BD1681" s="1"/>
    </row>
    <row r="1682" spans="35:56">
      <c r="AI1682" s="1"/>
      <c r="AJ1682" s="1"/>
      <c r="AK1682" s="1"/>
      <c r="AL1682" s="1"/>
      <c r="AM1682" s="1"/>
      <c r="AN1682" s="1"/>
      <c r="AO1682" s="1"/>
      <c r="AP1682" s="1"/>
      <c r="AQ1682" s="1"/>
      <c r="AR1682" s="1"/>
      <c r="AS1682" s="1"/>
      <c r="AT1682" s="1"/>
      <c r="AU1682" s="1"/>
      <c r="AV1682" s="1"/>
      <c r="AW1682" s="1"/>
      <c r="AX1682" s="1"/>
      <c r="AY1682" s="1"/>
      <c r="AZ1682" s="1"/>
      <c r="BA1682" s="1"/>
      <c r="BB1682" s="1"/>
      <c r="BC1682" s="1"/>
      <c r="BD1682" s="1"/>
    </row>
    <row r="1683" spans="35:56">
      <c r="AI1683" s="1"/>
      <c r="AJ1683" s="1"/>
      <c r="AK1683" s="1"/>
      <c r="AL1683" s="1"/>
      <c r="AM1683" s="1"/>
      <c r="AN1683" s="1"/>
      <c r="AO1683" s="1"/>
      <c r="AP1683" s="1"/>
      <c r="AQ1683" s="1"/>
      <c r="AR1683" s="1"/>
      <c r="AS1683" s="1"/>
      <c r="AT1683" s="1"/>
      <c r="AU1683" s="1"/>
      <c r="AV1683" s="1"/>
      <c r="AW1683" s="1"/>
      <c r="AX1683" s="1"/>
      <c r="AY1683" s="1"/>
      <c r="AZ1683" s="1"/>
      <c r="BA1683" s="1"/>
      <c r="BB1683" s="1"/>
      <c r="BC1683" s="1"/>
      <c r="BD1683" s="1"/>
    </row>
    <row r="1684" spans="35:56">
      <c r="AI1684" s="1"/>
      <c r="AJ1684" s="1"/>
      <c r="AK1684" s="1"/>
      <c r="AL1684" s="1"/>
      <c r="AM1684" s="1"/>
      <c r="AN1684" s="1"/>
      <c r="AO1684" s="1"/>
      <c r="AP1684" s="1"/>
      <c r="AQ1684" s="1"/>
      <c r="AR1684" s="1"/>
      <c r="AS1684" s="1"/>
      <c r="AT1684" s="1"/>
      <c r="AU1684" s="1"/>
      <c r="AV1684" s="1"/>
      <c r="AW1684" s="1"/>
      <c r="AX1684" s="1"/>
      <c r="AY1684" s="1"/>
      <c r="AZ1684" s="1"/>
      <c r="BA1684" s="1"/>
      <c r="BB1684" s="1"/>
      <c r="BC1684" s="1"/>
      <c r="BD1684" s="1"/>
    </row>
    <row r="1685" spans="35:56">
      <c r="AI1685" s="1"/>
      <c r="AJ1685" s="1"/>
      <c r="AK1685" s="1"/>
      <c r="AL1685" s="1"/>
      <c r="AM1685" s="1"/>
      <c r="AN1685" s="1"/>
      <c r="AO1685" s="1"/>
      <c r="AP1685" s="1"/>
      <c r="AQ1685" s="1"/>
      <c r="AR1685" s="1"/>
      <c r="AS1685" s="1"/>
      <c r="AT1685" s="1"/>
      <c r="AU1685" s="1"/>
      <c r="AV1685" s="1"/>
      <c r="AW1685" s="1"/>
      <c r="AX1685" s="1"/>
      <c r="AY1685" s="1"/>
      <c r="AZ1685" s="1"/>
      <c r="BA1685" s="1"/>
      <c r="BB1685" s="1"/>
      <c r="BC1685" s="1"/>
      <c r="BD1685" s="1"/>
    </row>
    <row r="1686" spans="35:56">
      <c r="AI1686" s="1"/>
      <c r="AJ1686" s="1"/>
      <c r="AK1686" s="1"/>
      <c r="AL1686" s="1"/>
      <c r="AM1686" s="1"/>
      <c r="AN1686" s="1"/>
      <c r="AO1686" s="1"/>
      <c r="AP1686" s="1"/>
      <c r="AQ1686" s="1"/>
      <c r="AR1686" s="1"/>
      <c r="AS1686" s="1"/>
      <c r="AT1686" s="1"/>
      <c r="AU1686" s="1"/>
      <c r="AV1686" s="1"/>
      <c r="AW1686" s="1"/>
      <c r="AX1686" s="1"/>
      <c r="AY1686" s="1"/>
      <c r="AZ1686" s="1"/>
      <c r="BA1686" s="1"/>
      <c r="BB1686" s="1"/>
      <c r="BC1686" s="1"/>
      <c r="BD1686" s="1"/>
    </row>
    <row r="1687" spans="35:56">
      <c r="AI1687" s="1"/>
      <c r="AJ1687" s="1"/>
      <c r="AK1687" s="1"/>
      <c r="AL1687" s="1"/>
      <c r="AM1687" s="1"/>
      <c r="AN1687" s="1"/>
      <c r="AO1687" s="1"/>
      <c r="AP1687" s="1"/>
      <c r="AQ1687" s="1"/>
      <c r="AR1687" s="1"/>
      <c r="AS1687" s="1"/>
      <c r="AT1687" s="1"/>
      <c r="AU1687" s="1"/>
      <c r="AV1687" s="1"/>
      <c r="AW1687" s="1"/>
      <c r="AX1687" s="1"/>
      <c r="AY1687" s="1"/>
      <c r="AZ1687" s="1"/>
      <c r="BA1687" s="1"/>
      <c r="BB1687" s="1"/>
      <c r="BC1687" s="1"/>
      <c r="BD1687" s="1"/>
    </row>
    <row r="1688" spans="35:56">
      <c r="AI1688" s="1"/>
      <c r="AJ1688" s="1"/>
      <c r="AK1688" s="1"/>
      <c r="AL1688" s="1"/>
      <c r="AM1688" s="1"/>
      <c r="AN1688" s="1"/>
      <c r="AO1688" s="1"/>
      <c r="AP1688" s="1"/>
      <c r="AQ1688" s="1"/>
      <c r="AR1688" s="1"/>
      <c r="AS1688" s="1"/>
      <c r="AT1688" s="1"/>
      <c r="AU1688" s="1"/>
      <c r="AV1688" s="1"/>
      <c r="AW1688" s="1"/>
      <c r="AX1688" s="1"/>
      <c r="AY1688" s="1"/>
      <c r="AZ1688" s="1"/>
      <c r="BA1688" s="1"/>
      <c r="BB1688" s="1"/>
      <c r="BC1688" s="1"/>
      <c r="BD1688" s="1"/>
    </row>
    <row r="1689" spans="35:56">
      <c r="AI1689" s="1"/>
      <c r="AJ1689" s="1"/>
      <c r="AK1689" s="1"/>
      <c r="AL1689" s="1"/>
      <c r="AM1689" s="1"/>
      <c r="AN1689" s="1"/>
      <c r="AO1689" s="1"/>
      <c r="AP1689" s="1"/>
      <c r="AQ1689" s="1"/>
      <c r="AR1689" s="1"/>
      <c r="AS1689" s="1"/>
      <c r="AT1689" s="1"/>
      <c r="AU1689" s="1"/>
      <c r="AV1689" s="1"/>
      <c r="AW1689" s="1"/>
      <c r="AX1689" s="1"/>
      <c r="AY1689" s="1"/>
      <c r="AZ1689" s="1"/>
      <c r="BA1689" s="1"/>
      <c r="BB1689" s="1"/>
      <c r="BC1689" s="1"/>
      <c r="BD1689" s="1"/>
    </row>
    <row r="1690" spans="35:56">
      <c r="AI1690" s="1"/>
      <c r="AJ1690" s="1"/>
      <c r="AK1690" s="1"/>
      <c r="AL1690" s="1"/>
      <c r="AM1690" s="1"/>
      <c r="AN1690" s="1"/>
      <c r="AO1690" s="1"/>
      <c r="AP1690" s="1"/>
      <c r="AQ1690" s="1"/>
      <c r="AR1690" s="1"/>
      <c r="AS1690" s="1"/>
      <c r="AT1690" s="1"/>
      <c r="AU1690" s="1"/>
      <c r="AV1690" s="1"/>
      <c r="AW1690" s="1"/>
      <c r="AX1690" s="1"/>
      <c r="AY1690" s="1"/>
      <c r="AZ1690" s="1"/>
      <c r="BA1690" s="1"/>
      <c r="BB1690" s="1"/>
      <c r="BC1690" s="1"/>
      <c r="BD1690" s="1"/>
    </row>
    <row r="1691" spans="35:56">
      <c r="AI1691" s="1"/>
      <c r="AJ1691" s="1"/>
      <c r="AK1691" s="1"/>
      <c r="AL1691" s="1"/>
      <c r="AM1691" s="1"/>
      <c r="AN1691" s="1"/>
      <c r="AO1691" s="1"/>
      <c r="AP1691" s="1"/>
      <c r="AQ1691" s="1"/>
      <c r="AR1691" s="1"/>
      <c r="AS1691" s="1"/>
      <c r="AT1691" s="1"/>
      <c r="AU1691" s="1"/>
      <c r="AV1691" s="1"/>
      <c r="AW1691" s="1"/>
      <c r="AX1691" s="1"/>
      <c r="AY1691" s="1"/>
      <c r="AZ1691" s="1"/>
      <c r="BA1691" s="1"/>
      <c r="BB1691" s="1"/>
      <c r="BC1691" s="1"/>
      <c r="BD1691" s="1"/>
    </row>
    <row r="1692" spans="35:56">
      <c r="AI1692" s="1"/>
      <c r="AJ1692" s="1"/>
      <c r="AK1692" s="1"/>
      <c r="AL1692" s="1"/>
      <c r="AM1692" s="1"/>
      <c r="AN1692" s="1"/>
      <c r="AO1692" s="1"/>
      <c r="AP1692" s="1"/>
      <c r="AQ1692" s="1"/>
      <c r="AR1692" s="1"/>
      <c r="AS1692" s="1"/>
      <c r="AT1692" s="1"/>
      <c r="AU1692" s="1"/>
      <c r="AV1692" s="1"/>
      <c r="AW1692" s="1"/>
      <c r="AX1692" s="1"/>
      <c r="AY1692" s="1"/>
      <c r="AZ1692" s="1"/>
      <c r="BA1692" s="1"/>
      <c r="BB1692" s="1"/>
      <c r="BC1692" s="1"/>
      <c r="BD1692" s="1"/>
    </row>
    <row r="1693" spans="35:56">
      <c r="AI1693" s="1"/>
      <c r="AJ1693" s="1"/>
      <c r="AK1693" s="1"/>
      <c r="AL1693" s="1"/>
      <c r="AM1693" s="1"/>
      <c r="AN1693" s="1"/>
      <c r="AO1693" s="1"/>
      <c r="AP1693" s="1"/>
      <c r="AQ1693" s="1"/>
      <c r="AR1693" s="1"/>
      <c r="AS1693" s="1"/>
      <c r="AT1693" s="1"/>
      <c r="AU1693" s="1"/>
      <c r="AV1693" s="1"/>
      <c r="AW1693" s="1"/>
      <c r="AX1693" s="1"/>
      <c r="AY1693" s="1"/>
      <c r="AZ1693" s="1"/>
      <c r="BA1693" s="1"/>
      <c r="BB1693" s="1"/>
      <c r="BC1693" s="1"/>
      <c r="BD1693" s="1"/>
    </row>
    <row r="1694" spans="35:56">
      <c r="AI1694" s="1"/>
      <c r="AJ1694" s="1"/>
      <c r="AK1694" s="1"/>
      <c r="AL1694" s="1"/>
      <c r="AM1694" s="1"/>
      <c r="AN1694" s="1"/>
      <c r="AO1694" s="1"/>
      <c r="AP1694" s="1"/>
      <c r="AQ1694" s="1"/>
      <c r="AR1694" s="1"/>
      <c r="AS1694" s="1"/>
      <c r="AT1694" s="1"/>
      <c r="AU1694" s="1"/>
      <c r="AV1694" s="1"/>
      <c r="AW1694" s="1"/>
      <c r="AX1694" s="1"/>
      <c r="AY1694" s="1"/>
      <c r="AZ1694" s="1"/>
      <c r="BA1694" s="1"/>
      <c r="BB1694" s="1"/>
      <c r="BC1694" s="1"/>
      <c r="BD1694" s="1"/>
    </row>
    <row r="1695" spans="35:56">
      <c r="AI1695" s="1"/>
      <c r="AJ1695" s="1"/>
      <c r="AK1695" s="1"/>
      <c r="AL1695" s="1"/>
      <c r="AM1695" s="1"/>
      <c r="AN1695" s="1"/>
      <c r="AO1695" s="1"/>
      <c r="AP1695" s="1"/>
      <c r="AQ1695" s="1"/>
      <c r="AR1695" s="1"/>
      <c r="AS1695" s="1"/>
      <c r="AT1695" s="1"/>
      <c r="AU1695" s="1"/>
      <c r="AV1695" s="1"/>
      <c r="AW1695" s="1"/>
      <c r="AX1695" s="1"/>
      <c r="AY1695" s="1"/>
      <c r="AZ1695" s="1"/>
      <c r="BA1695" s="1"/>
      <c r="BB1695" s="1"/>
      <c r="BC1695" s="1"/>
      <c r="BD1695" s="1"/>
    </row>
    <row r="1696" spans="35:56">
      <c r="AI1696" s="1"/>
      <c r="AJ1696" s="1"/>
      <c r="AK1696" s="1"/>
      <c r="AL1696" s="1"/>
      <c r="AM1696" s="1"/>
      <c r="AN1696" s="1"/>
      <c r="AO1696" s="1"/>
      <c r="AP1696" s="1"/>
      <c r="AQ1696" s="1"/>
      <c r="AR1696" s="1"/>
      <c r="AS1696" s="1"/>
      <c r="AT1696" s="1"/>
      <c r="AU1696" s="1"/>
      <c r="AV1696" s="1"/>
      <c r="AW1696" s="1"/>
      <c r="AX1696" s="1"/>
      <c r="AY1696" s="1"/>
      <c r="AZ1696" s="1"/>
      <c r="BA1696" s="1"/>
      <c r="BB1696" s="1"/>
      <c r="BC1696" s="1"/>
      <c r="BD1696" s="1"/>
    </row>
    <row r="1697" spans="35:56">
      <c r="AI1697" s="1"/>
      <c r="AJ1697" s="1"/>
      <c r="AK1697" s="1"/>
      <c r="AL1697" s="1"/>
      <c r="AM1697" s="1"/>
      <c r="AN1697" s="1"/>
      <c r="AO1697" s="1"/>
      <c r="AP1697" s="1"/>
      <c r="AQ1697" s="1"/>
      <c r="AR1697" s="1"/>
      <c r="AS1697" s="1"/>
      <c r="AT1697" s="1"/>
      <c r="AU1697" s="1"/>
      <c r="AV1697" s="1"/>
      <c r="AW1697" s="1"/>
      <c r="AX1697" s="1"/>
      <c r="AY1697" s="1"/>
      <c r="AZ1697" s="1"/>
      <c r="BA1697" s="1"/>
      <c r="BB1697" s="1"/>
      <c r="BC1697" s="1"/>
      <c r="BD1697" s="1"/>
    </row>
    <row r="1698" spans="35:56">
      <c r="AI1698" s="1"/>
      <c r="AJ1698" s="1"/>
      <c r="AK1698" s="1"/>
      <c r="AL1698" s="1"/>
      <c r="AM1698" s="1"/>
      <c r="AN1698" s="1"/>
      <c r="AO1698" s="1"/>
      <c r="AP1698" s="1"/>
      <c r="AQ1698" s="1"/>
      <c r="AR1698" s="1"/>
      <c r="AS1698" s="1"/>
      <c r="AT1698" s="1"/>
      <c r="AU1698" s="1"/>
      <c r="AV1698" s="1"/>
      <c r="AW1698" s="1"/>
      <c r="AX1698" s="1"/>
      <c r="AY1698" s="1"/>
      <c r="AZ1698" s="1"/>
      <c r="BA1698" s="1"/>
      <c r="BB1698" s="1"/>
      <c r="BC1698" s="1"/>
      <c r="BD1698" s="1"/>
    </row>
    <row r="1699" spans="35:56">
      <c r="AI1699" s="1"/>
      <c r="AJ1699" s="1"/>
      <c r="AK1699" s="1"/>
      <c r="AL1699" s="1"/>
      <c r="AM1699" s="1"/>
      <c r="AN1699" s="1"/>
      <c r="AO1699" s="1"/>
      <c r="AP1699" s="1"/>
      <c r="AQ1699" s="1"/>
      <c r="AR1699" s="1"/>
      <c r="AS1699" s="1"/>
      <c r="AT1699" s="1"/>
      <c r="AU1699" s="1"/>
      <c r="AV1699" s="1"/>
      <c r="AW1699" s="1"/>
      <c r="AX1699" s="1"/>
      <c r="AY1699" s="1"/>
      <c r="AZ1699" s="1"/>
      <c r="BA1699" s="1"/>
      <c r="BB1699" s="1"/>
      <c r="BC1699" s="1"/>
      <c r="BD1699" s="1"/>
    </row>
    <row r="1700" spans="35:56">
      <c r="AI1700" s="1"/>
      <c r="AJ1700" s="1"/>
      <c r="AK1700" s="1"/>
      <c r="AL1700" s="1"/>
      <c r="AM1700" s="1"/>
      <c r="AN1700" s="1"/>
      <c r="AO1700" s="1"/>
      <c r="AP1700" s="1"/>
      <c r="AQ1700" s="1"/>
      <c r="AR1700" s="1"/>
      <c r="AS1700" s="1"/>
      <c r="AT1700" s="1"/>
      <c r="AU1700" s="1"/>
      <c r="AV1700" s="1"/>
      <c r="AW1700" s="1"/>
      <c r="AX1700" s="1"/>
      <c r="AY1700" s="1"/>
      <c r="AZ1700" s="1"/>
      <c r="BA1700" s="1"/>
      <c r="BB1700" s="1"/>
      <c r="BC1700" s="1"/>
      <c r="BD1700" s="1"/>
    </row>
    <row r="1701" spans="35:56">
      <c r="AI1701" s="1"/>
      <c r="AJ1701" s="1"/>
      <c r="AK1701" s="1"/>
      <c r="AL1701" s="1"/>
      <c r="AM1701" s="1"/>
      <c r="AN1701" s="1"/>
      <c r="AO1701" s="1"/>
      <c r="AP1701" s="1"/>
      <c r="AQ1701" s="1"/>
      <c r="AR1701" s="1"/>
      <c r="AS1701" s="1"/>
      <c r="AT1701" s="1"/>
      <c r="AU1701" s="1"/>
      <c r="AV1701" s="1"/>
      <c r="AW1701" s="1"/>
      <c r="AX1701" s="1"/>
      <c r="AY1701" s="1"/>
      <c r="AZ1701" s="1"/>
      <c r="BA1701" s="1"/>
      <c r="BB1701" s="1"/>
      <c r="BC1701" s="1"/>
      <c r="BD1701" s="1"/>
    </row>
    <row r="1702" spans="35:56">
      <c r="AI1702" s="1"/>
      <c r="AJ1702" s="1"/>
      <c r="AK1702" s="1"/>
      <c r="AL1702" s="1"/>
      <c r="AM1702" s="1"/>
      <c r="AN1702" s="1"/>
      <c r="AO1702" s="1"/>
      <c r="AP1702" s="1"/>
      <c r="AQ1702" s="1"/>
      <c r="AR1702" s="1"/>
      <c r="AS1702" s="1"/>
      <c r="AT1702" s="1"/>
      <c r="AU1702" s="1"/>
      <c r="AV1702" s="1"/>
      <c r="AW1702" s="1"/>
      <c r="AX1702" s="1"/>
      <c r="AY1702" s="1"/>
      <c r="AZ1702" s="1"/>
      <c r="BA1702" s="1"/>
      <c r="BB1702" s="1"/>
      <c r="BC1702" s="1"/>
      <c r="BD1702" s="1"/>
    </row>
    <row r="1703" spans="35:56">
      <c r="AI1703" s="1"/>
      <c r="AJ1703" s="1"/>
      <c r="AK1703" s="1"/>
      <c r="AL1703" s="1"/>
      <c r="AM1703" s="1"/>
      <c r="AN1703" s="1"/>
      <c r="AO1703" s="1"/>
      <c r="AP1703" s="1"/>
      <c r="AQ1703" s="1"/>
      <c r="AR1703" s="1"/>
      <c r="AS1703" s="1"/>
      <c r="AT1703" s="1"/>
      <c r="AU1703" s="1"/>
      <c r="AV1703" s="1"/>
      <c r="AW1703" s="1"/>
      <c r="AX1703" s="1"/>
      <c r="AY1703" s="1"/>
      <c r="AZ1703" s="1"/>
      <c r="BA1703" s="1"/>
      <c r="BB1703" s="1"/>
      <c r="BC1703" s="1"/>
      <c r="BD1703" s="1"/>
    </row>
    <row r="1704" spans="35:56">
      <c r="AI1704" s="1"/>
      <c r="AJ1704" s="1"/>
      <c r="AK1704" s="1"/>
      <c r="AL1704" s="1"/>
      <c r="AM1704" s="1"/>
      <c r="AN1704" s="1"/>
      <c r="AO1704" s="1"/>
      <c r="AP1704" s="1"/>
      <c r="AQ1704" s="1"/>
      <c r="AR1704" s="1"/>
      <c r="AS1704" s="1"/>
      <c r="AT1704" s="1"/>
      <c r="AU1704" s="1"/>
      <c r="AV1704" s="1"/>
      <c r="AW1704" s="1"/>
      <c r="AX1704" s="1"/>
      <c r="AY1704" s="1"/>
      <c r="AZ1704" s="1"/>
      <c r="BA1704" s="1"/>
      <c r="BB1704" s="1"/>
      <c r="BC1704" s="1"/>
      <c r="BD1704" s="1"/>
    </row>
    <row r="1705" spans="35:56">
      <c r="AI1705" s="1"/>
      <c r="AJ1705" s="1"/>
      <c r="AK1705" s="1"/>
      <c r="AL1705" s="1"/>
      <c r="AM1705" s="1"/>
      <c r="AN1705" s="1"/>
      <c r="AO1705" s="1"/>
      <c r="AP1705" s="1"/>
      <c r="AQ1705" s="1"/>
      <c r="AR1705" s="1"/>
      <c r="AS1705" s="1"/>
      <c r="AT1705" s="1"/>
      <c r="AU1705" s="1"/>
      <c r="AV1705" s="1"/>
      <c r="AW1705" s="1"/>
      <c r="AX1705" s="1"/>
      <c r="AY1705" s="1"/>
      <c r="AZ1705" s="1"/>
      <c r="BA1705" s="1"/>
      <c r="BB1705" s="1"/>
      <c r="BC1705" s="1"/>
      <c r="BD1705" s="1"/>
    </row>
    <row r="1706" spans="35:56">
      <c r="AI1706" s="1"/>
      <c r="AJ1706" s="1"/>
      <c r="AK1706" s="1"/>
      <c r="AL1706" s="1"/>
      <c r="AM1706" s="1"/>
      <c r="AN1706" s="1"/>
      <c r="AO1706" s="1"/>
      <c r="AP1706" s="1"/>
      <c r="AQ1706" s="1"/>
      <c r="AR1706" s="1"/>
      <c r="AS1706" s="1"/>
      <c r="AT1706" s="1"/>
      <c r="AU1706" s="1"/>
      <c r="AV1706" s="1"/>
      <c r="AW1706" s="1"/>
      <c r="AX1706" s="1"/>
      <c r="AY1706" s="1"/>
      <c r="AZ1706" s="1"/>
      <c r="BA1706" s="1"/>
      <c r="BB1706" s="1"/>
      <c r="BC1706" s="1"/>
      <c r="BD1706" s="1"/>
    </row>
    <row r="1707" spans="35:56">
      <c r="AI1707" s="1"/>
      <c r="AJ1707" s="1"/>
      <c r="AK1707" s="1"/>
      <c r="AL1707" s="1"/>
      <c r="AM1707" s="1"/>
      <c r="AN1707" s="1"/>
      <c r="AO1707" s="1"/>
      <c r="AP1707" s="1"/>
      <c r="AQ1707" s="1"/>
      <c r="AR1707" s="1"/>
      <c r="AS1707" s="1"/>
      <c r="AT1707" s="1"/>
      <c r="AU1707" s="1"/>
      <c r="AV1707" s="1"/>
      <c r="AW1707" s="1"/>
      <c r="AX1707" s="1"/>
      <c r="AY1707" s="1"/>
      <c r="AZ1707" s="1"/>
      <c r="BA1707" s="1"/>
      <c r="BB1707" s="1"/>
      <c r="BC1707" s="1"/>
      <c r="BD1707" s="1"/>
    </row>
    <row r="1708" spans="35:56">
      <c r="AI1708" s="1"/>
      <c r="AJ1708" s="1"/>
      <c r="AK1708" s="1"/>
      <c r="AL1708" s="1"/>
      <c r="AM1708" s="1"/>
      <c r="AN1708" s="1"/>
      <c r="AO1708" s="1"/>
      <c r="AP1708" s="1"/>
      <c r="AQ1708" s="1"/>
      <c r="AR1708" s="1"/>
      <c r="AS1708" s="1"/>
      <c r="AT1708" s="1"/>
      <c r="AU1708" s="1"/>
      <c r="AV1708" s="1"/>
      <c r="AW1708" s="1"/>
      <c r="AX1708" s="1"/>
      <c r="AY1708" s="1"/>
      <c r="AZ1708" s="1"/>
      <c r="BA1708" s="1"/>
      <c r="BB1708" s="1"/>
      <c r="BC1708" s="1"/>
      <c r="BD1708" s="1"/>
    </row>
    <row r="1709" spans="35:56">
      <c r="AI1709" s="1"/>
      <c r="AJ1709" s="1"/>
      <c r="AK1709" s="1"/>
      <c r="AL1709" s="1"/>
      <c r="AM1709" s="1"/>
      <c r="AN1709" s="1"/>
      <c r="AO1709" s="1"/>
      <c r="AP1709" s="1"/>
      <c r="AQ1709" s="1"/>
      <c r="AR1709" s="1"/>
      <c r="AS1709" s="1"/>
      <c r="AT1709" s="1"/>
      <c r="AU1709" s="1"/>
      <c r="AV1709" s="1"/>
      <c r="AW1709" s="1"/>
      <c r="AX1709" s="1"/>
      <c r="AY1709" s="1"/>
      <c r="AZ1709" s="1"/>
      <c r="BA1709" s="1"/>
      <c r="BB1709" s="1"/>
      <c r="BC1709" s="1"/>
      <c r="BD1709" s="1"/>
    </row>
    <row r="1710" spans="35:56">
      <c r="AI1710" s="1"/>
      <c r="AJ1710" s="1"/>
      <c r="AK1710" s="1"/>
      <c r="AL1710" s="1"/>
      <c r="AM1710" s="1"/>
      <c r="AN1710" s="1"/>
      <c r="AO1710" s="1"/>
      <c r="AP1710" s="1"/>
      <c r="AQ1710" s="1"/>
      <c r="AR1710" s="1"/>
      <c r="AS1710" s="1"/>
      <c r="AT1710" s="1"/>
      <c r="AU1710" s="1"/>
      <c r="AV1710" s="1"/>
      <c r="AW1710" s="1"/>
      <c r="AX1710" s="1"/>
      <c r="AY1710" s="1"/>
      <c r="AZ1710" s="1"/>
      <c r="BA1710" s="1"/>
      <c r="BB1710" s="1"/>
      <c r="BC1710" s="1"/>
      <c r="BD1710" s="1"/>
    </row>
    <row r="1711" spans="35:56">
      <c r="AI1711" s="1"/>
      <c r="AJ1711" s="1"/>
      <c r="AK1711" s="1"/>
      <c r="AL1711" s="1"/>
      <c r="AM1711" s="1"/>
      <c r="AN1711" s="1"/>
      <c r="AO1711" s="1"/>
      <c r="AP1711" s="1"/>
      <c r="AQ1711" s="1"/>
      <c r="AR1711" s="1"/>
      <c r="AS1711" s="1"/>
      <c r="AT1711" s="1"/>
      <c r="AU1711" s="1"/>
      <c r="AV1711" s="1"/>
      <c r="AW1711" s="1"/>
      <c r="AX1711" s="1"/>
      <c r="AY1711" s="1"/>
      <c r="AZ1711" s="1"/>
      <c r="BA1711" s="1"/>
      <c r="BB1711" s="1"/>
      <c r="BC1711" s="1"/>
      <c r="BD1711" s="1"/>
    </row>
    <row r="1712" spans="35:56">
      <c r="AI1712" s="1"/>
      <c r="AJ1712" s="1"/>
      <c r="AK1712" s="1"/>
      <c r="AL1712" s="1"/>
      <c r="AM1712" s="1"/>
      <c r="AN1712" s="1"/>
      <c r="AO1712" s="1"/>
      <c r="AP1712" s="1"/>
      <c r="AQ1712" s="1"/>
      <c r="AR1712" s="1"/>
      <c r="AS1712" s="1"/>
      <c r="AT1712" s="1"/>
      <c r="AU1712" s="1"/>
      <c r="AV1712" s="1"/>
      <c r="AW1712" s="1"/>
      <c r="AX1712" s="1"/>
      <c r="AY1712" s="1"/>
      <c r="AZ1712" s="1"/>
      <c r="BA1712" s="1"/>
      <c r="BB1712" s="1"/>
      <c r="BC1712" s="1"/>
      <c r="BD1712" s="1"/>
    </row>
    <row r="1713" spans="35:56">
      <c r="AI1713" s="1"/>
      <c r="AJ1713" s="1"/>
      <c r="AK1713" s="1"/>
      <c r="AL1713" s="1"/>
      <c r="AM1713" s="1"/>
      <c r="AN1713" s="1"/>
      <c r="AO1713" s="1"/>
      <c r="AP1713" s="1"/>
      <c r="AQ1713" s="1"/>
      <c r="AR1713" s="1"/>
      <c r="AS1713" s="1"/>
      <c r="AT1713" s="1"/>
      <c r="AU1713" s="1"/>
      <c r="AV1713" s="1"/>
      <c r="AW1713" s="1"/>
      <c r="AX1713" s="1"/>
      <c r="AY1713" s="1"/>
      <c r="AZ1713" s="1"/>
      <c r="BA1713" s="1"/>
      <c r="BB1713" s="1"/>
      <c r="BC1713" s="1"/>
      <c r="BD1713" s="1"/>
    </row>
    <row r="1714" spans="35:56">
      <c r="AI1714" s="1"/>
      <c r="AJ1714" s="1"/>
      <c r="AK1714" s="1"/>
      <c r="AL1714" s="1"/>
      <c r="AM1714" s="1"/>
      <c r="AN1714" s="1"/>
      <c r="AO1714" s="1"/>
      <c r="AP1714" s="1"/>
      <c r="AQ1714" s="1"/>
      <c r="AR1714" s="1"/>
      <c r="AS1714" s="1"/>
      <c r="AT1714" s="1"/>
      <c r="AU1714" s="1"/>
      <c r="AV1714" s="1"/>
      <c r="AW1714" s="1"/>
      <c r="AX1714" s="1"/>
      <c r="AY1714" s="1"/>
      <c r="AZ1714" s="1"/>
      <c r="BA1714" s="1"/>
      <c r="BB1714" s="1"/>
      <c r="BC1714" s="1"/>
      <c r="BD1714" s="1"/>
    </row>
    <row r="1715" spans="35:56">
      <c r="AI1715" s="1"/>
      <c r="AJ1715" s="1"/>
      <c r="AK1715" s="1"/>
      <c r="AL1715" s="1"/>
      <c r="AM1715" s="1"/>
      <c r="AN1715" s="1"/>
      <c r="AO1715" s="1"/>
      <c r="AP1715" s="1"/>
      <c r="AQ1715" s="1"/>
      <c r="AR1715" s="1"/>
      <c r="AS1715" s="1"/>
      <c r="AT1715" s="1"/>
      <c r="AU1715" s="1"/>
      <c r="AV1715" s="1"/>
      <c r="AW1715" s="1"/>
      <c r="AX1715" s="1"/>
      <c r="AY1715" s="1"/>
      <c r="AZ1715" s="1"/>
      <c r="BA1715" s="1"/>
      <c r="BB1715" s="1"/>
      <c r="BC1715" s="1"/>
      <c r="BD1715" s="1"/>
    </row>
    <row r="1716" spans="35:56">
      <c r="AI1716" s="1"/>
      <c r="AJ1716" s="1"/>
      <c r="AK1716" s="1"/>
      <c r="AL1716" s="1"/>
      <c r="AM1716" s="1"/>
      <c r="AN1716" s="1"/>
      <c r="AO1716" s="1"/>
      <c r="AP1716" s="1"/>
      <c r="AQ1716" s="1"/>
      <c r="AR1716" s="1"/>
      <c r="AS1716" s="1"/>
      <c r="AT1716" s="1"/>
      <c r="AU1716" s="1"/>
      <c r="AV1716" s="1"/>
      <c r="AW1716" s="1"/>
      <c r="AX1716" s="1"/>
      <c r="AY1716" s="1"/>
      <c r="AZ1716" s="1"/>
      <c r="BA1716" s="1"/>
      <c r="BB1716" s="1"/>
      <c r="BC1716" s="1"/>
      <c r="BD1716" s="1"/>
    </row>
    <row r="1717" spans="35:56">
      <c r="AI1717" s="1"/>
      <c r="AJ1717" s="1"/>
      <c r="AK1717" s="1"/>
      <c r="AL1717" s="1"/>
      <c r="AM1717" s="1"/>
      <c r="AN1717" s="1"/>
      <c r="AO1717" s="1"/>
      <c r="AP1717" s="1"/>
      <c r="AQ1717" s="1"/>
      <c r="AR1717" s="1"/>
      <c r="AS1717" s="1"/>
      <c r="AT1717" s="1"/>
      <c r="AU1717" s="1"/>
      <c r="AV1717" s="1"/>
      <c r="AW1717" s="1"/>
      <c r="AX1717" s="1"/>
      <c r="AY1717" s="1"/>
      <c r="AZ1717" s="1"/>
      <c r="BA1717" s="1"/>
      <c r="BB1717" s="1"/>
      <c r="BC1717" s="1"/>
      <c r="BD1717" s="1"/>
    </row>
    <row r="1718" spans="35:56">
      <c r="AI1718" s="1"/>
      <c r="AJ1718" s="1"/>
      <c r="AK1718" s="1"/>
      <c r="AL1718" s="1"/>
      <c r="AM1718" s="1"/>
      <c r="AN1718" s="1"/>
      <c r="AO1718" s="1"/>
      <c r="AP1718" s="1"/>
      <c r="AQ1718" s="1"/>
      <c r="AR1718" s="1"/>
      <c r="AS1718" s="1"/>
      <c r="AT1718" s="1"/>
      <c r="AU1718" s="1"/>
      <c r="AV1718" s="1"/>
      <c r="AW1718" s="1"/>
      <c r="AX1718" s="1"/>
      <c r="AY1718" s="1"/>
      <c r="AZ1718" s="1"/>
      <c r="BA1718" s="1"/>
      <c r="BB1718" s="1"/>
      <c r="BC1718" s="1"/>
      <c r="BD1718" s="1"/>
    </row>
    <row r="1719" spans="35:56">
      <c r="AI1719" s="1"/>
      <c r="AJ1719" s="1"/>
      <c r="AK1719" s="1"/>
      <c r="AL1719" s="1"/>
      <c r="AM1719" s="1"/>
      <c r="AN1719" s="1"/>
      <c r="AO1719" s="1"/>
      <c r="AP1719" s="1"/>
      <c r="AQ1719" s="1"/>
      <c r="AR1719" s="1"/>
      <c r="AS1719" s="1"/>
      <c r="AT1719" s="1"/>
      <c r="AU1719" s="1"/>
      <c r="AV1719" s="1"/>
      <c r="AW1719" s="1"/>
      <c r="AX1719" s="1"/>
      <c r="AY1719" s="1"/>
      <c r="AZ1719" s="1"/>
      <c r="BA1719" s="1"/>
      <c r="BB1719" s="1"/>
      <c r="BC1719" s="1"/>
      <c r="BD1719" s="1"/>
    </row>
    <row r="1720" spans="35:56">
      <c r="AI1720" s="1"/>
      <c r="AJ1720" s="1"/>
      <c r="AK1720" s="1"/>
      <c r="AL1720" s="1"/>
      <c r="AM1720" s="1"/>
      <c r="AN1720" s="1"/>
      <c r="AO1720" s="1"/>
      <c r="AP1720" s="1"/>
      <c r="AQ1720" s="1"/>
      <c r="AR1720" s="1"/>
      <c r="AS1720" s="1"/>
      <c r="AT1720" s="1"/>
      <c r="AU1720" s="1"/>
      <c r="AV1720" s="1"/>
      <c r="AW1720" s="1"/>
      <c r="AX1720" s="1"/>
      <c r="AY1720" s="1"/>
      <c r="AZ1720" s="1"/>
      <c r="BA1720" s="1"/>
      <c r="BB1720" s="1"/>
      <c r="BC1720" s="1"/>
      <c r="BD1720" s="1"/>
    </row>
    <row r="1721" spans="35:56">
      <c r="AI1721" s="1"/>
      <c r="AJ1721" s="1"/>
      <c r="AK1721" s="1"/>
      <c r="AL1721" s="1"/>
      <c r="AM1721" s="1"/>
      <c r="AN1721" s="1"/>
      <c r="AO1721" s="1"/>
      <c r="AP1721" s="1"/>
      <c r="AQ1721" s="1"/>
      <c r="AR1721" s="1"/>
      <c r="AS1721" s="1"/>
      <c r="AT1721" s="1"/>
      <c r="AU1721" s="1"/>
      <c r="AV1721" s="1"/>
      <c r="AW1721" s="1"/>
      <c r="AX1721" s="1"/>
      <c r="AY1721" s="1"/>
      <c r="AZ1721" s="1"/>
      <c r="BA1721" s="1"/>
      <c r="BB1721" s="1"/>
      <c r="BC1721" s="1"/>
      <c r="BD1721" s="1"/>
    </row>
    <row r="1722" spans="35:56">
      <c r="AI1722" s="1"/>
      <c r="AJ1722" s="1"/>
      <c r="AK1722" s="1"/>
      <c r="AL1722" s="1"/>
      <c r="AM1722" s="1"/>
      <c r="AN1722" s="1"/>
      <c r="AO1722" s="1"/>
      <c r="AP1722" s="1"/>
      <c r="AQ1722" s="1"/>
      <c r="AR1722" s="1"/>
      <c r="AS1722" s="1"/>
      <c r="AT1722" s="1"/>
      <c r="AU1722" s="1"/>
      <c r="AV1722" s="1"/>
      <c r="AW1722" s="1"/>
      <c r="AX1722" s="1"/>
      <c r="AY1722" s="1"/>
      <c r="AZ1722" s="1"/>
      <c r="BA1722" s="1"/>
      <c r="BB1722" s="1"/>
      <c r="BC1722" s="1"/>
      <c r="BD1722" s="1"/>
    </row>
    <row r="1723" spans="35:56">
      <c r="AI1723" s="1"/>
      <c r="AJ1723" s="1"/>
      <c r="AK1723" s="1"/>
      <c r="AL1723" s="1"/>
      <c r="AM1723" s="1"/>
      <c r="AN1723" s="1"/>
      <c r="AO1723" s="1"/>
      <c r="AP1723" s="1"/>
      <c r="AQ1723" s="1"/>
      <c r="AR1723" s="1"/>
      <c r="AS1723" s="1"/>
      <c r="AT1723" s="1"/>
      <c r="AU1723" s="1"/>
      <c r="AV1723" s="1"/>
      <c r="AW1723" s="1"/>
      <c r="AX1723" s="1"/>
      <c r="AY1723" s="1"/>
      <c r="AZ1723" s="1"/>
      <c r="BA1723" s="1"/>
      <c r="BB1723" s="1"/>
      <c r="BC1723" s="1"/>
      <c r="BD1723" s="1"/>
    </row>
    <row r="1724" spans="35:56">
      <c r="AI1724" s="1"/>
      <c r="AJ1724" s="1"/>
      <c r="AK1724" s="1"/>
      <c r="AL1724" s="1"/>
      <c r="AM1724" s="1"/>
      <c r="AN1724" s="1"/>
      <c r="AO1724" s="1"/>
      <c r="AP1724" s="1"/>
      <c r="AQ1724" s="1"/>
      <c r="AR1724" s="1"/>
      <c r="AS1724" s="1"/>
      <c r="AT1724" s="1"/>
      <c r="AU1724" s="1"/>
      <c r="AV1724" s="1"/>
      <c r="AW1724" s="1"/>
      <c r="AX1724" s="1"/>
      <c r="AY1724" s="1"/>
      <c r="AZ1724" s="1"/>
      <c r="BA1724" s="1"/>
      <c r="BB1724" s="1"/>
      <c r="BC1724" s="1"/>
      <c r="BD1724" s="1"/>
    </row>
    <row r="1725" spans="35:56">
      <c r="AI1725" s="1"/>
      <c r="AJ1725" s="1"/>
      <c r="AK1725" s="1"/>
      <c r="AL1725" s="1"/>
      <c r="AM1725" s="1"/>
      <c r="AN1725" s="1"/>
      <c r="AO1725" s="1"/>
      <c r="AP1725" s="1"/>
      <c r="AQ1725" s="1"/>
      <c r="AR1725" s="1"/>
      <c r="AS1725" s="1"/>
      <c r="AT1725" s="1"/>
      <c r="AU1725" s="1"/>
      <c r="AV1725" s="1"/>
      <c r="AW1725" s="1"/>
      <c r="AX1725" s="1"/>
      <c r="AY1725" s="1"/>
      <c r="AZ1725" s="1"/>
      <c r="BA1725" s="1"/>
      <c r="BB1725" s="1"/>
      <c r="BC1725" s="1"/>
      <c r="BD1725" s="1"/>
    </row>
    <row r="1726" spans="35:56">
      <c r="AI1726" s="1"/>
      <c r="AJ1726" s="1"/>
      <c r="AK1726" s="1"/>
      <c r="AL1726" s="1"/>
      <c r="AM1726" s="1"/>
      <c r="AN1726" s="1"/>
      <c r="AO1726" s="1"/>
      <c r="AP1726" s="1"/>
      <c r="AQ1726" s="1"/>
      <c r="AR1726" s="1"/>
      <c r="AS1726" s="1"/>
      <c r="AT1726" s="1"/>
      <c r="AU1726" s="1"/>
      <c r="AV1726" s="1"/>
      <c r="AW1726" s="1"/>
      <c r="AX1726" s="1"/>
      <c r="AY1726" s="1"/>
      <c r="AZ1726" s="1"/>
      <c r="BA1726" s="1"/>
      <c r="BB1726" s="1"/>
      <c r="BC1726" s="1"/>
      <c r="BD1726" s="1"/>
    </row>
    <row r="1727" spans="35:56">
      <c r="AI1727" s="1"/>
      <c r="AJ1727" s="1"/>
      <c r="AK1727" s="1"/>
      <c r="AL1727" s="1"/>
      <c r="AM1727" s="1"/>
      <c r="AN1727" s="1"/>
      <c r="AO1727" s="1"/>
      <c r="AP1727" s="1"/>
      <c r="AQ1727" s="1"/>
      <c r="AR1727" s="1"/>
      <c r="AS1727" s="1"/>
      <c r="AT1727" s="1"/>
      <c r="AU1727" s="1"/>
      <c r="AV1727" s="1"/>
      <c r="AW1727" s="1"/>
      <c r="AX1727" s="1"/>
      <c r="AY1727" s="1"/>
      <c r="AZ1727" s="1"/>
      <c r="BA1727" s="1"/>
      <c r="BB1727" s="1"/>
      <c r="BC1727" s="1"/>
      <c r="BD1727" s="1"/>
    </row>
    <row r="1728" spans="35:56">
      <c r="AI1728" s="1"/>
      <c r="AJ1728" s="1"/>
      <c r="AK1728" s="1"/>
      <c r="AL1728" s="1"/>
      <c r="AM1728" s="1"/>
      <c r="AN1728" s="1"/>
      <c r="AO1728" s="1"/>
      <c r="AP1728" s="1"/>
      <c r="AQ1728" s="1"/>
      <c r="AR1728" s="1"/>
      <c r="AS1728" s="1"/>
      <c r="AT1728" s="1"/>
      <c r="AU1728" s="1"/>
      <c r="AV1728" s="1"/>
      <c r="AW1728" s="1"/>
      <c r="AX1728" s="1"/>
      <c r="AY1728" s="1"/>
      <c r="AZ1728" s="1"/>
      <c r="BA1728" s="1"/>
      <c r="BB1728" s="1"/>
      <c r="BC1728" s="1"/>
      <c r="BD1728" s="1"/>
    </row>
    <row r="1729" spans="35:56">
      <c r="AI1729" s="1"/>
      <c r="AJ1729" s="1"/>
      <c r="AK1729" s="1"/>
      <c r="AL1729" s="1"/>
      <c r="AM1729" s="1"/>
      <c r="AN1729" s="1"/>
      <c r="AO1729" s="1"/>
      <c r="AP1729" s="1"/>
      <c r="AQ1729" s="1"/>
      <c r="AR1729" s="1"/>
      <c r="AS1729" s="1"/>
      <c r="AT1729" s="1"/>
      <c r="AU1729" s="1"/>
      <c r="AV1729" s="1"/>
      <c r="AW1729" s="1"/>
      <c r="AX1729" s="1"/>
      <c r="AY1729" s="1"/>
      <c r="AZ1729" s="1"/>
      <c r="BA1729" s="1"/>
      <c r="BB1729" s="1"/>
      <c r="BC1729" s="1"/>
      <c r="BD1729" s="1"/>
    </row>
    <row r="1730" spans="35:56">
      <c r="AI1730" s="1"/>
      <c r="AJ1730" s="1"/>
      <c r="AK1730" s="1"/>
      <c r="AL1730" s="1"/>
      <c r="AM1730" s="1"/>
      <c r="AN1730" s="1"/>
      <c r="AO1730" s="1"/>
      <c r="AP1730" s="1"/>
      <c r="AQ1730" s="1"/>
      <c r="AR1730" s="1"/>
      <c r="AS1730" s="1"/>
      <c r="AT1730" s="1"/>
      <c r="AU1730" s="1"/>
      <c r="AV1730" s="1"/>
      <c r="AW1730" s="1"/>
      <c r="AX1730" s="1"/>
      <c r="AY1730" s="1"/>
      <c r="AZ1730" s="1"/>
      <c r="BA1730" s="1"/>
      <c r="BB1730" s="1"/>
      <c r="BC1730" s="1"/>
      <c r="BD1730" s="1"/>
    </row>
    <row r="1731" spans="35:56">
      <c r="AI1731" s="1"/>
      <c r="AJ1731" s="1"/>
      <c r="AK1731" s="1"/>
      <c r="AL1731" s="1"/>
      <c r="AM1731" s="1"/>
      <c r="AN1731" s="1"/>
      <c r="AO1731" s="1"/>
      <c r="AP1731" s="1"/>
      <c r="AQ1731" s="1"/>
      <c r="AR1731" s="1"/>
      <c r="AS1731" s="1"/>
      <c r="AT1731" s="1"/>
      <c r="AU1731" s="1"/>
      <c r="AV1731" s="1"/>
      <c r="AW1731" s="1"/>
      <c r="AX1731" s="1"/>
      <c r="AY1731" s="1"/>
      <c r="AZ1731" s="1"/>
      <c r="BA1731" s="1"/>
      <c r="BB1731" s="1"/>
      <c r="BC1731" s="1"/>
      <c r="BD1731" s="1"/>
    </row>
    <row r="1732" spans="35:56">
      <c r="AI1732" s="1"/>
      <c r="AJ1732" s="1"/>
      <c r="AK1732" s="1"/>
      <c r="AL1732" s="1"/>
      <c r="AM1732" s="1"/>
      <c r="AN1732" s="1"/>
      <c r="AO1732" s="1"/>
      <c r="AP1732" s="1"/>
      <c r="AQ1732" s="1"/>
      <c r="AR1732" s="1"/>
      <c r="AS1732" s="1"/>
      <c r="AT1732" s="1"/>
      <c r="AU1732" s="1"/>
      <c r="AV1732" s="1"/>
      <c r="AW1732" s="1"/>
      <c r="AX1732" s="1"/>
      <c r="AY1732" s="1"/>
      <c r="AZ1732" s="1"/>
      <c r="BA1732" s="1"/>
      <c r="BB1732" s="1"/>
      <c r="BC1732" s="1"/>
      <c r="BD1732" s="1"/>
    </row>
    <row r="1733" spans="35:56">
      <c r="AI1733" s="1"/>
      <c r="AJ1733" s="1"/>
      <c r="AK1733" s="1"/>
      <c r="AL1733" s="1"/>
      <c r="AM1733" s="1"/>
      <c r="AN1733" s="1"/>
      <c r="AO1733" s="1"/>
      <c r="AP1733" s="1"/>
      <c r="AQ1733" s="1"/>
      <c r="AR1733" s="1"/>
      <c r="AS1733" s="1"/>
      <c r="AT1733" s="1"/>
      <c r="AU1733" s="1"/>
      <c r="AV1733" s="1"/>
      <c r="AW1733" s="1"/>
      <c r="AX1733" s="1"/>
      <c r="AY1733" s="1"/>
      <c r="AZ1733" s="1"/>
      <c r="BA1733" s="1"/>
      <c r="BB1733" s="1"/>
      <c r="BC1733" s="1"/>
      <c r="BD1733" s="1"/>
    </row>
    <row r="1734" spans="35:56">
      <c r="AI1734" s="1"/>
      <c r="AJ1734" s="1"/>
      <c r="AK1734" s="1"/>
      <c r="AL1734" s="1"/>
      <c r="AM1734" s="1"/>
      <c r="AN1734" s="1"/>
      <c r="AO1734" s="1"/>
      <c r="AP1734" s="1"/>
      <c r="AQ1734" s="1"/>
      <c r="AR1734" s="1"/>
      <c r="AS1734" s="1"/>
      <c r="AT1734" s="1"/>
      <c r="AU1734" s="1"/>
      <c r="AV1734" s="1"/>
      <c r="AW1734" s="1"/>
      <c r="AX1734" s="1"/>
      <c r="AY1734" s="1"/>
      <c r="AZ1734" s="1"/>
      <c r="BA1734" s="1"/>
      <c r="BB1734" s="1"/>
      <c r="BC1734" s="1"/>
      <c r="BD1734" s="1"/>
    </row>
    <row r="1735" spans="35:56">
      <c r="AI1735" s="1"/>
      <c r="AJ1735" s="1"/>
      <c r="AK1735" s="1"/>
      <c r="AL1735" s="1"/>
      <c r="AM1735" s="1"/>
      <c r="AN1735" s="1"/>
      <c r="AO1735" s="1"/>
      <c r="AP1735" s="1"/>
      <c r="AQ1735" s="1"/>
      <c r="AR1735" s="1"/>
      <c r="AS1735" s="1"/>
      <c r="AT1735" s="1"/>
      <c r="AU1735" s="1"/>
      <c r="AV1735" s="1"/>
      <c r="AW1735" s="1"/>
      <c r="AX1735" s="1"/>
      <c r="AY1735" s="1"/>
      <c r="AZ1735" s="1"/>
      <c r="BA1735" s="1"/>
      <c r="BB1735" s="1"/>
      <c r="BC1735" s="1"/>
      <c r="BD1735" s="1"/>
    </row>
    <row r="1736" spans="35:56">
      <c r="AI1736" s="1"/>
      <c r="AJ1736" s="1"/>
      <c r="AK1736" s="1"/>
      <c r="AL1736" s="1"/>
      <c r="AM1736" s="1"/>
      <c r="AN1736" s="1"/>
      <c r="AO1736" s="1"/>
      <c r="AP1736" s="1"/>
      <c r="AQ1736" s="1"/>
      <c r="AR1736" s="1"/>
      <c r="AS1736" s="1"/>
      <c r="AT1736" s="1"/>
      <c r="AU1736" s="1"/>
      <c r="AV1736" s="1"/>
      <c r="AW1736" s="1"/>
      <c r="AX1736" s="1"/>
      <c r="AY1736" s="1"/>
      <c r="AZ1736" s="1"/>
      <c r="BA1736" s="1"/>
      <c r="BB1736" s="1"/>
      <c r="BC1736" s="1"/>
      <c r="BD1736" s="1"/>
    </row>
    <row r="1737" spans="35:56">
      <c r="AI1737" s="1"/>
      <c r="AJ1737" s="1"/>
      <c r="AK1737" s="1"/>
      <c r="AL1737" s="1"/>
      <c r="AM1737" s="1"/>
      <c r="AN1737" s="1"/>
      <c r="AO1737" s="1"/>
      <c r="AP1737" s="1"/>
      <c r="AQ1737" s="1"/>
      <c r="AR1737" s="1"/>
      <c r="AS1737" s="1"/>
      <c r="AT1737" s="1"/>
      <c r="AU1737" s="1"/>
      <c r="AV1737" s="1"/>
      <c r="AW1737" s="1"/>
      <c r="AX1737" s="1"/>
      <c r="AY1737" s="1"/>
      <c r="AZ1737" s="1"/>
      <c r="BA1737" s="1"/>
      <c r="BB1737" s="1"/>
      <c r="BC1737" s="1"/>
      <c r="BD1737" s="1"/>
    </row>
    <row r="1738" spans="35:56">
      <c r="AI1738" s="1"/>
      <c r="AJ1738" s="1"/>
      <c r="AK1738" s="1"/>
      <c r="AL1738" s="1"/>
      <c r="AM1738" s="1"/>
      <c r="AN1738" s="1"/>
      <c r="AO1738" s="1"/>
      <c r="AP1738" s="1"/>
      <c r="AQ1738" s="1"/>
      <c r="AR1738" s="1"/>
      <c r="AS1738" s="1"/>
      <c r="AT1738" s="1"/>
      <c r="AU1738" s="1"/>
      <c r="AV1738" s="1"/>
      <c r="AW1738" s="1"/>
      <c r="AX1738" s="1"/>
      <c r="AY1738" s="1"/>
      <c r="AZ1738" s="1"/>
      <c r="BA1738" s="1"/>
      <c r="BB1738" s="1"/>
      <c r="BC1738" s="1"/>
      <c r="BD1738" s="1"/>
    </row>
    <row r="1739" spans="35:56">
      <c r="AI1739" s="1"/>
      <c r="AJ1739" s="1"/>
      <c r="AK1739" s="1"/>
      <c r="AL1739" s="1"/>
      <c r="AM1739" s="1"/>
      <c r="AN1739" s="1"/>
      <c r="AO1739" s="1"/>
      <c r="AP1739" s="1"/>
      <c r="AQ1739" s="1"/>
      <c r="AR1739" s="1"/>
      <c r="AS1739" s="1"/>
      <c r="AT1739" s="1"/>
      <c r="AU1739" s="1"/>
      <c r="AV1739" s="1"/>
      <c r="AW1739" s="1"/>
      <c r="AX1739" s="1"/>
      <c r="AY1739" s="1"/>
      <c r="AZ1739" s="1"/>
      <c r="BA1739" s="1"/>
      <c r="BB1739" s="1"/>
      <c r="BC1739" s="1"/>
      <c r="BD1739" s="1"/>
    </row>
    <row r="1740" spans="35:56">
      <c r="AI1740" s="1"/>
      <c r="AJ1740" s="1"/>
      <c r="AK1740" s="1"/>
      <c r="AL1740" s="1"/>
      <c r="AM1740" s="1"/>
      <c r="AN1740" s="1"/>
      <c r="AO1740" s="1"/>
      <c r="AP1740" s="1"/>
      <c r="AQ1740" s="1"/>
      <c r="AR1740" s="1"/>
      <c r="AS1740" s="1"/>
      <c r="AT1740" s="1"/>
      <c r="AU1740" s="1"/>
      <c r="AV1740" s="1"/>
      <c r="AW1740" s="1"/>
      <c r="AX1740" s="1"/>
      <c r="AY1740" s="1"/>
      <c r="AZ1740" s="1"/>
      <c r="BA1740" s="1"/>
      <c r="BB1740" s="1"/>
      <c r="BC1740" s="1"/>
      <c r="BD1740" s="1"/>
    </row>
    <row r="1741" spans="35:56">
      <c r="AI1741" s="1"/>
      <c r="AJ1741" s="1"/>
      <c r="AK1741" s="1"/>
      <c r="AL1741" s="1"/>
      <c r="AM1741" s="1"/>
      <c r="AN1741" s="1"/>
      <c r="AO1741" s="1"/>
      <c r="AP1741" s="1"/>
      <c r="AQ1741" s="1"/>
      <c r="AR1741" s="1"/>
      <c r="AS1741" s="1"/>
      <c r="AT1741" s="1"/>
      <c r="AU1741" s="1"/>
      <c r="AV1741" s="1"/>
      <c r="AW1741" s="1"/>
      <c r="AX1741" s="1"/>
      <c r="AY1741" s="1"/>
      <c r="AZ1741" s="1"/>
      <c r="BA1741" s="1"/>
      <c r="BB1741" s="1"/>
      <c r="BC1741" s="1"/>
      <c r="BD1741" s="1"/>
    </row>
    <row r="1742" spans="35:56">
      <c r="AI1742" s="1"/>
      <c r="AJ1742" s="1"/>
      <c r="AK1742" s="1"/>
      <c r="AL1742" s="1"/>
      <c r="AM1742" s="1"/>
      <c r="AN1742" s="1"/>
      <c r="AO1742" s="1"/>
      <c r="AP1742" s="1"/>
      <c r="AQ1742" s="1"/>
      <c r="AR1742" s="1"/>
      <c r="AS1742" s="1"/>
      <c r="AT1742" s="1"/>
      <c r="AU1742" s="1"/>
      <c r="AV1742" s="1"/>
      <c r="AW1742" s="1"/>
      <c r="AX1742" s="1"/>
      <c r="AY1742" s="1"/>
      <c r="AZ1742" s="1"/>
      <c r="BA1742" s="1"/>
      <c r="BB1742" s="1"/>
      <c r="BC1742" s="1"/>
      <c r="BD1742" s="1"/>
    </row>
    <row r="1743" spans="35:56">
      <c r="AI1743" s="1"/>
      <c r="AJ1743" s="1"/>
      <c r="AK1743" s="1"/>
      <c r="AL1743" s="1"/>
      <c r="AM1743" s="1"/>
      <c r="AN1743" s="1"/>
      <c r="AO1743" s="1"/>
      <c r="AP1743" s="1"/>
      <c r="AQ1743" s="1"/>
      <c r="AR1743" s="1"/>
      <c r="AS1743" s="1"/>
      <c r="AT1743" s="1"/>
      <c r="AU1743" s="1"/>
      <c r="AV1743" s="1"/>
      <c r="AW1743" s="1"/>
      <c r="AX1743" s="1"/>
      <c r="AY1743" s="1"/>
      <c r="AZ1743" s="1"/>
      <c r="BA1743" s="1"/>
      <c r="BB1743" s="1"/>
      <c r="BC1743" s="1"/>
      <c r="BD1743" s="1"/>
    </row>
    <row r="1744" spans="35:56">
      <c r="AI1744" s="1"/>
      <c r="AJ1744" s="1"/>
      <c r="AK1744" s="1"/>
      <c r="AL1744" s="1"/>
      <c r="AM1744" s="1"/>
      <c r="AN1744" s="1"/>
      <c r="AO1744" s="1"/>
      <c r="AP1744" s="1"/>
      <c r="AQ1744" s="1"/>
      <c r="AR1744" s="1"/>
      <c r="AS1744" s="1"/>
      <c r="AT1744" s="1"/>
      <c r="AU1744" s="1"/>
      <c r="AV1744" s="1"/>
      <c r="AW1744" s="1"/>
      <c r="AX1744" s="1"/>
      <c r="AY1744" s="1"/>
      <c r="AZ1744" s="1"/>
      <c r="BA1744" s="1"/>
      <c r="BB1744" s="1"/>
      <c r="BC1744" s="1"/>
      <c r="BD1744" s="1"/>
    </row>
    <row r="1745" spans="35:56">
      <c r="AI1745" s="1"/>
      <c r="AJ1745" s="1"/>
      <c r="AK1745" s="1"/>
      <c r="AL1745" s="1"/>
      <c r="AM1745" s="1"/>
      <c r="AN1745" s="1"/>
      <c r="AO1745" s="1"/>
      <c r="AP1745" s="1"/>
      <c r="AQ1745" s="1"/>
      <c r="AR1745" s="1"/>
      <c r="AS1745" s="1"/>
      <c r="AT1745" s="1"/>
      <c r="AU1745" s="1"/>
      <c r="AV1745" s="1"/>
      <c r="AW1745" s="1"/>
      <c r="AX1745" s="1"/>
      <c r="AY1745" s="1"/>
      <c r="AZ1745" s="1"/>
      <c r="BA1745" s="1"/>
      <c r="BB1745" s="1"/>
      <c r="BC1745" s="1"/>
      <c r="BD1745" s="1"/>
    </row>
    <row r="1746" spans="35:56">
      <c r="AI1746" s="1"/>
      <c r="AJ1746" s="1"/>
      <c r="AK1746" s="1"/>
      <c r="AL1746" s="1"/>
      <c r="AM1746" s="1"/>
      <c r="AN1746" s="1"/>
      <c r="AO1746" s="1"/>
      <c r="AP1746" s="1"/>
      <c r="AQ1746" s="1"/>
      <c r="AR1746" s="1"/>
      <c r="AS1746" s="1"/>
      <c r="AT1746" s="1"/>
      <c r="AU1746" s="1"/>
      <c r="AV1746" s="1"/>
      <c r="AW1746" s="1"/>
      <c r="AX1746" s="1"/>
      <c r="AY1746" s="1"/>
      <c r="AZ1746" s="1"/>
      <c r="BA1746" s="1"/>
      <c r="BB1746" s="1"/>
      <c r="BC1746" s="1"/>
      <c r="BD1746" s="1"/>
    </row>
    <row r="1747" spans="35:56">
      <c r="AI1747" s="1"/>
      <c r="AJ1747" s="1"/>
      <c r="AK1747" s="1"/>
      <c r="AL1747" s="1"/>
      <c r="AM1747" s="1"/>
      <c r="AN1747" s="1"/>
      <c r="AO1747" s="1"/>
      <c r="AP1747" s="1"/>
      <c r="AQ1747" s="1"/>
      <c r="AR1747" s="1"/>
      <c r="AS1747" s="1"/>
      <c r="AT1747" s="1"/>
      <c r="AU1747" s="1"/>
      <c r="AV1747" s="1"/>
      <c r="AW1747" s="1"/>
      <c r="AX1747" s="1"/>
      <c r="AY1747" s="1"/>
      <c r="AZ1747" s="1"/>
      <c r="BA1747" s="1"/>
      <c r="BB1747" s="1"/>
      <c r="BC1747" s="1"/>
      <c r="BD1747" s="1"/>
    </row>
    <row r="1748" spans="35:56">
      <c r="AI1748" s="1"/>
      <c r="AJ1748" s="1"/>
      <c r="AK1748" s="1"/>
      <c r="AL1748" s="1"/>
      <c r="AM1748" s="1"/>
      <c r="AN1748" s="1"/>
      <c r="AO1748" s="1"/>
      <c r="AP1748" s="1"/>
      <c r="AQ1748" s="1"/>
      <c r="AR1748" s="1"/>
      <c r="AS1748" s="1"/>
      <c r="AT1748" s="1"/>
      <c r="AU1748" s="1"/>
      <c r="AV1748" s="1"/>
      <c r="AW1748" s="1"/>
      <c r="AX1748" s="1"/>
      <c r="AY1748" s="1"/>
      <c r="AZ1748" s="1"/>
      <c r="BA1748" s="1"/>
      <c r="BB1748" s="1"/>
      <c r="BC1748" s="1"/>
      <c r="BD1748" s="1"/>
    </row>
    <row r="1749" spans="35:56">
      <c r="AI1749" s="1"/>
      <c r="AJ1749" s="1"/>
      <c r="AK1749" s="1"/>
      <c r="AL1749" s="1"/>
      <c r="AM1749" s="1"/>
      <c r="AN1749" s="1"/>
      <c r="AO1749" s="1"/>
      <c r="AP1749" s="1"/>
      <c r="AQ1749" s="1"/>
      <c r="AR1749" s="1"/>
      <c r="AS1749" s="1"/>
      <c r="AT1749" s="1"/>
      <c r="AU1749" s="1"/>
      <c r="AV1749" s="1"/>
      <c r="AW1749" s="1"/>
      <c r="AX1749" s="1"/>
      <c r="AY1749" s="1"/>
      <c r="AZ1749" s="1"/>
      <c r="BA1749" s="1"/>
      <c r="BB1749" s="1"/>
      <c r="BC1749" s="1"/>
      <c r="BD1749" s="1"/>
    </row>
    <row r="1750" spans="35:56">
      <c r="AI1750" s="1"/>
      <c r="AJ1750" s="1"/>
      <c r="AK1750" s="1"/>
      <c r="AL1750" s="1"/>
      <c r="AM1750" s="1"/>
      <c r="AN1750" s="1"/>
      <c r="AO1750" s="1"/>
      <c r="AP1750" s="1"/>
      <c r="AQ1750" s="1"/>
      <c r="AR1750" s="1"/>
      <c r="AS1750" s="1"/>
      <c r="AT1750" s="1"/>
      <c r="AU1750" s="1"/>
      <c r="AV1750" s="1"/>
      <c r="AW1750" s="1"/>
      <c r="AX1750" s="1"/>
      <c r="AY1750" s="1"/>
      <c r="AZ1750" s="1"/>
      <c r="BA1750" s="1"/>
      <c r="BB1750" s="1"/>
      <c r="BC1750" s="1"/>
      <c r="BD1750" s="1"/>
    </row>
    <row r="1751" spans="35:56">
      <c r="AI1751" s="1"/>
      <c r="AJ1751" s="1"/>
      <c r="AK1751" s="1"/>
      <c r="AL1751" s="1"/>
      <c r="AM1751" s="1"/>
      <c r="AN1751" s="1"/>
      <c r="AO1751" s="1"/>
      <c r="AP1751" s="1"/>
      <c r="AQ1751" s="1"/>
      <c r="AR1751" s="1"/>
      <c r="AS1751" s="1"/>
      <c r="AT1751" s="1"/>
      <c r="AU1751" s="1"/>
      <c r="AV1751" s="1"/>
      <c r="AW1751" s="1"/>
      <c r="AX1751" s="1"/>
      <c r="AY1751" s="1"/>
      <c r="AZ1751" s="1"/>
      <c r="BA1751" s="1"/>
      <c r="BB1751" s="1"/>
      <c r="BC1751" s="1"/>
      <c r="BD1751" s="1"/>
    </row>
    <row r="1752" spans="35:56">
      <c r="AI1752" s="1"/>
      <c r="AJ1752" s="1"/>
      <c r="AK1752" s="1"/>
      <c r="AL1752" s="1"/>
      <c r="AM1752" s="1"/>
      <c r="AN1752" s="1"/>
      <c r="AO1752" s="1"/>
      <c r="AP1752" s="1"/>
      <c r="AQ1752" s="1"/>
      <c r="AR1752" s="1"/>
      <c r="AS1752" s="1"/>
      <c r="AT1752" s="1"/>
      <c r="AU1752" s="1"/>
      <c r="AV1752" s="1"/>
      <c r="AW1752" s="1"/>
      <c r="AX1752" s="1"/>
      <c r="AY1752" s="1"/>
      <c r="AZ1752" s="1"/>
      <c r="BA1752" s="1"/>
      <c r="BB1752" s="1"/>
      <c r="BC1752" s="1"/>
      <c r="BD1752" s="1"/>
    </row>
    <row r="1753" spans="35:56">
      <c r="AI1753" s="1"/>
      <c r="AJ1753" s="1"/>
      <c r="AK1753" s="1"/>
      <c r="AL1753" s="1"/>
      <c r="AM1753" s="1"/>
      <c r="AN1753" s="1"/>
      <c r="AO1753" s="1"/>
      <c r="AP1753" s="1"/>
      <c r="AQ1753" s="1"/>
      <c r="AR1753" s="1"/>
      <c r="AS1753" s="1"/>
      <c r="AT1753" s="1"/>
      <c r="AU1753" s="1"/>
      <c r="AV1753" s="1"/>
      <c r="AW1753" s="1"/>
      <c r="AX1753" s="1"/>
      <c r="AY1753" s="1"/>
      <c r="AZ1753" s="1"/>
      <c r="BA1753" s="1"/>
      <c r="BB1753" s="1"/>
      <c r="BC1753" s="1"/>
      <c r="BD1753" s="1"/>
    </row>
    <row r="1754" spans="35:56">
      <c r="AI1754" s="1"/>
      <c r="AJ1754" s="1"/>
      <c r="AK1754" s="1"/>
      <c r="AL1754" s="1"/>
      <c r="AM1754" s="1"/>
      <c r="AN1754" s="1"/>
      <c r="AO1754" s="1"/>
      <c r="AP1754" s="1"/>
      <c r="AQ1754" s="1"/>
      <c r="AR1754" s="1"/>
      <c r="AS1754" s="1"/>
      <c r="AT1754" s="1"/>
      <c r="AU1754" s="1"/>
      <c r="AV1754" s="1"/>
      <c r="AW1754" s="1"/>
      <c r="AX1754" s="1"/>
      <c r="AY1754" s="1"/>
      <c r="AZ1754" s="1"/>
      <c r="BA1754" s="1"/>
      <c r="BB1754" s="1"/>
      <c r="BC1754" s="1"/>
      <c r="BD1754" s="1"/>
    </row>
    <row r="1755" spans="35:56">
      <c r="AI1755" s="1"/>
      <c r="AJ1755" s="1"/>
      <c r="AK1755" s="1"/>
      <c r="AL1755" s="1"/>
      <c r="AM1755" s="1"/>
      <c r="AN1755" s="1"/>
      <c r="AO1755" s="1"/>
      <c r="AP1755" s="1"/>
      <c r="AQ1755" s="1"/>
      <c r="AR1755" s="1"/>
      <c r="AS1755" s="1"/>
      <c r="AT1755" s="1"/>
      <c r="AU1755" s="1"/>
      <c r="AV1755" s="1"/>
      <c r="AW1755" s="1"/>
      <c r="AX1755" s="1"/>
      <c r="AY1755" s="1"/>
      <c r="AZ1755" s="1"/>
      <c r="BA1755" s="1"/>
      <c r="BB1755" s="1"/>
      <c r="BC1755" s="1"/>
      <c r="BD1755" s="1"/>
    </row>
    <row r="1756" spans="35:56">
      <c r="AI1756" s="1"/>
      <c r="AJ1756" s="1"/>
      <c r="AK1756" s="1"/>
      <c r="AL1756" s="1"/>
      <c r="AM1756" s="1"/>
      <c r="AN1756" s="1"/>
      <c r="AO1756" s="1"/>
      <c r="AP1756" s="1"/>
      <c r="AQ1756" s="1"/>
      <c r="AR1756" s="1"/>
      <c r="AS1756" s="1"/>
      <c r="AT1756" s="1"/>
      <c r="AU1756" s="1"/>
      <c r="AV1756" s="1"/>
      <c r="AW1756" s="1"/>
      <c r="AX1756" s="1"/>
      <c r="AY1756" s="1"/>
      <c r="AZ1756" s="1"/>
      <c r="BA1756" s="1"/>
      <c r="BB1756" s="1"/>
      <c r="BC1756" s="1"/>
      <c r="BD1756" s="1"/>
    </row>
    <row r="1757" spans="35:56">
      <c r="AI1757" s="1"/>
      <c r="AJ1757" s="1"/>
      <c r="AK1757" s="1"/>
      <c r="AL1757" s="1"/>
      <c r="AM1757" s="1"/>
      <c r="AN1757" s="1"/>
      <c r="AO1757" s="1"/>
      <c r="AP1757" s="1"/>
      <c r="AQ1757" s="1"/>
      <c r="AR1757" s="1"/>
      <c r="AS1757" s="1"/>
      <c r="AT1757" s="1"/>
      <c r="AU1757" s="1"/>
      <c r="AV1757" s="1"/>
      <c r="AW1757" s="1"/>
      <c r="AX1757" s="1"/>
      <c r="AY1757" s="1"/>
      <c r="AZ1757" s="1"/>
      <c r="BA1757" s="1"/>
      <c r="BB1757" s="1"/>
      <c r="BC1757" s="1"/>
      <c r="BD1757" s="1"/>
    </row>
    <row r="1758" spans="35:56">
      <c r="AI1758" s="1"/>
      <c r="AJ1758" s="1"/>
      <c r="AK1758" s="1"/>
      <c r="AL1758" s="1"/>
      <c r="AM1758" s="1"/>
      <c r="AN1758" s="1"/>
      <c r="AO1758" s="1"/>
      <c r="AP1758" s="1"/>
      <c r="AQ1758" s="1"/>
      <c r="AR1758" s="1"/>
      <c r="AS1758" s="1"/>
      <c r="AT1758" s="1"/>
      <c r="AU1758" s="1"/>
      <c r="AV1758" s="1"/>
      <c r="AW1758" s="1"/>
      <c r="AX1758" s="1"/>
      <c r="AY1758" s="1"/>
      <c r="AZ1758" s="1"/>
      <c r="BA1758" s="1"/>
      <c r="BB1758" s="1"/>
      <c r="BC1758" s="1"/>
      <c r="BD1758" s="1"/>
    </row>
    <row r="1759" spans="35:56">
      <c r="AI1759" s="1"/>
      <c r="AJ1759" s="1"/>
      <c r="AK1759" s="1"/>
      <c r="AL1759" s="1"/>
      <c r="AM1759" s="1"/>
      <c r="AN1759" s="1"/>
      <c r="AO1759" s="1"/>
      <c r="AP1759" s="1"/>
      <c r="AQ1759" s="1"/>
      <c r="AR1759" s="1"/>
      <c r="AS1759" s="1"/>
      <c r="AT1759" s="1"/>
      <c r="AU1759" s="1"/>
      <c r="AV1759" s="1"/>
      <c r="AW1759" s="1"/>
      <c r="AX1759" s="1"/>
      <c r="AY1759" s="1"/>
      <c r="AZ1759" s="1"/>
      <c r="BA1759" s="1"/>
      <c r="BB1759" s="1"/>
      <c r="BC1759" s="1"/>
      <c r="BD1759" s="1"/>
    </row>
    <row r="1760" spans="35:56">
      <c r="AI1760" s="1"/>
      <c r="AJ1760" s="1"/>
      <c r="AK1760" s="1"/>
      <c r="AL1760" s="1"/>
      <c r="AM1760" s="1"/>
      <c r="AN1760" s="1"/>
      <c r="AO1760" s="1"/>
      <c r="AP1760" s="1"/>
      <c r="AQ1760" s="1"/>
      <c r="AR1760" s="1"/>
      <c r="AS1760" s="1"/>
      <c r="AT1760" s="1"/>
      <c r="AU1760" s="1"/>
      <c r="AV1760" s="1"/>
      <c r="AW1760" s="1"/>
      <c r="AX1760" s="1"/>
      <c r="AY1760" s="1"/>
      <c r="AZ1760" s="1"/>
      <c r="BA1760" s="1"/>
      <c r="BB1760" s="1"/>
      <c r="BC1760" s="1"/>
      <c r="BD1760" s="1"/>
    </row>
    <row r="1761" spans="35:56">
      <c r="AI1761" s="1"/>
      <c r="AJ1761" s="1"/>
      <c r="AK1761" s="1"/>
      <c r="AL1761" s="1"/>
      <c r="AM1761" s="1"/>
      <c r="AN1761" s="1"/>
      <c r="AO1761" s="1"/>
      <c r="AP1761" s="1"/>
      <c r="AQ1761" s="1"/>
      <c r="AR1761" s="1"/>
      <c r="AS1761" s="1"/>
      <c r="AT1761" s="1"/>
      <c r="AU1761" s="1"/>
      <c r="AV1761" s="1"/>
      <c r="AW1761" s="1"/>
      <c r="AX1761" s="1"/>
      <c r="AY1761" s="1"/>
      <c r="AZ1761" s="1"/>
      <c r="BA1761" s="1"/>
      <c r="BB1761" s="1"/>
      <c r="BC1761" s="1"/>
      <c r="BD1761" s="1"/>
    </row>
    <row r="1762" spans="35:56">
      <c r="AI1762" s="1"/>
      <c r="AJ1762" s="1"/>
      <c r="AK1762" s="1"/>
      <c r="AL1762" s="1"/>
      <c r="AM1762" s="1"/>
      <c r="AN1762" s="1"/>
      <c r="AO1762" s="1"/>
      <c r="AP1762" s="1"/>
      <c r="AQ1762" s="1"/>
      <c r="AR1762" s="1"/>
      <c r="AS1762" s="1"/>
      <c r="AT1762" s="1"/>
      <c r="AU1762" s="1"/>
      <c r="AV1762" s="1"/>
      <c r="AW1762" s="1"/>
      <c r="AX1762" s="1"/>
      <c r="AY1762" s="1"/>
      <c r="AZ1762" s="1"/>
      <c r="BA1762" s="1"/>
      <c r="BB1762" s="1"/>
      <c r="BC1762" s="1"/>
      <c r="BD1762" s="1"/>
    </row>
    <row r="1763" spans="35:56">
      <c r="AI1763" s="1"/>
      <c r="AJ1763" s="1"/>
      <c r="AK1763" s="1"/>
      <c r="AL1763" s="1"/>
      <c r="AM1763" s="1"/>
      <c r="AN1763" s="1"/>
      <c r="AO1763" s="1"/>
      <c r="AP1763" s="1"/>
      <c r="AQ1763" s="1"/>
      <c r="AR1763" s="1"/>
      <c r="AS1763" s="1"/>
      <c r="AT1763" s="1"/>
      <c r="AU1763" s="1"/>
      <c r="AV1763" s="1"/>
      <c r="AW1763" s="1"/>
      <c r="AX1763" s="1"/>
      <c r="AY1763" s="1"/>
      <c r="AZ1763" s="1"/>
      <c r="BA1763" s="1"/>
      <c r="BB1763" s="1"/>
      <c r="BC1763" s="1"/>
      <c r="BD1763" s="1"/>
    </row>
    <row r="1764" spans="35:56">
      <c r="AI1764" s="1"/>
      <c r="AJ1764" s="1"/>
      <c r="AK1764" s="1"/>
      <c r="AL1764" s="1"/>
      <c r="AM1764" s="1"/>
      <c r="AN1764" s="1"/>
      <c r="AO1764" s="1"/>
      <c r="AP1764" s="1"/>
      <c r="AQ1764" s="1"/>
      <c r="AR1764" s="1"/>
      <c r="AS1764" s="1"/>
      <c r="AT1764" s="1"/>
      <c r="AU1764" s="1"/>
      <c r="AV1764" s="1"/>
      <c r="AW1764" s="1"/>
      <c r="AX1764" s="1"/>
      <c r="AY1764" s="1"/>
      <c r="AZ1764" s="1"/>
      <c r="BA1764" s="1"/>
      <c r="BB1764" s="1"/>
      <c r="BC1764" s="1"/>
      <c r="BD1764" s="1"/>
    </row>
    <row r="1765" spans="35:56">
      <c r="AI1765" s="1"/>
      <c r="AJ1765" s="1"/>
      <c r="AK1765" s="1"/>
      <c r="AL1765" s="1"/>
      <c r="AM1765" s="1"/>
      <c r="AN1765" s="1"/>
      <c r="AO1765" s="1"/>
      <c r="AP1765" s="1"/>
      <c r="AQ1765" s="1"/>
      <c r="AR1765" s="1"/>
      <c r="AS1765" s="1"/>
      <c r="AT1765" s="1"/>
      <c r="AU1765" s="1"/>
      <c r="AV1765" s="1"/>
      <c r="AW1765" s="1"/>
      <c r="AX1765" s="1"/>
      <c r="AY1765" s="1"/>
      <c r="AZ1765" s="1"/>
      <c r="BA1765" s="1"/>
      <c r="BB1765" s="1"/>
      <c r="BC1765" s="1"/>
      <c r="BD1765" s="1"/>
    </row>
    <row r="1766" spans="35:56">
      <c r="AI1766" s="1"/>
      <c r="AJ1766" s="1"/>
      <c r="AK1766" s="1"/>
      <c r="AL1766" s="1"/>
      <c r="AM1766" s="1"/>
      <c r="AN1766" s="1"/>
      <c r="AO1766" s="1"/>
      <c r="AP1766" s="1"/>
      <c r="AQ1766" s="1"/>
      <c r="AR1766" s="1"/>
      <c r="AS1766" s="1"/>
      <c r="AT1766" s="1"/>
      <c r="AU1766" s="1"/>
      <c r="AV1766" s="1"/>
      <c r="AW1766" s="1"/>
      <c r="AX1766" s="1"/>
      <c r="AY1766" s="1"/>
      <c r="AZ1766" s="1"/>
      <c r="BA1766" s="1"/>
      <c r="BB1766" s="1"/>
      <c r="BC1766" s="1"/>
      <c r="BD1766" s="1"/>
    </row>
    <row r="1767" spans="35:56">
      <c r="AI1767" s="1"/>
      <c r="AJ1767" s="1"/>
      <c r="AK1767" s="1"/>
      <c r="AL1767" s="1"/>
      <c r="AM1767" s="1"/>
      <c r="AN1767" s="1"/>
      <c r="AO1767" s="1"/>
      <c r="AP1767" s="1"/>
      <c r="AQ1767" s="1"/>
      <c r="AR1767" s="1"/>
      <c r="AS1767" s="1"/>
      <c r="AT1767" s="1"/>
      <c r="AU1767" s="1"/>
      <c r="AV1767" s="1"/>
      <c r="AW1767" s="1"/>
      <c r="AX1767" s="1"/>
      <c r="AY1767" s="1"/>
      <c r="AZ1767" s="1"/>
      <c r="BA1767" s="1"/>
      <c r="BB1767" s="1"/>
      <c r="BC1767" s="1"/>
      <c r="BD1767" s="1"/>
    </row>
    <row r="1768" spans="35:56">
      <c r="AI1768" s="1"/>
      <c r="AJ1768" s="1"/>
      <c r="AK1768" s="1"/>
      <c r="AL1768" s="1"/>
      <c r="AM1768" s="1"/>
      <c r="AN1768" s="1"/>
      <c r="AO1768" s="1"/>
      <c r="AP1768" s="1"/>
      <c r="AQ1768" s="1"/>
      <c r="AR1768" s="1"/>
      <c r="AS1768" s="1"/>
      <c r="AT1768" s="1"/>
      <c r="AU1768" s="1"/>
      <c r="AV1768" s="1"/>
      <c r="AW1768" s="1"/>
      <c r="AX1768" s="1"/>
      <c r="AY1768" s="1"/>
      <c r="AZ1768" s="1"/>
      <c r="BA1768" s="1"/>
      <c r="BB1768" s="1"/>
      <c r="BC1768" s="1"/>
      <c r="BD1768" s="1"/>
    </row>
    <row r="1769" spans="35:56">
      <c r="AI1769" s="1"/>
      <c r="AJ1769" s="1"/>
      <c r="AK1769" s="1"/>
      <c r="AL1769" s="1"/>
      <c r="AM1769" s="1"/>
      <c r="AN1769" s="1"/>
      <c r="AO1769" s="1"/>
      <c r="AP1769" s="1"/>
      <c r="AQ1769" s="1"/>
      <c r="AR1769" s="1"/>
      <c r="AS1769" s="1"/>
      <c r="AT1769" s="1"/>
      <c r="AU1769" s="1"/>
      <c r="AV1769" s="1"/>
      <c r="AW1769" s="1"/>
      <c r="AX1769" s="1"/>
      <c r="AY1769" s="1"/>
      <c r="AZ1769" s="1"/>
      <c r="BA1769" s="1"/>
      <c r="BB1769" s="1"/>
      <c r="BC1769" s="1"/>
      <c r="BD1769" s="1"/>
    </row>
    <row r="1770" spans="35:56">
      <c r="AI1770" s="1"/>
      <c r="AJ1770" s="1"/>
      <c r="AK1770" s="1"/>
      <c r="AL1770" s="1"/>
      <c r="AM1770" s="1"/>
      <c r="AN1770" s="1"/>
      <c r="AO1770" s="1"/>
      <c r="AP1770" s="1"/>
      <c r="AQ1770" s="1"/>
      <c r="AR1770" s="1"/>
      <c r="AS1770" s="1"/>
      <c r="AT1770" s="1"/>
      <c r="AU1770" s="1"/>
      <c r="AV1770" s="1"/>
      <c r="AW1770" s="1"/>
      <c r="AX1770" s="1"/>
      <c r="AY1770" s="1"/>
      <c r="AZ1770" s="1"/>
      <c r="BA1770" s="1"/>
      <c r="BB1770" s="1"/>
      <c r="BC1770" s="1"/>
      <c r="BD1770" s="1"/>
    </row>
    <row r="1771" spans="35:56">
      <c r="AI1771" s="1"/>
      <c r="AJ1771" s="1"/>
      <c r="AK1771" s="1"/>
      <c r="AL1771" s="1"/>
      <c r="AM1771" s="1"/>
      <c r="AN1771" s="1"/>
      <c r="AO1771" s="1"/>
      <c r="AP1771" s="1"/>
      <c r="AQ1771" s="1"/>
      <c r="AR1771" s="1"/>
      <c r="AS1771" s="1"/>
      <c r="AT1771" s="1"/>
      <c r="AU1771" s="1"/>
      <c r="AV1771" s="1"/>
      <c r="AW1771" s="1"/>
      <c r="AX1771" s="1"/>
      <c r="AY1771" s="1"/>
      <c r="AZ1771" s="1"/>
      <c r="BA1771" s="1"/>
      <c r="BB1771" s="1"/>
      <c r="BC1771" s="1"/>
      <c r="BD1771" s="1"/>
    </row>
    <row r="1772" spans="35:56">
      <c r="AI1772" s="1"/>
      <c r="AJ1772" s="1"/>
      <c r="AK1772" s="1"/>
      <c r="AL1772" s="1"/>
      <c r="AM1772" s="1"/>
      <c r="AN1772" s="1"/>
      <c r="AO1772" s="1"/>
      <c r="AP1772" s="1"/>
      <c r="AQ1772" s="1"/>
      <c r="AR1772" s="1"/>
      <c r="AS1772" s="1"/>
      <c r="AT1772" s="1"/>
      <c r="AU1772" s="1"/>
      <c r="AV1772" s="1"/>
      <c r="AW1772" s="1"/>
      <c r="AX1772" s="1"/>
      <c r="AY1772" s="1"/>
      <c r="AZ1772" s="1"/>
      <c r="BA1772" s="1"/>
      <c r="BB1772" s="1"/>
      <c r="BC1772" s="1"/>
      <c r="BD1772" s="1"/>
    </row>
    <row r="1773" spans="35:56">
      <c r="AI1773" s="1"/>
      <c r="AJ1773" s="1"/>
      <c r="AK1773" s="1"/>
      <c r="AL1773" s="1"/>
      <c r="AM1773" s="1"/>
      <c r="AN1773" s="1"/>
      <c r="AO1773" s="1"/>
      <c r="AP1773" s="1"/>
      <c r="AQ1773" s="1"/>
      <c r="AR1773" s="1"/>
      <c r="AS1773" s="1"/>
      <c r="AT1773" s="1"/>
      <c r="AU1773" s="1"/>
      <c r="AV1773" s="1"/>
      <c r="AW1773" s="1"/>
      <c r="AX1773" s="1"/>
      <c r="AY1773" s="1"/>
      <c r="AZ1773" s="1"/>
      <c r="BA1773" s="1"/>
      <c r="BB1773" s="1"/>
      <c r="BC1773" s="1"/>
      <c r="BD1773" s="1"/>
    </row>
    <row r="1774" spans="35:56">
      <c r="AI1774" s="1"/>
      <c r="AJ1774" s="1"/>
      <c r="AK1774" s="1"/>
      <c r="AL1774" s="1"/>
      <c r="AM1774" s="1"/>
      <c r="AN1774" s="1"/>
      <c r="AO1774" s="1"/>
      <c r="AP1774" s="1"/>
      <c r="AQ1774" s="1"/>
      <c r="AR1774" s="1"/>
      <c r="AS1774" s="1"/>
      <c r="AT1774" s="1"/>
      <c r="AU1774" s="1"/>
      <c r="AV1774" s="1"/>
      <c r="AW1774" s="1"/>
      <c r="AX1774" s="1"/>
      <c r="AY1774" s="1"/>
      <c r="AZ1774" s="1"/>
      <c r="BA1774" s="1"/>
      <c r="BB1774" s="1"/>
      <c r="BC1774" s="1"/>
      <c r="BD1774" s="1"/>
    </row>
    <row r="1775" spans="35:56">
      <c r="AI1775" s="1"/>
      <c r="AJ1775" s="1"/>
      <c r="AK1775" s="1"/>
      <c r="AL1775" s="1"/>
      <c r="AM1775" s="1"/>
      <c r="AN1775" s="1"/>
      <c r="AO1775" s="1"/>
      <c r="AP1775" s="1"/>
      <c r="AQ1775" s="1"/>
      <c r="AR1775" s="1"/>
      <c r="AS1775" s="1"/>
      <c r="AT1775" s="1"/>
      <c r="AU1775" s="1"/>
      <c r="AV1775" s="1"/>
      <c r="AW1775" s="1"/>
      <c r="AX1775" s="1"/>
      <c r="AY1775" s="1"/>
      <c r="AZ1775" s="1"/>
      <c r="BA1775" s="1"/>
      <c r="BB1775" s="1"/>
      <c r="BC1775" s="1"/>
      <c r="BD1775" s="1"/>
    </row>
    <row r="1776" spans="35:56">
      <c r="AI1776" s="1"/>
      <c r="AJ1776" s="1"/>
      <c r="AK1776" s="1"/>
      <c r="AL1776" s="1"/>
      <c r="AM1776" s="1"/>
      <c r="AN1776" s="1"/>
      <c r="AO1776" s="1"/>
      <c r="AP1776" s="1"/>
      <c r="AQ1776" s="1"/>
      <c r="AR1776" s="1"/>
      <c r="AS1776" s="1"/>
      <c r="AT1776" s="1"/>
      <c r="AU1776" s="1"/>
      <c r="AV1776" s="1"/>
      <c r="AW1776" s="1"/>
      <c r="AX1776" s="1"/>
      <c r="AY1776" s="1"/>
      <c r="AZ1776" s="1"/>
      <c r="BA1776" s="1"/>
      <c r="BB1776" s="1"/>
      <c r="BC1776" s="1"/>
      <c r="BD1776" s="1"/>
    </row>
    <row r="1777" spans="35:56">
      <c r="AI1777" s="1"/>
      <c r="AJ1777" s="1"/>
      <c r="AK1777" s="1"/>
      <c r="AL1777" s="1"/>
      <c r="AM1777" s="1"/>
      <c r="AN1777" s="1"/>
      <c r="AO1777" s="1"/>
      <c r="AP1777" s="1"/>
      <c r="AQ1777" s="1"/>
      <c r="AR1777" s="1"/>
      <c r="AS1777" s="1"/>
      <c r="AT1777" s="1"/>
      <c r="AU1777" s="1"/>
      <c r="AV1777" s="1"/>
      <c r="AW1777" s="1"/>
      <c r="AX1777" s="1"/>
      <c r="AY1777" s="1"/>
      <c r="AZ1777" s="1"/>
      <c r="BA1777" s="1"/>
      <c r="BB1777" s="1"/>
      <c r="BC1777" s="1"/>
      <c r="BD1777" s="1"/>
    </row>
    <row r="1778" spans="35:56">
      <c r="AI1778" s="1"/>
      <c r="AJ1778" s="1"/>
      <c r="AK1778" s="1"/>
      <c r="AL1778" s="1"/>
      <c r="AM1778" s="1"/>
      <c r="AN1778" s="1"/>
      <c r="AO1778" s="1"/>
      <c r="AP1778" s="1"/>
      <c r="AQ1778" s="1"/>
      <c r="AR1778" s="1"/>
      <c r="AS1778" s="1"/>
      <c r="AT1778" s="1"/>
      <c r="AU1778" s="1"/>
      <c r="AV1778" s="1"/>
      <c r="AW1778" s="1"/>
      <c r="AX1778" s="1"/>
      <c r="AY1778" s="1"/>
      <c r="AZ1778" s="1"/>
      <c r="BA1778" s="1"/>
      <c r="BB1778" s="1"/>
      <c r="BC1778" s="1"/>
      <c r="BD1778" s="1"/>
    </row>
    <row r="1779" spans="35:56">
      <c r="AI1779" s="1"/>
      <c r="AJ1779" s="1"/>
      <c r="AK1779" s="1"/>
      <c r="AL1779" s="1"/>
      <c r="AM1779" s="1"/>
      <c r="AN1779" s="1"/>
      <c r="AO1779" s="1"/>
      <c r="AP1779" s="1"/>
      <c r="AQ1779" s="1"/>
      <c r="AR1779" s="1"/>
      <c r="AS1779" s="1"/>
      <c r="AT1779" s="1"/>
      <c r="AU1779" s="1"/>
      <c r="AV1779" s="1"/>
      <c r="AW1779" s="1"/>
      <c r="AX1779" s="1"/>
      <c r="AY1779" s="1"/>
      <c r="AZ1779" s="1"/>
      <c r="BA1779" s="1"/>
      <c r="BB1779" s="1"/>
      <c r="BC1779" s="1"/>
      <c r="BD1779" s="1"/>
    </row>
    <row r="1780" spans="35:56">
      <c r="AI1780" s="1"/>
      <c r="AJ1780" s="1"/>
      <c r="AK1780" s="1"/>
      <c r="AL1780" s="1"/>
      <c r="AM1780" s="1"/>
      <c r="AN1780" s="1"/>
      <c r="AO1780" s="1"/>
      <c r="AP1780" s="1"/>
      <c r="AQ1780" s="1"/>
      <c r="AR1780" s="1"/>
      <c r="AS1780" s="1"/>
      <c r="AT1780" s="1"/>
      <c r="AU1780" s="1"/>
      <c r="AV1780" s="1"/>
      <c r="AW1780" s="1"/>
      <c r="AX1780" s="1"/>
      <c r="AY1780" s="1"/>
      <c r="AZ1780" s="1"/>
      <c r="BA1780" s="1"/>
      <c r="BB1780" s="1"/>
      <c r="BC1780" s="1"/>
      <c r="BD1780" s="1"/>
    </row>
    <row r="1781" spans="35:56">
      <c r="AI1781" s="1"/>
      <c r="AJ1781" s="1"/>
      <c r="AK1781" s="1"/>
      <c r="AL1781" s="1"/>
      <c r="AM1781" s="1"/>
      <c r="AN1781" s="1"/>
      <c r="AO1781" s="1"/>
      <c r="AP1781" s="1"/>
      <c r="AQ1781" s="1"/>
      <c r="AR1781" s="1"/>
      <c r="AS1781" s="1"/>
      <c r="AT1781" s="1"/>
      <c r="AU1781" s="1"/>
      <c r="AV1781" s="1"/>
      <c r="AW1781" s="1"/>
      <c r="AX1781" s="1"/>
      <c r="AY1781" s="1"/>
      <c r="AZ1781" s="1"/>
      <c r="BA1781" s="1"/>
      <c r="BB1781" s="1"/>
      <c r="BC1781" s="1"/>
      <c r="BD1781" s="1"/>
    </row>
    <row r="1782" spans="35:56">
      <c r="AI1782" s="1"/>
      <c r="AJ1782" s="1"/>
      <c r="AK1782" s="1"/>
      <c r="AL1782" s="1"/>
      <c r="AM1782" s="1"/>
      <c r="AN1782" s="1"/>
      <c r="AO1782" s="1"/>
      <c r="AP1782" s="1"/>
      <c r="AQ1782" s="1"/>
      <c r="AR1782" s="1"/>
      <c r="AS1782" s="1"/>
      <c r="AT1782" s="1"/>
      <c r="AU1782" s="1"/>
      <c r="AV1782" s="1"/>
      <c r="AW1782" s="1"/>
      <c r="AX1782" s="1"/>
      <c r="AY1782" s="1"/>
      <c r="AZ1782" s="1"/>
      <c r="BA1782" s="1"/>
      <c r="BB1782" s="1"/>
      <c r="BC1782" s="1"/>
      <c r="BD1782" s="1"/>
    </row>
    <row r="1783" spans="35:56">
      <c r="AI1783" s="1"/>
      <c r="AJ1783" s="1"/>
      <c r="AK1783" s="1"/>
      <c r="AL1783" s="1"/>
      <c r="AM1783" s="1"/>
      <c r="AN1783" s="1"/>
      <c r="AO1783" s="1"/>
      <c r="AP1783" s="1"/>
      <c r="AQ1783" s="1"/>
      <c r="AR1783" s="1"/>
      <c r="AS1783" s="1"/>
      <c r="AT1783" s="1"/>
      <c r="AU1783" s="1"/>
      <c r="AV1783" s="1"/>
      <c r="AW1783" s="1"/>
      <c r="AX1783" s="1"/>
      <c r="AY1783" s="1"/>
      <c r="AZ1783" s="1"/>
      <c r="BA1783" s="1"/>
      <c r="BB1783" s="1"/>
      <c r="BC1783" s="1"/>
      <c r="BD1783" s="1"/>
    </row>
    <row r="1784" spans="35:56">
      <c r="AI1784" s="1"/>
      <c r="AJ1784" s="1"/>
      <c r="AK1784" s="1"/>
      <c r="AL1784" s="1"/>
      <c r="AM1784" s="1"/>
      <c r="AN1784" s="1"/>
      <c r="AO1784" s="1"/>
      <c r="AP1784" s="1"/>
      <c r="AQ1784" s="1"/>
      <c r="AR1784" s="1"/>
      <c r="AS1784" s="1"/>
      <c r="AT1784" s="1"/>
      <c r="AU1784" s="1"/>
      <c r="AV1784" s="1"/>
      <c r="AW1784" s="1"/>
      <c r="AX1784" s="1"/>
      <c r="AY1784" s="1"/>
      <c r="AZ1784" s="1"/>
      <c r="BA1784" s="1"/>
      <c r="BB1784" s="1"/>
      <c r="BC1784" s="1"/>
      <c r="BD1784" s="1"/>
    </row>
    <row r="1785" spans="35:56">
      <c r="AI1785" s="1"/>
      <c r="AJ1785" s="1"/>
      <c r="AK1785" s="1"/>
      <c r="AL1785" s="1"/>
      <c r="AM1785" s="1"/>
      <c r="AN1785" s="1"/>
      <c r="AO1785" s="1"/>
      <c r="AP1785" s="1"/>
      <c r="AQ1785" s="1"/>
      <c r="AR1785" s="1"/>
      <c r="AS1785" s="1"/>
      <c r="AT1785" s="1"/>
      <c r="AU1785" s="1"/>
      <c r="AV1785" s="1"/>
      <c r="AW1785" s="1"/>
      <c r="AX1785" s="1"/>
      <c r="AY1785" s="1"/>
      <c r="AZ1785" s="1"/>
      <c r="BA1785" s="1"/>
      <c r="BB1785" s="1"/>
      <c r="BC1785" s="1"/>
      <c r="BD1785" s="1"/>
    </row>
    <row r="1786" spans="35:56">
      <c r="AI1786" s="1"/>
      <c r="AJ1786" s="1"/>
      <c r="AK1786" s="1"/>
      <c r="AL1786" s="1"/>
      <c r="AM1786" s="1"/>
      <c r="AN1786" s="1"/>
      <c r="AO1786" s="1"/>
      <c r="AP1786" s="1"/>
      <c r="AQ1786" s="1"/>
      <c r="AR1786" s="1"/>
      <c r="AS1786" s="1"/>
      <c r="AT1786" s="1"/>
      <c r="AU1786" s="1"/>
      <c r="AV1786" s="1"/>
      <c r="AW1786" s="1"/>
      <c r="AX1786" s="1"/>
      <c r="AY1786" s="1"/>
      <c r="AZ1786" s="1"/>
      <c r="BA1786" s="1"/>
      <c r="BB1786" s="1"/>
      <c r="BC1786" s="1"/>
      <c r="BD1786" s="1"/>
    </row>
    <row r="1787" spans="35:56">
      <c r="AI1787" s="1"/>
      <c r="AJ1787" s="1"/>
      <c r="AK1787" s="1"/>
      <c r="AL1787" s="1"/>
      <c r="AM1787" s="1"/>
      <c r="AN1787" s="1"/>
      <c r="AO1787" s="1"/>
      <c r="AP1787" s="1"/>
      <c r="AQ1787" s="1"/>
      <c r="AR1787" s="1"/>
      <c r="AS1787" s="1"/>
      <c r="AT1787" s="1"/>
      <c r="AU1787" s="1"/>
      <c r="AV1787" s="1"/>
      <c r="AW1787" s="1"/>
      <c r="AX1787" s="1"/>
      <c r="AY1787" s="1"/>
      <c r="AZ1787" s="1"/>
      <c r="BA1787" s="1"/>
      <c r="BB1787" s="1"/>
      <c r="BC1787" s="1"/>
      <c r="BD1787" s="1"/>
    </row>
    <row r="1788" spans="35:56">
      <c r="AI1788" s="1"/>
      <c r="AJ1788" s="1"/>
      <c r="AK1788" s="1"/>
      <c r="AL1788" s="1"/>
      <c r="AM1788" s="1"/>
      <c r="AN1788" s="1"/>
      <c r="AO1788" s="1"/>
      <c r="AP1788" s="1"/>
      <c r="AQ1788" s="1"/>
      <c r="AR1788" s="1"/>
      <c r="AS1788" s="1"/>
      <c r="AT1788" s="1"/>
      <c r="AU1788" s="1"/>
      <c r="AV1788" s="1"/>
      <c r="AW1788" s="1"/>
      <c r="AX1788" s="1"/>
      <c r="AY1788" s="1"/>
      <c r="AZ1788" s="1"/>
      <c r="BA1788" s="1"/>
      <c r="BB1788" s="1"/>
      <c r="BC1788" s="1"/>
      <c r="BD1788" s="1"/>
    </row>
    <row r="1789" spans="35:56">
      <c r="AI1789" s="1"/>
      <c r="AJ1789" s="1"/>
      <c r="AK1789" s="1"/>
      <c r="AL1789" s="1"/>
      <c r="AM1789" s="1"/>
      <c r="AN1789" s="1"/>
      <c r="AO1789" s="1"/>
      <c r="AP1789" s="1"/>
      <c r="AQ1789" s="1"/>
      <c r="AR1789" s="1"/>
      <c r="AS1789" s="1"/>
      <c r="AT1789" s="1"/>
      <c r="AU1789" s="1"/>
      <c r="AV1789" s="1"/>
      <c r="AW1789" s="1"/>
      <c r="AX1789" s="1"/>
      <c r="AY1789" s="1"/>
      <c r="AZ1789" s="1"/>
      <c r="BA1789" s="1"/>
      <c r="BB1789" s="1"/>
      <c r="BC1789" s="1"/>
      <c r="BD1789" s="1"/>
    </row>
    <row r="1790" spans="35:56">
      <c r="AI1790" s="1"/>
      <c r="AJ1790" s="1"/>
      <c r="AK1790" s="1"/>
      <c r="AL1790" s="1"/>
      <c r="AM1790" s="1"/>
      <c r="AN1790" s="1"/>
      <c r="AO1790" s="1"/>
      <c r="AP1790" s="1"/>
      <c r="AQ1790" s="1"/>
      <c r="AR1790" s="1"/>
      <c r="AS1790" s="1"/>
      <c r="AT1790" s="1"/>
      <c r="AU1790" s="1"/>
      <c r="AV1790" s="1"/>
      <c r="AW1790" s="1"/>
      <c r="AX1790" s="1"/>
      <c r="AY1790" s="1"/>
      <c r="AZ1790" s="1"/>
      <c r="BA1790" s="1"/>
      <c r="BB1790" s="1"/>
      <c r="BC1790" s="1"/>
      <c r="BD1790" s="1"/>
    </row>
    <row r="1791" spans="35:56">
      <c r="AI1791" s="1"/>
      <c r="AJ1791" s="1"/>
      <c r="AK1791" s="1"/>
      <c r="AL1791" s="1"/>
      <c r="AM1791" s="1"/>
      <c r="AN1791" s="1"/>
      <c r="AO1791" s="1"/>
      <c r="AP1791" s="1"/>
      <c r="AQ1791" s="1"/>
      <c r="AR1791" s="1"/>
      <c r="AS1791" s="1"/>
      <c r="AT1791" s="1"/>
      <c r="AU1791" s="1"/>
      <c r="AV1791" s="1"/>
      <c r="AW1791" s="1"/>
      <c r="AX1791" s="1"/>
      <c r="AY1791" s="1"/>
      <c r="AZ1791" s="1"/>
      <c r="BA1791" s="1"/>
      <c r="BB1791" s="1"/>
      <c r="BC1791" s="1"/>
      <c r="BD1791" s="1"/>
    </row>
    <row r="1792" spans="35:56">
      <c r="AI1792" s="1"/>
      <c r="AJ1792" s="1"/>
      <c r="AK1792" s="1"/>
      <c r="AL1792" s="1"/>
      <c r="AM1792" s="1"/>
      <c r="AN1792" s="1"/>
      <c r="AO1792" s="1"/>
      <c r="AP1792" s="1"/>
      <c r="AQ1792" s="1"/>
      <c r="AR1792" s="1"/>
      <c r="AS1792" s="1"/>
      <c r="AT1792" s="1"/>
      <c r="AU1792" s="1"/>
      <c r="AV1792" s="1"/>
      <c r="AW1792" s="1"/>
      <c r="AX1792" s="1"/>
      <c r="AY1792" s="1"/>
      <c r="AZ1792" s="1"/>
      <c r="BA1792" s="1"/>
      <c r="BB1792" s="1"/>
      <c r="BC1792" s="1"/>
      <c r="BD1792" s="1"/>
    </row>
    <row r="1793" spans="35:56">
      <c r="AI1793" s="1"/>
      <c r="AJ1793" s="1"/>
      <c r="AK1793" s="1"/>
      <c r="AL1793" s="1"/>
      <c r="AM1793" s="1"/>
      <c r="AN1793" s="1"/>
      <c r="AO1793" s="1"/>
      <c r="AP1793" s="1"/>
      <c r="AQ1793" s="1"/>
      <c r="AR1793" s="1"/>
      <c r="AS1793" s="1"/>
      <c r="AT1793" s="1"/>
      <c r="AU1793" s="1"/>
      <c r="AV1793" s="1"/>
      <c r="AW1793" s="1"/>
      <c r="AX1793" s="1"/>
      <c r="AY1793" s="1"/>
      <c r="AZ1793" s="1"/>
      <c r="BA1793" s="1"/>
      <c r="BB1793" s="1"/>
      <c r="BC1793" s="1"/>
      <c r="BD1793" s="1"/>
    </row>
    <row r="1794" spans="35:56">
      <c r="AI1794" s="1"/>
      <c r="AJ1794" s="1"/>
      <c r="AK1794" s="1"/>
      <c r="AL1794" s="1"/>
      <c r="AM1794" s="1"/>
      <c r="AN1794" s="1"/>
      <c r="AO1794" s="1"/>
      <c r="AP1794" s="1"/>
      <c r="AQ1794" s="1"/>
      <c r="AR1794" s="1"/>
      <c r="AS1794" s="1"/>
      <c r="AT1794" s="1"/>
      <c r="AU1794" s="1"/>
      <c r="AV1794" s="1"/>
      <c r="AW1794" s="1"/>
      <c r="AX1794" s="1"/>
      <c r="AY1794" s="1"/>
      <c r="AZ1794" s="1"/>
      <c r="BA1794" s="1"/>
      <c r="BB1794" s="1"/>
      <c r="BC1794" s="1"/>
      <c r="BD1794" s="1"/>
    </row>
    <row r="1795" spans="35:56">
      <c r="AI1795" s="1"/>
      <c r="AJ1795" s="1"/>
      <c r="AK1795" s="1"/>
      <c r="AL1795" s="1"/>
      <c r="AM1795" s="1"/>
      <c r="AN1795" s="1"/>
      <c r="AO1795" s="1"/>
      <c r="AP1795" s="1"/>
      <c r="AQ1795" s="1"/>
      <c r="AR1795" s="1"/>
      <c r="AS1795" s="1"/>
      <c r="AT1795" s="1"/>
      <c r="AU1795" s="1"/>
      <c r="AV1795" s="1"/>
      <c r="AW1795" s="1"/>
      <c r="AX1795" s="1"/>
      <c r="AY1795" s="1"/>
      <c r="AZ1795" s="1"/>
      <c r="BA1795" s="1"/>
      <c r="BB1795" s="1"/>
      <c r="BC1795" s="1"/>
      <c r="BD1795" s="1"/>
    </row>
    <row r="1796" spans="35:56">
      <c r="AI1796" s="1"/>
      <c r="AJ1796" s="1"/>
      <c r="AK1796" s="1"/>
      <c r="AL1796" s="1"/>
      <c r="AM1796" s="1"/>
      <c r="AN1796" s="1"/>
      <c r="AO1796" s="1"/>
      <c r="AP1796" s="1"/>
      <c r="AQ1796" s="1"/>
      <c r="AR1796" s="1"/>
      <c r="AS1796" s="1"/>
      <c r="AT1796" s="1"/>
      <c r="AU1796" s="1"/>
      <c r="AV1796" s="1"/>
      <c r="AW1796" s="1"/>
      <c r="AX1796" s="1"/>
      <c r="AY1796" s="1"/>
      <c r="AZ1796" s="1"/>
      <c r="BA1796" s="1"/>
      <c r="BB1796" s="1"/>
      <c r="BC1796" s="1"/>
      <c r="BD1796" s="1"/>
    </row>
    <row r="1797" spans="35:56">
      <c r="AI1797" s="1"/>
      <c r="AJ1797" s="1"/>
      <c r="AK1797" s="1"/>
      <c r="AL1797" s="1"/>
      <c r="AM1797" s="1"/>
      <c r="AN1797" s="1"/>
      <c r="AO1797" s="1"/>
      <c r="AP1797" s="1"/>
      <c r="AQ1797" s="1"/>
      <c r="AR1797" s="1"/>
      <c r="AS1797" s="1"/>
      <c r="AT1797" s="1"/>
      <c r="AU1797" s="1"/>
      <c r="AV1797" s="1"/>
      <c r="AW1797" s="1"/>
      <c r="AX1797" s="1"/>
      <c r="AY1797" s="1"/>
      <c r="AZ1797" s="1"/>
      <c r="BA1797" s="1"/>
      <c r="BB1797" s="1"/>
      <c r="BC1797" s="1"/>
      <c r="BD1797" s="1"/>
    </row>
    <row r="1798" spans="35:56">
      <c r="AI1798" s="1"/>
      <c r="AJ1798" s="1"/>
      <c r="AK1798" s="1"/>
      <c r="AL1798" s="1"/>
      <c r="AM1798" s="1"/>
      <c r="AN1798" s="1"/>
      <c r="AO1798" s="1"/>
      <c r="AP1798" s="1"/>
      <c r="AQ1798" s="1"/>
      <c r="AR1798" s="1"/>
      <c r="AS1798" s="1"/>
      <c r="AT1798" s="1"/>
      <c r="AU1798" s="1"/>
      <c r="AV1798" s="1"/>
      <c r="AW1798" s="1"/>
      <c r="AX1798" s="1"/>
      <c r="AY1798" s="1"/>
      <c r="AZ1798" s="1"/>
      <c r="BA1798" s="1"/>
      <c r="BB1798" s="1"/>
      <c r="BC1798" s="1"/>
      <c r="BD1798" s="1"/>
    </row>
    <row r="1799" spans="35:56">
      <c r="AI1799" s="1"/>
      <c r="AJ1799" s="1"/>
      <c r="AK1799" s="1"/>
      <c r="AL1799" s="1"/>
      <c r="AM1799" s="1"/>
      <c r="AN1799" s="1"/>
      <c r="AO1799" s="1"/>
      <c r="AP1799" s="1"/>
      <c r="AQ1799" s="1"/>
      <c r="AR1799" s="1"/>
      <c r="AS1799" s="1"/>
      <c r="AT1799" s="1"/>
      <c r="AU1799" s="1"/>
      <c r="AV1799" s="1"/>
      <c r="AW1799" s="1"/>
      <c r="AX1799" s="1"/>
      <c r="AY1799" s="1"/>
      <c r="AZ1799" s="1"/>
      <c r="BA1799" s="1"/>
      <c r="BB1799" s="1"/>
      <c r="BC1799" s="1"/>
      <c r="BD1799" s="1"/>
    </row>
    <row r="1800" spans="35:56">
      <c r="AI1800" s="1"/>
      <c r="AJ1800" s="1"/>
      <c r="AK1800" s="1"/>
      <c r="AL1800" s="1"/>
      <c r="AM1800" s="1"/>
      <c r="AN1800" s="1"/>
      <c r="AO1800" s="1"/>
      <c r="AP1800" s="1"/>
      <c r="AQ1800" s="1"/>
      <c r="AR1800" s="1"/>
      <c r="AS1800" s="1"/>
      <c r="AT1800" s="1"/>
      <c r="AU1800" s="1"/>
      <c r="AV1800" s="1"/>
      <c r="AW1800" s="1"/>
      <c r="AX1800" s="1"/>
      <c r="AY1800" s="1"/>
      <c r="AZ1800" s="1"/>
      <c r="BA1800" s="1"/>
      <c r="BB1800" s="1"/>
      <c r="BC1800" s="1"/>
      <c r="BD1800" s="1"/>
    </row>
    <row r="1801" spans="35:56">
      <c r="AI1801" s="1"/>
      <c r="AJ1801" s="1"/>
      <c r="AK1801" s="1"/>
      <c r="AL1801" s="1"/>
      <c r="AM1801" s="1"/>
      <c r="AN1801" s="1"/>
      <c r="AO1801" s="1"/>
      <c r="AP1801" s="1"/>
      <c r="AQ1801" s="1"/>
      <c r="AR1801" s="1"/>
      <c r="AS1801" s="1"/>
      <c r="AT1801" s="1"/>
      <c r="AU1801" s="1"/>
      <c r="AV1801" s="1"/>
      <c r="AW1801" s="1"/>
      <c r="AX1801" s="1"/>
      <c r="AY1801" s="1"/>
      <c r="AZ1801" s="1"/>
      <c r="BA1801" s="1"/>
      <c r="BB1801" s="1"/>
      <c r="BC1801" s="1"/>
      <c r="BD1801" s="1"/>
    </row>
    <row r="1802" spans="35:56">
      <c r="AI1802" s="1"/>
      <c r="AJ1802" s="1"/>
      <c r="AK1802" s="1"/>
      <c r="AL1802" s="1"/>
      <c r="AM1802" s="1"/>
      <c r="AN1802" s="1"/>
      <c r="AO1802" s="1"/>
      <c r="AP1802" s="1"/>
      <c r="AQ1802" s="1"/>
      <c r="AR1802" s="1"/>
      <c r="AS1802" s="1"/>
      <c r="AT1802" s="1"/>
      <c r="AU1802" s="1"/>
      <c r="AV1802" s="1"/>
      <c r="AW1802" s="1"/>
      <c r="AX1802" s="1"/>
      <c r="AY1802" s="1"/>
      <c r="AZ1802" s="1"/>
      <c r="BA1802" s="1"/>
      <c r="BB1802" s="1"/>
      <c r="BC1802" s="1"/>
      <c r="BD1802" s="1"/>
    </row>
    <row r="1803" spans="35:56">
      <c r="AI1803" s="1"/>
      <c r="AJ1803" s="1"/>
      <c r="AK1803" s="1"/>
      <c r="AL1803" s="1"/>
      <c r="AM1803" s="1"/>
      <c r="AN1803" s="1"/>
      <c r="AO1803" s="1"/>
      <c r="AP1803" s="1"/>
      <c r="AQ1803" s="1"/>
      <c r="AR1803" s="1"/>
      <c r="AS1803" s="1"/>
      <c r="AT1803" s="1"/>
      <c r="AU1803" s="1"/>
      <c r="AV1803" s="1"/>
      <c r="AW1803" s="1"/>
      <c r="AX1803" s="1"/>
      <c r="AY1803" s="1"/>
      <c r="AZ1803" s="1"/>
      <c r="BA1803" s="1"/>
      <c r="BB1803" s="1"/>
      <c r="BC1803" s="1"/>
      <c r="BD1803" s="1"/>
    </row>
    <row r="1804" spans="35:56">
      <c r="AI1804" s="1"/>
      <c r="AJ1804" s="1"/>
      <c r="AK1804" s="1"/>
      <c r="AL1804" s="1"/>
      <c r="AM1804" s="1"/>
      <c r="AN1804" s="1"/>
      <c r="AO1804" s="1"/>
      <c r="AP1804" s="1"/>
      <c r="AQ1804" s="1"/>
      <c r="AR1804" s="1"/>
      <c r="AS1804" s="1"/>
      <c r="AT1804" s="1"/>
      <c r="AU1804" s="1"/>
      <c r="AV1804" s="1"/>
      <c r="AW1804" s="1"/>
      <c r="AX1804" s="1"/>
      <c r="AY1804" s="1"/>
      <c r="AZ1804" s="1"/>
      <c r="BA1804" s="1"/>
      <c r="BB1804" s="1"/>
      <c r="BC1804" s="1"/>
      <c r="BD1804" s="1"/>
    </row>
    <row r="1805" spans="35:56">
      <c r="AI1805" s="1"/>
      <c r="AJ1805" s="1"/>
      <c r="AK1805" s="1"/>
      <c r="AL1805" s="1"/>
      <c r="AM1805" s="1"/>
      <c r="AN1805" s="1"/>
      <c r="AO1805" s="1"/>
      <c r="AP1805" s="1"/>
      <c r="AQ1805" s="1"/>
      <c r="AR1805" s="1"/>
      <c r="AS1805" s="1"/>
      <c r="AT1805" s="1"/>
      <c r="AU1805" s="1"/>
      <c r="AV1805" s="1"/>
      <c r="AW1805" s="1"/>
      <c r="AX1805" s="1"/>
      <c r="AY1805" s="1"/>
      <c r="AZ1805" s="1"/>
      <c r="BA1805" s="1"/>
      <c r="BB1805" s="1"/>
      <c r="BC1805" s="1"/>
      <c r="BD1805" s="1"/>
    </row>
    <row r="1806" spans="35:56">
      <c r="AI1806" s="1"/>
      <c r="AJ1806" s="1"/>
      <c r="AK1806" s="1"/>
      <c r="AL1806" s="1"/>
      <c r="AM1806" s="1"/>
      <c r="AN1806" s="1"/>
      <c r="AO1806" s="1"/>
      <c r="AP1806" s="1"/>
      <c r="AQ1806" s="1"/>
      <c r="AR1806" s="1"/>
      <c r="AS1806" s="1"/>
      <c r="AT1806" s="1"/>
      <c r="AU1806" s="1"/>
      <c r="AV1806" s="1"/>
      <c r="AW1806" s="1"/>
      <c r="AX1806" s="1"/>
      <c r="AY1806" s="1"/>
      <c r="AZ1806" s="1"/>
      <c r="BA1806" s="1"/>
      <c r="BB1806" s="1"/>
      <c r="BC1806" s="1"/>
      <c r="BD1806" s="1"/>
    </row>
    <row r="1807" spans="35:56">
      <c r="AI1807" s="1"/>
      <c r="AJ1807" s="1"/>
      <c r="AK1807" s="1"/>
      <c r="AL1807" s="1"/>
      <c r="AM1807" s="1"/>
      <c r="AN1807" s="1"/>
      <c r="AO1807" s="1"/>
      <c r="AP1807" s="1"/>
      <c r="AQ1807" s="1"/>
      <c r="AR1807" s="1"/>
      <c r="AS1807" s="1"/>
      <c r="AT1807" s="1"/>
      <c r="AU1807" s="1"/>
      <c r="AV1807" s="1"/>
      <c r="AW1807" s="1"/>
      <c r="AX1807" s="1"/>
      <c r="AY1807" s="1"/>
      <c r="AZ1807" s="1"/>
      <c r="BA1807" s="1"/>
      <c r="BB1807" s="1"/>
      <c r="BC1807" s="1"/>
      <c r="BD1807" s="1"/>
    </row>
    <row r="1808" spans="35:56">
      <c r="AI1808" s="1"/>
      <c r="AJ1808" s="1"/>
      <c r="AK1808" s="1"/>
      <c r="AL1808" s="1"/>
      <c r="AM1808" s="1"/>
      <c r="AN1808" s="1"/>
      <c r="AO1808" s="1"/>
      <c r="AP1808" s="1"/>
      <c r="AQ1808" s="1"/>
      <c r="AR1808" s="1"/>
      <c r="AS1808" s="1"/>
      <c r="AT1808" s="1"/>
      <c r="AU1808" s="1"/>
      <c r="AV1808" s="1"/>
      <c r="AW1808" s="1"/>
      <c r="AX1808" s="1"/>
      <c r="AY1808" s="1"/>
      <c r="AZ1808" s="1"/>
      <c r="BA1808" s="1"/>
      <c r="BB1808" s="1"/>
      <c r="BC1808" s="1"/>
      <c r="BD1808" s="1"/>
    </row>
    <row r="1809" spans="35:56">
      <c r="AI1809" s="1"/>
      <c r="AJ1809" s="1"/>
      <c r="AK1809" s="1"/>
      <c r="AL1809" s="1"/>
      <c r="AM1809" s="1"/>
      <c r="AN1809" s="1"/>
      <c r="AO1809" s="1"/>
      <c r="AP1809" s="1"/>
      <c r="AQ1809" s="1"/>
      <c r="AR1809" s="1"/>
      <c r="AS1809" s="1"/>
      <c r="AT1809" s="1"/>
      <c r="AU1809" s="1"/>
      <c r="AV1809" s="1"/>
      <c r="AW1809" s="1"/>
      <c r="AX1809" s="1"/>
      <c r="AY1809" s="1"/>
      <c r="AZ1809" s="1"/>
      <c r="BA1809" s="1"/>
      <c r="BB1809" s="1"/>
      <c r="BC1809" s="1"/>
      <c r="BD1809" s="1"/>
    </row>
    <row r="1810" spans="35:56">
      <c r="AI1810" s="1"/>
      <c r="AJ1810" s="1"/>
      <c r="AK1810" s="1"/>
      <c r="AL1810" s="1"/>
      <c r="AM1810" s="1"/>
      <c r="AN1810" s="1"/>
      <c r="AO1810" s="1"/>
      <c r="AP1810" s="1"/>
      <c r="AQ1810" s="1"/>
      <c r="AR1810" s="1"/>
      <c r="AS1810" s="1"/>
      <c r="AT1810" s="1"/>
      <c r="AU1810" s="1"/>
      <c r="AV1810" s="1"/>
      <c r="AW1810" s="1"/>
      <c r="AX1810" s="1"/>
      <c r="AY1810" s="1"/>
      <c r="AZ1810" s="1"/>
      <c r="BA1810" s="1"/>
      <c r="BB1810" s="1"/>
      <c r="BC1810" s="1"/>
      <c r="BD1810" s="1"/>
    </row>
    <row r="1811" spans="35:56">
      <c r="AI1811" s="1"/>
      <c r="AJ1811" s="1"/>
      <c r="AK1811" s="1"/>
      <c r="AL1811" s="1"/>
      <c r="AM1811" s="1"/>
      <c r="AN1811" s="1"/>
      <c r="AO1811" s="1"/>
      <c r="AP1811" s="1"/>
      <c r="AQ1811" s="1"/>
      <c r="AR1811" s="1"/>
      <c r="AS1811" s="1"/>
      <c r="AT1811" s="1"/>
      <c r="AU1811" s="1"/>
      <c r="AV1811" s="1"/>
      <c r="AW1811" s="1"/>
      <c r="AX1811" s="1"/>
      <c r="AY1811" s="1"/>
      <c r="AZ1811" s="1"/>
      <c r="BA1811" s="1"/>
      <c r="BB1811" s="1"/>
      <c r="BC1811" s="1"/>
      <c r="BD1811" s="1"/>
    </row>
    <row r="1812" spans="35:56">
      <c r="AI1812" s="1"/>
      <c r="AJ1812" s="1"/>
      <c r="AK1812" s="1"/>
      <c r="AL1812" s="1"/>
      <c r="AM1812" s="1"/>
      <c r="AN1812" s="1"/>
      <c r="AO1812" s="1"/>
      <c r="AP1812" s="1"/>
      <c r="AQ1812" s="1"/>
      <c r="AR1812" s="1"/>
      <c r="AS1812" s="1"/>
      <c r="AT1812" s="1"/>
      <c r="AU1812" s="1"/>
      <c r="AV1812" s="1"/>
      <c r="AW1812" s="1"/>
      <c r="AX1812" s="1"/>
      <c r="AY1812" s="1"/>
      <c r="AZ1812" s="1"/>
      <c r="BA1812" s="1"/>
      <c r="BB1812" s="1"/>
      <c r="BC1812" s="1"/>
      <c r="BD1812" s="1"/>
    </row>
    <row r="1813" spans="35:56">
      <c r="AI1813" s="1"/>
      <c r="AJ1813" s="1"/>
      <c r="AK1813" s="1"/>
      <c r="AL1813" s="1"/>
      <c r="AM1813" s="1"/>
      <c r="AN1813" s="1"/>
      <c r="AO1813" s="1"/>
      <c r="AP1813" s="1"/>
      <c r="AQ1813" s="1"/>
      <c r="AR1813" s="1"/>
      <c r="AS1813" s="1"/>
      <c r="AT1813" s="1"/>
      <c r="AU1813" s="1"/>
      <c r="AV1813" s="1"/>
      <c r="AW1813" s="1"/>
      <c r="AX1813" s="1"/>
      <c r="AY1813" s="1"/>
      <c r="AZ1813" s="1"/>
      <c r="BA1813" s="1"/>
      <c r="BB1813" s="1"/>
      <c r="BC1813" s="1"/>
      <c r="BD1813" s="1"/>
    </row>
    <row r="1814" spans="35:56">
      <c r="AI1814" s="1"/>
      <c r="AJ1814" s="1"/>
      <c r="AK1814" s="1"/>
      <c r="AL1814" s="1"/>
      <c r="AM1814" s="1"/>
      <c r="AN1814" s="1"/>
      <c r="AO1814" s="1"/>
      <c r="AP1814" s="1"/>
      <c r="AQ1814" s="1"/>
      <c r="AR1814" s="1"/>
      <c r="AS1814" s="1"/>
      <c r="AT1814" s="1"/>
      <c r="AU1814" s="1"/>
      <c r="AV1814" s="1"/>
      <c r="AW1814" s="1"/>
      <c r="AX1814" s="1"/>
      <c r="AY1814" s="1"/>
      <c r="AZ1814" s="1"/>
      <c r="BA1814" s="1"/>
      <c r="BB1814" s="1"/>
      <c r="BC1814" s="1"/>
      <c r="BD1814" s="1"/>
    </row>
    <row r="1815" spans="35:56">
      <c r="AI1815" s="1"/>
      <c r="AJ1815" s="1"/>
      <c r="AK1815" s="1"/>
      <c r="AL1815" s="1"/>
      <c r="AM1815" s="1"/>
      <c r="AN1815" s="1"/>
      <c r="AO1815" s="1"/>
      <c r="AP1815" s="1"/>
      <c r="AQ1815" s="1"/>
      <c r="AR1815" s="1"/>
      <c r="AS1815" s="1"/>
      <c r="AT1815" s="1"/>
      <c r="AU1815" s="1"/>
      <c r="AV1815" s="1"/>
      <c r="AW1815" s="1"/>
      <c r="AX1815" s="1"/>
      <c r="AY1815" s="1"/>
      <c r="AZ1815" s="1"/>
      <c r="BA1815" s="1"/>
      <c r="BB1815" s="1"/>
      <c r="BC1815" s="1"/>
      <c r="BD1815" s="1"/>
    </row>
    <row r="1816" spans="35:56">
      <c r="AI1816" s="1"/>
      <c r="AJ1816" s="1"/>
      <c r="AK1816" s="1"/>
      <c r="AL1816" s="1"/>
      <c r="AM1816" s="1"/>
      <c r="AN1816" s="1"/>
      <c r="AO1816" s="1"/>
      <c r="AP1816" s="1"/>
      <c r="AQ1816" s="1"/>
      <c r="AR1816" s="1"/>
      <c r="AS1816" s="1"/>
      <c r="AT1816" s="1"/>
      <c r="AU1816" s="1"/>
      <c r="AV1816" s="1"/>
      <c r="AW1816" s="1"/>
      <c r="AX1816" s="1"/>
      <c r="AY1816" s="1"/>
      <c r="AZ1816" s="1"/>
      <c r="BA1816" s="1"/>
      <c r="BB1816" s="1"/>
      <c r="BC1816" s="1"/>
      <c r="BD1816" s="1"/>
    </row>
    <row r="1817" spans="35:56">
      <c r="AI1817" s="1"/>
      <c r="AJ1817" s="1"/>
      <c r="AK1817" s="1"/>
      <c r="AL1817" s="1"/>
      <c r="AM1817" s="1"/>
      <c r="AN1817" s="1"/>
      <c r="AO1817" s="1"/>
      <c r="AP1817" s="1"/>
      <c r="AQ1817" s="1"/>
      <c r="AR1817" s="1"/>
      <c r="AS1817" s="1"/>
      <c r="AT1817" s="1"/>
      <c r="AU1817" s="1"/>
      <c r="AV1817" s="1"/>
      <c r="AW1817" s="1"/>
      <c r="AX1817" s="1"/>
      <c r="AY1817" s="1"/>
      <c r="AZ1817" s="1"/>
      <c r="BA1817" s="1"/>
      <c r="BB1817" s="1"/>
      <c r="BC1817" s="1"/>
      <c r="BD1817" s="1"/>
    </row>
    <row r="1818" spans="35:56">
      <c r="AI1818" s="1"/>
      <c r="AJ1818" s="1"/>
      <c r="AK1818" s="1"/>
      <c r="AL1818" s="1"/>
      <c r="AM1818" s="1"/>
      <c r="AN1818" s="1"/>
      <c r="AO1818" s="1"/>
      <c r="AP1818" s="1"/>
      <c r="AQ1818" s="1"/>
      <c r="AR1818" s="1"/>
      <c r="AS1818" s="1"/>
      <c r="AT1818" s="1"/>
      <c r="AU1818" s="1"/>
      <c r="AV1818" s="1"/>
      <c r="AW1818" s="1"/>
      <c r="AX1818" s="1"/>
      <c r="AY1818" s="1"/>
      <c r="AZ1818" s="1"/>
      <c r="BA1818" s="1"/>
      <c r="BB1818" s="1"/>
      <c r="BC1818" s="1"/>
      <c r="BD1818" s="1"/>
    </row>
    <row r="1819" spans="35:56">
      <c r="AI1819" s="1"/>
      <c r="AJ1819" s="1"/>
      <c r="AK1819" s="1"/>
      <c r="AL1819" s="1"/>
      <c r="AM1819" s="1"/>
      <c r="AN1819" s="1"/>
      <c r="AO1819" s="1"/>
      <c r="AP1819" s="1"/>
      <c r="AQ1819" s="1"/>
      <c r="AR1819" s="1"/>
      <c r="AS1819" s="1"/>
      <c r="AT1819" s="1"/>
      <c r="AU1819" s="1"/>
      <c r="AV1819" s="1"/>
      <c r="AW1819" s="1"/>
      <c r="AX1819" s="1"/>
      <c r="AY1819" s="1"/>
      <c r="AZ1819" s="1"/>
      <c r="BA1819" s="1"/>
      <c r="BB1819" s="1"/>
      <c r="BC1819" s="1"/>
      <c r="BD1819" s="1"/>
    </row>
    <row r="1820" spans="35:56">
      <c r="AI1820" s="1"/>
      <c r="AJ1820" s="1"/>
      <c r="AK1820" s="1"/>
      <c r="AL1820" s="1"/>
      <c r="AM1820" s="1"/>
      <c r="AN1820" s="1"/>
      <c r="AO1820" s="1"/>
      <c r="AP1820" s="1"/>
      <c r="AQ1820" s="1"/>
      <c r="AR1820" s="1"/>
      <c r="AS1820" s="1"/>
      <c r="AT1820" s="1"/>
      <c r="AU1820" s="1"/>
      <c r="AV1820" s="1"/>
      <c r="AW1820" s="1"/>
      <c r="AX1820" s="1"/>
      <c r="AY1820" s="1"/>
      <c r="AZ1820" s="1"/>
      <c r="BA1820" s="1"/>
      <c r="BB1820" s="1"/>
      <c r="BC1820" s="1"/>
      <c r="BD1820" s="1"/>
    </row>
    <row r="1821" spans="35:56">
      <c r="AI1821" s="1"/>
      <c r="AJ1821" s="1"/>
      <c r="AK1821" s="1"/>
      <c r="AL1821" s="1"/>
      <c r="AM1821" s="1"/>
      <c r="AN1821" s="1"/>
      <c r="AO1821" s="1"/>
      <c r="AP1821" s="1"/>
      <c r="AQ1821" s="1"/>
      <c r="AR1821" s="1"/>
      <c r="AS1821" s="1"/>
      <c r="AT1821" s="1"/>
      <c r="AU1821" s="1"/>
      <c r="AV1821" s="1"/>
      <c r="AW1821" s="1"/>
      <c r="AX1821" s="1"/>
      <c r="AY1821" s="1"/>
      <c r="AZ1821" s="1"/>
      <c r="BA1821" s="1"/>
      <c r="BB1821" s="1"/>
      <c r="BC1821" s="1"/>
      <c r="BD1821" s="1"/>
    </row>
    <row r="1822" spans="35:56">
      <c r="AI1822" s="1"/>
      <c r="AJ1822" s="1"/>
      <c r="AK1822" s="1"/>
      <c r="AL1822" s="1"/>
      <c r="AM1822" s="1"/>
      <c r="AN1822" s="1"/>
      <c r="AO1822" s="1"/>
      <c r="AP1822" s="1"/>
      <c r="AQ1822" s="1"/>
      <c r="AR1822" s="1"/>
      <c r="AS1822" s="1"/>
      <c r="AT1822" s="1"/>
      <c r="AU1822" s="1"/>
      <c r="AV1822" s="1"/>
      <c r="AW1822" s="1"/>
      <c r="AX1822" s="1"/>
      <c r="AY1822" s="1"/>
      <c r="AZ1822" s="1"/>
      <c r="BA1822" s="1"/>
      <c r="BB1822" s="1"/>
      <c r="BC1822" s="1"/>
      <c r="BD1822" s="1"/>
    </row>
    <row r="1823" spans="35:56">
      <c r="AI1823" s="1"/>
      <c r="AJ1823" s="1"/>
      <c r="AK1823" s="1"/>
      <c r="AL1823" s="1"/>
      <c r="AM1823" s="1"/>
      <c r="AN1823" s="1"/>
      <c r="AO1823" s="1"/>
      <c r="AP1823" s="1"/>
      <c r="AQ1823" s="1"/>
      <c r="AR1823" s="1"/>
      <c r="AS1823" s="1"/>
      <c r="AT1823" s="1"/>
      <c r="AU1823" s="1"/>
      <c r="AV1823" s="1"/>
      <c r="AW1823" s="1"/>
      <c r="AX1823" s="1"/>
      <c r="AY1823" s="1"/>
      <c r="AZ1823" s="1"/>
      <c r="BA1823" s="1"/>
      <c r="BB1823" s="1"/>
      <c r="BC1823" s="1"/>
      <c r="BD1823" s="1"/>
    </row>
    <row r="1824" spans="35:56">
      <c r="AI1824" s="1"/>
      <c r="AJ1824" s="1"/>
      <c r="AK1824" s="1"/>
      <c r="AL1824" s="1"/>
      <c r="AM1824" s="1"/>
      <c r="AN1824" s="1"/>
      <c r="AO1824" s="1"/>
      <c r="AP1824" s="1"/>
      <c r="AQ1824" s="1"/>
      <c r="AR1824" s="1"/>
      <c r="AS1824" s="1"/>
      <c r="AT1824" s="1"/>
      <c r="AU1824" s="1"/>
      <c r="AV1824" s="1"/>
      <c r="AW1824" s="1"/>
      <c r="AX1824" s="1"/>
      <c r="AY1824" s="1"/>
      <c r="AZ1824" s="1"/>
      <c r="BA1824" s="1"/>
      <c r="BB1824" s="1"/>
      <c r="BC1824" s="1"/>
      <c r="BD1824" s="1"/>
    </row>
    <row r="1825" spans="35:56">
      <c r="AI1825" s="1"/>
      <c r="AJ1825" s="1"/>
      <c r="AK1825" s="1"/>
      <c r="AL1825" s="1"/>
      <c r="AM1825" s="1"/>
      <c r="AN1825" s="1"/>
      <c r="AO1825" s="1"/>
      <c r="AP1825" s="1"/>
      <c r="AQ1825" s="1"/>
      <c r="AR1825" s="1"/>
      <c r="AS1825" s="1"/>
      <c r="AT1825" s="1"/>
      <c r="AU1825" s="1"/>
      <c r="AV1825" s="1"/>
      <c r="AW1825" s="1"/>
      <c r="AX1825" s="1"/>
      <c r="AY1825" s="1"/>
      <c r="AZ1825" s="1"/>
      <c r="BA1825" s="1"/>
      <c r="BB1825" s="1"/>
      <c r="BC1825" s="1"/>
      <c r="BD1825" s="1"/>
    </row>
    <row r="1826" spans="35:56">
      <c r="AI1826" s="1"/>
      <c r="AJ1826" s="1"/>
      <c r="AK1826" s="1"/>
      <c r="AL1826" s="1"/>
      <c r="AM1826" s="1"/>
      <c r="AN1826" s="1"/>
      <c r="AO1826" s="1"/>
      <c r="AP1826" s="1"/>
      <c r="AQ1826" s="1"/>
      <c r="AR1826" s="1"/>
      <c r="AS1826" s="1"/>
      <c r="AT1826" s="1"/>
      <c r="AU1826" s="1"/>
      <c r="AV1826" s="1"/>
      <c r="AW1826" s="1"/>
      <c r="AX1826" s="1"/>
      <c r="AY1826" s="1"/>
      <c r="AZ1826" s="1"/>
      <c r="BA1826" s="1"/>
      <c r="BB1826" s="1"/>
      <c r="BC1826" s="1"/>
      <c r="BD1826" s="1"/>
    </row>
    <row r="1827" spans="35:56">
      <c r="AI1827" s="1"/>
      <c r="AJ1827" s="1"/>
      <c r="AK1827" s="1"/>
      <c r="AL1827" s="1"/>
      <c r="AM1827" s="1"/>
      <c r="AN1827" s="1"/>
      <c r="AO1827" s="1"/>
      <c r="AP1827" s="1"/>
      <c r="AQ1827" s="1"/>
      <c r="AR1827" s="1"/>
      <c r="AS1827" s="1"/>
      <c r="AT1827" s="1"/>
      <c r="AU1827" s="1"/>
      <c r="AV1827" s="1"/>
      <c r="AW1827" s="1"/>
      <c r="AX1827" s="1"/>
      <c r="AY1827" s="1"/>
      <c r="AZ1827" s="1"/>
      <c r="BA1827" s="1"/>
      <c r="BB1827" s="1"/>
      <c r="BC1827" s="1"/>
      <c r="BD1827" s="1"/>
    </row>
    <row r="1828" spans="35:56">
      <c r="AI1828" s="1"/>
      <c r="AJ1828" s="1"/>
      <c r="AK1828" s="1"/>
      <c r="AL1828" s="1"/>
      <c r="AM1828" s="1"/>
      <c r="AN1828" s="1"/>
      <c r="AO1828" s="1"/>
      <c r="AP1828" s="1"/>
      <c r="AQ1828" s="1"/>
      <c r="AR1828" s="1"/>
      <c r="AS1828" s="1"/>
      <c r="AT1828" s="1"/>
      <c r="AU1828" s="1"/>
      <c r="AV1828" s="1"/>
      <c r="AW1828" s="1"/>
      <c r="AX1828" s="1"/>
      <c r="AY1828" s="1"/>
      <c r="AZ1828" s="1"/>
      <c r="BA1828" s="1"/>
      <c r="BB1828" s="1"/>
      <c r="BC1828" s="1"/>
      <c r="BD1828" s="1"/>
    </row>
    <row r="1829" spans="35:56">
      <c r="AI1829" s="1"/>
      <c r="AJ1829" s="1"/>
      <c r="AK1829" s="1"/>
      <c r="AL1829" s="1"/>
      <c r="AM1829" s="1"/>
      <c r="AN1829" s="1"/>
      <c r="AO1829" s="1"/>
      <c r="AP1829" s="1"/>
      <c r="AQ1829" s="1"/>
      <c r="AR1829" s="1"/>
      <c r="AS1829" s="1"/>
      <c r="AT1829" s="1"/>
      <c r="AU1829" s="1"/>
      <c r="AV1829" s="1"/>
      <c r="AW1829" s="1"/>
      <c r="AX1829" s="1"/>
      <c r="AY1829" s="1"/>
      <c r="AZ1829" s="1"/>
      <c r="BA1829" s="1"/>
      <c r="BB1829" s="1"/>
      <c r="BC1829" s="1"/>
      <c r="BD1829" s="1"/>
    </row>
    <row r="1830" spans="35:56">
      <c r="AI1830" s="1"/>
      <c r="AJ1830" s="1"/>
      <c r="AK1830" s="1"/>
      <c r="AL1830" s="1"/>
      <c r="AM1830" s="1"/>
      <c r="AN1830" s="1"/>
      <c r="AO1830" s="1"/>
      <c r="AP1830" s="1"/>
      <c r="AQ1830" s="1"/>
      <c r="AR1830" s="1"/>
      <c r="AS1830" s="1"/>
      <c r="AT1830" s="1"/>
      <c r="AU1830" s="1"/>
      <c r="AV1830" s="1"/>
      <c r="AW1830" s="1"/>
      <c r="AX1830" s="1"/>
      <c r="AY1830" s="1"/>
      <c r="AZ1830" s="1"/>
      <c r="BA1830" s="1"/>
      <c r="BB1830" s="1"/>
      <c r="BC1830" s="1"/>
      <c r="BD1830" s="1"/>
    </row>
    <row r="1831" spans="35:56">
      <c r="AI1831" s="1"/>
      <c r="AJ1831" s="1"/>
      <c r="AK1831" s="1"/>
      <c r="AL1831" s="1"/>
      <c r="AM1831" s="1"/>
      <c r="AN1831" s="1"/>
      <c r="AO1831" s="1"/>
      <c r="AP1831" s="1"/>
      <c r="AQ1831" s="1"/>
      <c r="AR1831" s="1"/>
      <c r="AS1831" s="1"/>
      <c r="AT1831" s="1"/>
      <c r="AU1831" s="1"/>
      <c r="AV1831" s="1"/>
      <c r="AW1831" s="1"/>
      <c r="AX1831" s="1"/>
      <c r="AY1831" s="1"/>
      <c r="AZ1831" s="1"/>
      <c r="BA1831" s="1"/>
      <c r="BB1831" s="1"/>
      <c r="BC1831" s="1"/>
      <c r="BD1831" s="1"/>
    </row>
    <row r="1832" spans="35:56">
      <c r="AI1832" s="1"/>
      <c r="AJ1832" s="1"/>
      <c r="AK1832" s="1"/>
      <c r="AL1832" s="1"/>
      <c r="AM1832" s="1"/>
      <c r="AN1832" s="1"/>
      <c r="AO1832" s="1"/>
      <c r="AP1832" s="1"/>
      <c r="AQ1832" s="1"/>
      <c r="AR1832" s="1"/>
      <c r="AS1832" s="1"/>
      <c r="AT1832" s="1"/>
      <c r="AU1832" s="1"/>
      <c r="AV1832" s="1"/>
      <c r="AW1832" s="1"/>
      <c r="AX1832" s="1"/>
      <c r="AY1832" s="1"/>
      <c r="AZ1832" s="1"/>
      <c r="BA1832" s="1"/>
      <c r="BB1832" s="1"/>
      <c r="BC1832" s="1"/>
      <c r="BD1832" s="1"/>
    </row>
    <row r="1833" spans="35:56">
      <c r="AI1833" s="1"/>
      <c r="AJ1833" s="1"/>
      <c r="AK1833" s="1"/>
      <c r="AL1833" s="1"/>
      <c r="AM1833" s="1"/>
      <c r="AN1833" s="1"/>
      <c r="AO1833" s="1"/>
      <c r="AP1833" s="1"/>
      <c r="AQ1833" s="1"/>
      <c r="AR1833" s="1"/>
      <c r="AS1833" s="1"/>
      <c r="AT1833" s="1"/>
      <c r="AU1833" s="1"/>
      <c r="AV1833" s="1"/>
      <c r="AW1833" s="1"/>
      <c r="AX1833" s="1"/>
      <c r="AY1833" s="1"/>
      <c r="AZ1833" s="1"/>
      <c r="BA1833" s="1"/>
      <c r="BB1833" s="1"/>
      <c r="BC1833" s="1"/>
      <c r="BD1833" s="1"/>
    </row>
    <row r="1834" spans="35:56">
      <c r="AI1834" s="1"/>
      <c r="AJ1834" s="1"/>
      <c r="AK1834" s="1"/>
      <c r="AL1834" s="1"/>
      <c r="AM1834" s="1"/>
      <c r="AN1834" s="1"/>
      <c r="AO1834" s="1"/>
      <c r="AP1834" s="1"/>
      <c r="AQ1834" s="1"/>
      <c r="AR1834" s="1"/>
      <c r="AS1834" s="1"/>
      <c r="AT1834" s="1"/>
      <c r="AU1834" s="1"/>
      <c r="AV1834" s="1"/>
      <c r="AW1834" s="1"/>
      <c r="AX1834" s="1"/>
      <c r="AY1834" s="1"/>
      <c r="AZ1834" s="1"/>
      <c r="BA1834" s="1"/>
      <c r="BB1834" s="1"/>
      <c r="BC1834" s="1"/>
      <c r="BD1834" s="1"/>
    </row>
    <row r="1835" spans="35:56">
      <c r="AI1835" s="1"/>
      <c r="AJ1835" s="1"/>
      <c r="AK1835" s="1"/>
      <c r="AL1835" s="1"/>
      <c r="AM1835" s="1"/>
      <c r="AN1835" s="1"/>
      <c r="AO1835" s="1"/>
      <c r="AP1835" s="1"/>
      <c r="AQ1835" s="1"/>
      <c r="AR1835" s="1"/>
      <c r="AS1835" s="1"/>
      <c r="AT1835" s="1"/>
      <c r="AU1835" s="1"/>
      <c r="AV1835" s="1"/>
      <c r="AW1835" s="1"/>
      <c r="AX1835" s="1"/>
      <c r="AY1835" s="1"/>
      <c r="AZ1835" s="1"/>
      <c r="BA1835" s="1"/>
      <c r="BB1835" s="1"/>
      <c r="BC1835" s="1"/>
      <c r="BD1835" s="1"/>
    </row>
    <row r="1836" spans="35:56">
      <c r="AI1836" s="1"/>
      <c r="AJ1836" s="1"/>
      <c r="AK1836" s="1"/>
      <c r="AL1836" s="1"/>
      <c r="AM1836" s="1"/>
      <c r="AN1836" s="1"/>
      <c r="AO1836" s="1"/>
      <c r="AP1836" s="1"/>
      <c r="AQ1836" s="1"/>
      <c r="AR1836" s="1"/>
      <c r="AS1836" s="1"/>
      <c r="AT1836" s="1"/>
      <c r="AU1836" s="1"/>
      <c r="AV1836" s="1"/>
      <c r="AW1836" s="1"/>
      <c r="AX1836" s="1"/>
      <c r="AY1836" s="1"/>
      <c r="AZ1836" s="1"/>
      <c r="BA1836" s="1"/>
      <c r="BB1836" s="1"/>
      <c r="BC1836" s="1"/>
      <c r="BD1836" s="1"/>
    </row>
    <row r="1837" spans="35:56">
      <c r="AI1837" s="1"/>
      <c r="AJ1837" s="1"/>
      <c r="AK1837" s="1"/>
      <c r="AL1837" s="1"/>
      <c r="AM1837" s="1"/>
      <c r="AN1837" s="1"/>
      <c r="AO1837" s="1"/>
      <c r="AP1837" s="1"/>
      <c r="AQ1837" s="1"/>
      <c r="AR1837" s="1"/>
      <c r="AS1837" s="1"/>
      <c r="AT1837" s="1"/>
      <c r="AU1837" s="1"/>
      <c r="AV1837" s="1"/>
      <c r="AW1837" s="1"/>
      <c r="AX1837" s="1"/>
      <c r="AY1837" s="1"/>
      <c r="AZ1837" s="1"/>
      <c r="BA1837" s="1"/>
      <c r="BB1837" s="1"/>
      <c r="BC1837" s="1"/>
      <c r="BD1837" s="1"/>
    </row>
    <row r="1838" spans="35:56">
      <c r="AI1838" s="1"/>
      <c r="AJ1838" s="1"/>
      <c r="AK1838" s="1"/>
      <c r="AL1838" s="1"/>
      <c r="AM1838" s="1"/>
      <c r="AN1838" s="1"/>
      <c r="AO1838" s="1"/>
      <c r="AP1838" s="1"/>
      <c r="AQ1838" s="1"/>
      <c r="AR1838" s="1"/>
      <c r="AS1838" s="1"/>
      <c r="AT1838" s="1"/>
      <c r="AU1838" s="1"/>
      <c r="AV1838" s="1"/>
      <c r="AW1838" s="1"/>
      <c r="AX1838" s="1"/>
      <c r="AY1838" s="1"/>
      <c r="AZ1838" s="1"/>
      <c r="BA1838" s="1"/>
      <c r="BB1838" s="1"/>
      <c r="BC1838" s="1"/>
      <c r="BD1838" s="1"/>
    </row>
    <row r="1839" spans="35:56">
      <c r="AI1839" s="1"/>
      <c r="AJ1839" s="1"/>
      <c r="AK1839" s="1"/>
      <c r="AL1839" s="1"/>
      <c r="AM1839" s="1"/>
      <c r="AN1839" s="1"/>
      <c r="AO1839" s="1"/>
      <c r="AP1839" s="1"/>
      <c r="AQ1839" s="1"/>
      <c r="AR1839" s="1"/>
      <c r="AS1839" s="1"/>
      <c r="AT1839" s="1"/>
      <c r="AU1839" s="1"/>
      <c r="AV1839" s="1"/>
      <c r="AW1839" s="1"/>
      <c r="AX1839" s="1"/>
      <c r="AY1839" s="1"/>
      <c r="AZ1839" s="1"/>
      <c r="BA1839" s="1"/>
      <c r="BB1839" s="1"/>
      <c r="BC1839" s="1"/>
      <c r="BD1839" s="1"/>
    </row>
    <row r="1840" spans="35:56">
      <c r="AI1840" s="1"/>
      <c r="AJ1840" s="1"/>
      <c r="AK1840" s="1"/>
      <c r="AL1840" s="1"/>
      <c r="AM1840" s="1"/>
      <c r="AN1840" s="1"/>
      <c r="AO1840" s="1"/>
      <c r="AP1840" s="1"/>
      <c r="AQ1840" s="1"/>
      <c r="AR1840" s="1"/>
      <c r="AS1840" s="1"/>
      <c r="AT1840" s="1"/>
      <c r="AU1840" s="1"/>
      <c r="AV1840" s="1"/>
      <c r="AW1840" s="1"/>
      <c r="AX1840" s="1"/>
      <c r="AY1840" s="1"/>
      <c r="AZ1840" s="1"/>
      <c r="BA1840" s="1"/>
      <c r="BB1840" s="1"/>
      <c r="BC1840" s="1"/>
      <c r="BD1840" s="1"/>
    </row>
    <row r="1841" spans="35:56">
      <c r="AI1841" s="1"/>
      <c r="AJ1841" s="1"/>
      <c r="AK1841" s="1"/>
      <c r="AL1841" s="1"/>
      <c r="AM1841" s="1"/>
      <c r="AN1841" s="1"/>
      <c r="AO1841" s="1"/>
      <c r="AP1841" s="1"/>
      <c r="AQ1841" s="1"/>
      <c r="AR1841" s="1"/>
      <c r="AS1841" s="1"/>
      <c r="AT1841" s="1"/>
      <c r="AU1841" s="1"/>
      <c r="AV1841" s="1"/>
      <c r="AW1841" s="1"/>
      <c r="AX1841" s="1"/>
      <c r="AY1841" s="1"/>
      <c r="AZ1841" s="1"/>
      <c r="BA1841" s="1"/>
      <c r="BB1841" s="1"/>
      <c r="BC1841" s="1"/>
      <c r="BD1841" s="1"/>
    </row>
    <row r="1842" spans="35:56">
      <c r="AI1842" s="1"/>
      <c r="AJ1842" s="1"/>
      <c r="AK1842" s="1"/>
      <c r="AL1842" s="1"/>
      <c r="AM1842" s="1"/>
      <c r="AN1842" s="1"/>
      <c r="AO1842" s="1"/>
      <c r="AP1842" s="1"/>
      <c r="AQ1842" s="1"/>
      <c r="AR1842" s="1"/>
      <c r="AS1842" s="1"/>
      <c r="AT1842" s="1"/>
      <c r="AU1842" s="1"/>
      <c r="AV1842" s="1"/>
      <c r="AW1842" s="1"/>
      <c r="AX1842" s="1"/>
      <c r="AY1842" s="1"/>
      <c r="AZ1842" s="1"/>
      <c r="BA1842" s="1"/>
      <c r="BB1842" s="1"/>
      <c r="BC1842" s="1"/>
      <c r="BD1842" s="1"/>
    </row>
    <row r="1843" spans="35:56">
      <c r="AI1843" s="1"/>
      <c r="AJ1843" s="1"/>
      <c r="AK1843" s="1"/>
      <c r="AL1843" s="1"/>
      <c r="AM1843" s="1"/>
      <c r="AN1843" s="1"/>
      <c r="AO1843" s="1"/>
      <c r="AP1843" s="1"/>
      <c r="AQ1843" s="1"/>
      <c r="AR1843" s="1"/>
      <c r="AS1843" s="1"/>
      <c r="AT1843" s="1"/>
      <c r="AU1843" s="1"/>
      <c r="AV1843" s="1"/>
      <c r="AW1843" s="1"/>
      <c r="AX1843" s="1"/>
      <c r="AY1843" s="1"/>
      <c r="AZ1843" s="1"/>
      <c r="BA1843" s="1"/>
      <c r="BB1843" s="1"/>
      <c r="BC1843" s="1"/>
      <c r="BD1843" s="1"/>
    </row>
    <row r="1844" spans="35:56">
      <c r="AI1844" s="1"/>
      <c r="AJ1844" s="1"/>
      <c r="AK1844" s="1"/>
      <c r="AL1844" s="1"/>
      <c r="AM1844" s="1"/>
      <c r="AN1844" s="1"/>
      <c r="AO1844" s="1"/>
      <c r="AP1844" s="1"/>
      <c r="AQ1844" s="1"/>
      <c r="AR1844" s="1"/>
      <c r="AS1844" s="1"/>
      <c r="AT1844" s="1"/>
      <c r="AU1844" s="1"/>
      <c r="AV1844" s="1"/>
      <c r="AW1844" s="1"/>
      <c r="AX1844" s="1"/>
      <c r="AY1844" s="1"/>
      <c r="AZ1844" s="1"/>
      <c r="BA1844" s="1"/>
      <c r="BB1844" s="1"/>
      <c r="BC1844" s="1"/>
      <c r="BD1844" s="1"/>
    </row>
    <row r="1845" spans="35:56">
      <c r="AI1845" s="1"/>
      <c r="AJ1845" s="1"/>
      <c r="AK1845" s="1"/>
      <c r="AL1845" s="1"/>
      <c r="AM1845" s="1"/>
      <c r="AN1845" s="1"/>
      <c r="AO1845" s="1"/>
      <c r="AP1845" s="1"/>
      <c r="AQ1845" s="1"/>
      <c r="AR1845" s="1"/>
      <c r="AS1845" s="1"/>
      <c r="AT1845" s="1"/>
      <c r="AU1845" s="1"/>
      <c r="AV1845" s="1"/>
      <c r="AW1845" s="1"/>
      <c r="AX1845" s="1"/>
      <c r="AY1845" s="1"/>
      <c r="AZ1845" s="1"/>
      <c r="BA1845" s="1"/>
      <c r="BB1845" s="1"/>
      <c r="BC1845" s="1"/>
      <c r="BD1845" s="1"/>
    </row>
    <row r="1846" spans="35:56">
      <c r="AI1846" s="1"/>
      <c r="AJ1846" s="1"/>
      <c r="AK1846" s="1"/>
      <c r="AL1846" s="1"/>
      <c r="AM1846" s="1"/>
      <c r="AN1846" s="1"/>
      <c r="AO1846" s="1"/>
      <c r="AP1846" s="1"/>
      <c r="AQ1846" s="1"/>
      <c r="AR1846" s="1"/>
      <c r="AS1846" s="1"/>
      <c r="AT1846" s="1"/>
      <c r="AU1846" s="1"/>
      <c r="AV1846" s="1"/>
      <c r="AW1846" s="1"/>
      <c r="AX1846" s="1"/>
      <c r="AY1846" s="1"/>
      <c r="AZ1846" s="1"/>
      <c r="BA1846" s="1"/>
      <c r="BB1846" s="1"/>
      <c r="BC1846" s="1"/>
      <c r="BD1846" s="1"/>
    </row>
    <row r="1847" spans="35:56">
      <c r="AI1847" s="1"/>
      <c r="AJ1847" s="1"/>
      <c r="AK1847" s="1"/>
      <c r="AL1847" s="1"/>
      <c r="AM1847" s="1"/>
      <c r="AN1847" s="1"/>
      <c r="AO1847" s="1"/>
      <c r="AP1847" s="1"/>
      <c r="AQ1847" s="1"/>
      <c r="AR1847" s="1"/>
      <c r="AS1847" s="1"/>
      <c r="AT1847" s="1"/>
      <c r="AU1847" s="1"/>
      <c r="AV1847" s="1"/>
      <c r="AW1847" s="1"/>
      <c r="AX1847" s="1"/>
      <c r="AY1847" s="1"/>
      <c r="AZ1847" s="1"/>
      <c r="BA1847" s="1"/>
      <c r="BB1847" s="1"/>
      <c r="BC1847" s="1"/>
      <c r="BD1847" s="1"/>
    </row>
    <row r="1848" spans="35:56">
      <c r="AI1848" s="1"/>
      <c r="AJ1848" s="1"/>
      <c r="AK1848" s="1"/>
      <c r="AL1848" s="1"/>
      <c r="AM1848" s="1"/>
      <c r="AN1848" s="1"/>
      <c r="AO1848" s="1"/>
      <c r="AP1848" s="1"/>
      <c r="AQ1848" s="1"/>
      <c r="AR1848" s="1"/>
      <c r="AS1848" s="1"/>
      <c r="AT1848" s="1"/>
      <c r="AU1848" s="1"/>
      <c r="AV1848" s="1"/>
      <c r="AW1848" s="1"/>
      <c r="AX1848" s="1"/>
      <c r="AY1848" s="1"/>
      <c r="AZ1848" s="1"/>
      <c r="BA1848" s="1"/>
      <c r="BB1848" s="1"/>
      <c r="BC1848" s="1"/>
      <c r="BD1848" s="1"/>
    </row>
    <row r="1849" spans="35:56">
      <c r="AI1849" s="1"/>
      <c r="AJ1849" s="1"/>
      <c r="AK1849" s="1"/>
      <c r="AL1849" s="1"/>
      <c r="AM1849" s="1"/>
      <c r="AN1849" s="1"/>
      <c r="AO1849" s="1"/>
      <c r="AP1849" s="1"/>
      <c r="AQ1849" s="1"/>
      <c r="AR1849" s="1"/>
      <c r="AS1849" s="1"/>
      <c r="AT1849" s="1"/>
      <c r="AU1849" s="1"/>
      <c r="AV1849" s="1"/>
      <c r="AW1849" s="1"/>
      <c r="AX1849" s="1"/>
      <c r="AY1849" s="1"/>
      <c r="AZ1849" s="1"/>
      <c r="BA1849" s="1"/>
      <c r="BB1849" s="1"/>
      <c r="BC1849" s="1"/>
      <c r="BD1849" s="1"/>
    </row>
    <row r="1850" spans="35:56">
      <c r="AI1850" s="1"/>
      <c r="AJ1850" s="1"/>
      <c r="AK1850" s="1"/>
      <c r="AL1850" s="1"/>
      <c r="AM1850" s="1"/>
      <c r="AN1850" s="1"/>
      <c r="AO1850" s="1"/>
      <c r="AP1850" s="1"/>
      <c r="AQ1850" s="1"/>
      <c r="AR1850" s="1"/>
      <c r="AS1850" s="1"/>
      <c r="AT1850" s="1"/>
      <c r="AU1850" s="1"/>
      <c r="AV1850" s="1"/>
      <c r="AW1850" s="1"/>
      <c r="AX1850" s="1"/>
      <c r="AY1850" s="1"/>
      <c r="AZ1850" s="1"/>
      <c r="BA1850" s="1"/>
      <c r="BB1850" s="1"/>
      <c r="BC1850" s="1"/>
      <c r="BD1850" s="1"/>
    </row>
    <row r="1851" spans="35:56">
      <c r="AI1851" s="1"/>
      <c r="AJ1851" s="1"/>
      <c r="AK1851" s="1"/>
      <c r="AL1851" s="1"/>
      <c r="AM1851" s="1"/>
      <c r="AN1851" s="1"/>
      <c r="AO1851" s="1"/>
      <c r="AP1851" s="1"/>
      <c r="AQ1851" s="1"/>
      <c r="AR1851" s="1"/>
      <c r="AS1851" s="1"/>
      <c r="AT1851" s="1"/>
      <c r="AU1851" s="1"/>
      <c r="AV1851" s="1"/>
      <c r="AW1851" s="1"/>
      <c r="AX1851" s="1"/>
      <c r="AY1851" s="1"/>
      <c r="AZ1851" s="1"/>
      <c r="BA1851" s="1"/>
      <c r="BB1851" s="1"/>
      <c r="BC1851" s="1"/>
      <c r="BD1851" s="1"/>
    </row>
    <row r="1852" spans="35:56">
      <c r="AI1852" s="1"/>
      <c r="AJ1852" s="1"/>
      <c r="AK1852" s="1"/>
      <c r="AL1852" s="1"/>
      <c r="AM1852" s="1"/>
      <c r="AN1852" s="1"/>
      <c r="AO1852" s="1"/>
      <c r="AP1852" s="1"/>
      <c r="AQ1852" s="1"/>
      <c r="AR1852" s="1"/>
      <c r="AS1852" s="1"/>
      <c r="AT1852" s="1"/>
      <c r="AU1852" s="1"/>
      <c r="AV1852" s="1"/>
      <c r="AW1852" s="1"/>
      <c r="AX1852" s="1"/>
      <c r="AY1852" s="1"/>
      <c r="AZ1852" s="1"/>
      <c r="BA1852" s="1"/>
      <c r="BB1852" s="1"/>
      <c r="BC1852" s="1"/>
      <c r="BD1852" s="1"/>
    </row>
    <row r="1853" spans="35:56">
      <c r="AI1853" s="1"/>
      <c r="AJ1853" s="1"/>
      <c r="AK1853" s="1"/>
      <c r="AL1853" s="1"/>
      <c r="AM1853" s="1"/>
      <c r="AN1853" s="1"/>
      <c r="AO1853" s="1"/>
      <c r="AP1853" s="1"/>
      <c r="AQ1853" s="1"/>
      <c r="AR1853" s="1"/>
      <c r="AS1853" s="1"/>
      <c r="AT1853" s="1"/>
      <c r="AU1853" s="1"/>
      <c r="AV1853" s="1"/>
      <c r="AW1853" s="1"/>
      <c r="AX1853" s="1"/>
      <c r="AY1853" s="1"/>
      <c r="AZ1853" s="1"/>
      <c r="BA1853" s="1"/>
      <c r="BB1853" s="1"/>
      <c r="BC1853" s="1"/>
      <c r="BD1853" s="1"/>
    </row>
    <row r="1854" spans="35:56">
      <c r="AI1854" s="1"/>
      <c r="AJ1854" s="1"/>
      <c r="AK1854" s="1"/>
      <c r="AL1854" s="1"/>
      <c r="AM1854" s="1"/>
      <c r="AN1854" s="1"/>
      <c r="AO1854" s="1"/>
      <c r="AP1854" s="1"/>
      <c r="AQ1854" s="1"/>
      <c r="AR1854" s="1"/>
      <c r="AS1854" s="1"/>
      <c r="AT1854" s="1"/>
      <c r="AU1854" s="1"/>
      <c r="AV1854" s="1"/>
      <c r="AW1854" s="1"/>
      <c r="AX1854" s="1"/>
      <c r="AY1854" s="1"/>
      <c r="AZ1854" s="1"/>
      <c r="BA1854" s="1"/>
      <c r="BB1854" s="1"/>
      <c r="BC1854" s="1"/>
      <c r="BD1854" s="1"/>
    </row>
    <row r="1855" spans="35:56">
      <c r="AI1855" s="1"/>
      <c r="AJ1855" s="1"/>
      <c r="AK1855" s="1"/>
      <c r="AL1855" s="1"/>
      <c r="AM1855" s="1"/>
      <c r="AN1855" s="1"/>
      <c r="AO1855" s="1"/>
      <c r="AP1855" s="1"/>
      <c r="AQ1855" s="1"/>
      <c r="AR1855" s="1"/>
      <c r="AS1855" s="1"/>
      <c r="AT1855" s="1"/>
      <c r="AU1855" s="1"/>
      <c r="AV1855" s="1"/>
      <c r="AW1855" s="1"/>
      <c r="AX1855" s="1"/>
      <c r="AY1855" s="1"/>
      <c r="AZ1855" s="1"/>
      <c r="BA1855" s="1"/>
      <c r="BB1855" s="1"/>
      <c r="BC1855" s="1"/>
      <c r="BD1855" s="1"/>
    </row>
    <row r="1856" spans="35:56">
      <c r="AI1856" s="1"/>
      <c r="AJ1856" s="1"/>
      <c r="AK1856" s="1"/>
      <c r="AL1856" s="1"/>
      <c r="AM1856" s="1"/>
      <c r="AN1856" s="1"/>
      <c r="AO1856" s="1"/>
      <c r="AP1856" s="1"/>
      <c r="AQ1856" s="1"/>
      <c r="AR1856" s="1"/>
      <c r="AS1856" s="1"/>
      <c r="AT1856" s="1"/>
      <c r="AU1856" s="1"/>
      <c r="AV1856" s="1"/>
      <c r="AW1856" s="1"/>
      <c r="AX1856" s="1"/>
      <c r="AY1856" s="1"/>
      <c r="AZ1856" s="1"/>
      <c r="BA1856" s="1"/>
      <c r="BB1856" s="1"/>
      <c r="BC1856" s="1"/>
      <c r="BD1856" s="1"/>
    </row>
    <row r="1857" spans="35:56">
      <c r="AI1857" s="1"/>
      <c r="AJ1857" s="1"/>
      <c r="AK1857" s="1"/>
      <c r="AL1857" s="1"/>
      <c r="AM1857" s="1"/>
      <c r="AN1857" s="1"/>
      <c r="AO1857" s="1"/>
      <c r="AP1857" s="1"/>
      <c r="AQ1857" s="1"/>
      <c r="AR1857" s="1"/>
      <c r="AS1857" s="1"/>
      <c r="AT1857" s="1"/>
      <c r="AU1857" s="1"/>
      <c r="AV1857" s="1"/>
      <c r="AW1857" s="1"/>
      <c r="AX1857" s="1"/>
      <c r="AY1857" s="1"/>
      <c r="AZ1857" s="1"/>
      <c r="BA1857" s="1"/>
      <c r="BB1857" s="1"/>
      <c r="BC1857" s="1"/>
      <c r="BD1857" s="1"/>
    </row>
    <row r="1858" spans="35:56">
      <c r="AI1858" s="1"/>
      <c r="AJ1858" s="1"/>
      <c r="AK1858" s="1"/>
      <c r="AL1858" s="1"/>
      <c r="AM1858" s="1"/>
      <c r="AN1858" s="1"/>
      <c r="AO1858" s="1"/>
      <c r="AP1858" s="1"/>
      <c r="AQ1858" s="1"/>
      <c r="AR1858" s="1"/>
      <c r="AS1858" s="1"/>
      <c r="AT1858" s="1"/>
      <c r="AU1858" s="1"/>
      <c r="AV1858" s="1"/>
      <c r="AW1858" s="1"/>
      <c r="AX1858" s="1"/>
      <c r="AY1858" s="1"/>
      <c r="AZ1858" s="1"/>
      <c r="BA1858" s="1"/>
      <c r="BB1858" s="1"/>
      <c r="BC1858" s="1"/>
      <c r="BD1858" s="1"/>
    </row>
    <row r="1859" spans="35:56">
      <c r="AI1859" s="1"/>
      <c r="AJ1859" s="1"/>
      <c r="AK1859" s="1"/>
      <c r="AL1859" s="1"/>
      <c r="AM1859" s="1"/>
      <c r="AN1859" s="1"/>
      <c r="AO1859" s="1"/>
      <c r="AP1859" s="1"/>
      <c r="AQ1859" s="1"/>
      <c r="AR1859" s="1"/>
      <c r="AS1859" s="1"/>
      <c r="AT1859" s="1"/>
      <c r="AU1859" s="1"/>
      <c r="AV1859" s="1"/>
      <c r="AW1859" s="1"/>
      <c r="AX1859" s="1"/>
      <c r="AY1859" s="1"/>
      <c r="AZ1859" s="1"/>
      <c r="BA1859" s="1"/>
      <c r="BB1859" s="1"/>
      <c r="BC1859" s="1"/>
      <c r="BD1859" s="1"/>
    </row>
    <row r="1860" spans="35:56">
      <c r="AI1860" s="1"/>
      <c r="AJ1860" s="1"/>
      <c r="AK1860" s="1"/>
      <c r="AL1860" s="1"/>
      <c r="AM1860" s="1"/>
      <c r="AN1860" s="1"/>
      <c r="AO1860" s="1"/>
      <c r="AP1860" s="1"/>
      <c r="AQ1860" s="1"/>
      <c r="AR1860" s="1"/>
      <c r="AS1860" s="1"/>
      <c r="AT1860" s="1"/>
      <c r="AU1860" s="1"/>
      <c r="AV1860" s="1"/>
      <c r="AW1860" s="1"/>
      <c r="AX1860" s="1"/>
      <c r="AY1860" s="1"/>
      <c r="AZ1860" s="1"/>
      <c r="BA1860" s="1"/>
      <c r="BB1860" s="1"/>
      <c r="BC1860" s="1"/>
      <c r="BD1860" s="1"/>
    </row>
    <row r="1861" spans="35:56">
      <c r="AI1861" s="1"/>
      <c r="AJ1861" s="1"/>
      <c r="AK1861" s="1"/>
      <c r="AL1861" s="1"/>
      <c r="AM1861" s="1"/>
      <c r="AN1861" s="1"/>
      <c r="AO1861" s="1"/>
      <c r="AP1861" s="1"/>
      <c r="AQ1861" s="1"/>
      <c r="AR1861" s="1"/>
      <c r="AS1861" s="1"/>
      <c r="AT1861" s="1"/>
      <c r="AU1861" s="1"/>
      <c r="AV1861" s="1"/>
      <c r="AW1861" s="1"/>
      <c r="AX1861" s="1"/>
      <c r="AY1861" s="1"/>
      <c r="AZ1861" s="1"/>
      <c r="BA1861" s="1"/>
      <c r="BB1861" s="1"/>
      <c r="BC1861" s="1"/>
      <c r="BD1861" s="1"/>
    </row>
    <row r="1862" spans="35:56">
      <c r="AI1862" s="1"/>
      <c r="AJ1862" s="1"/>
      <c r="AK1862" s="1"/>
      <c r="AL1862" s="1"/>
      <c r="AM1862" s="1"/>
      <c r="AN1862" s="1"/>
      <c r="AO1862" s="1"/>
      <c r="AP1862" s="1"/>
      <c r="AQ1862" s="1"/>
      <c r="AR1862" s="1"/>
      <c r="AS1862" s="1"/>
      <c r="AT1862" s="1"/>
      <c r="AU1862" s="1"/>
      <c r="AV1862" s="1"/>
      <c r="AW1862" s="1"/>
      <c r="AX1862" s="1"/>
      <c r="AY1862" s="1"/>
      <c r="AZ1862" s="1"/>
      <c r="BA1862" s="1"/>
      <c r="BB1862" s="1"/>
      <c r="BC1862" s="1"/>
      <c r="BD1862" s="1"/>
    </row>
    <row r="1863" spans="35:56">
      <c r="AI1863" s="1"/>
      <c r="AJ1863" s="1"/>
      <c r="AK1863" s="1"/>
      <c r="AL1863" s="1"/>
      <c r="AM1863" s="1"/>
      <c r="AN1863" s="1"/>
      <c r="AO1863" s="1"/>
      <c r="AP1863" s="1"/>
      <c r="AQ1863" s="1"/>
      <c r="AR1863" s="1"/>
      <c r="AS1863" s="1"/>
      <c r="AT1863" s="1"/>
      <c r="AU1863" s="1"/>
      <c r="AV1863" s="1"/>
      <c r="AW1863" s="1"/>
      <c r="AX1863" s="1"/>
      <c r="AY1863" s="1"/>
      <c r="AZ1863" s="1"/>
      <c r="BA1863" s="1"/>
      <c r="BB1863" s="1"/>
      <c r="BC1863" s="1"/>
      <c r="BD1863" s="1"/>
    </row>
    <row r="1864" spans="35:56">
      <c r="AI1864" s="1"/>
      <c r="AJ1864" s="1"/>
      <c r="AK1864" s="1"/>
      <c r="AL1864" s="1"/>
      <c r="AM1864" s="1"/>
      <c r="AN1864" s="1"/>
      <c r="AO1864" s="1"/>
      <c r="AP1864" s="1"/>
      <c r="AQ1864" s="1"/>
      <c r="AR1864" s="1"/>
      <c r="AS1864" s="1"/>
      <c r="AT1864" s="1"/>
      <c r="AU1864" s="1"/>
      <c r="AV1864" s="1"/>
      <c r="AW1864" s="1"/>
      <c r="AX1864" s="1"/>
      <c r="AY1864" s="1"/>
      <c r="AZ1864" s="1"/>
      <c r="BA1864" s="1"/>
      <c r="BB1864" s="1"/>
      <c r="BC1864" s="1"/>
      <c r="BD1864" s="1"/>
    </row>
    <row r="1865" spans="35:56">
      <c r="AI1865" s="1"/>
      <c r="AJ1865" s="1"/>
      <c r="AK1865" s="1"/>
      <c r="AL1865" s="1"/>
      <c r="AM1865" s="1"/>
      <c r="AN1865" s="1"/>
      <c r="AO1865" s="1"/>
      <c r="AP1865" s="1"/>
      <c r="AQ1865" s="1"/>
      <c r="AR1865" s="1"/>
      <c r="AS1865" s="1"/>
      <c r="AT1865" s="1"/>
      <c r="AU1865" s="1"/>
      <c r="AV1865" s="1"/>
      <c r="AW1865" s="1"/>
      <c r="AX1865" s="1"/>
      <c r="AY1865" s="1"/>
      <c r="AZ1865" s="1"/>
      <c r="BA1865" s="1"/>
      <c r="BB1865" s="1"/>
      <c r="BC1865" s="1"/>
      <c r="BD1865" s="1"/>
    </row>
    <row r="1866" spans="35:56">
      <c r="AI1866" s="1"/>
      <c r="AJ1866" s="1"/>
      <c r="AK1866" s="1"/>
      <c r="AL1866" s="1"/>
      <c r="AM1866" s="1"/>
      <c r="AN1866" s="1"/>
      <c r="AO1866" s="1"/>
      <c r="AP1866" s="1"/>
      <c r="AQ1866" s="1"/>
      <c r="AR1866" s="1"/>
      <c r="AS1866" s="1"/>
      <c r="AT1866" s="1"/>
      <c r="AU1866" s="1"/>
      <c r="AV1866" s="1"/>
      <c r="AW1866" s="1"/>
      <c r="AX1866" s="1"/>
      <c r="AY1866" s="1"/>
      <c r="AZ1866" s="1"/>
      <c r="BA1866" s="1"/>
      <c r="BB1866" s="1"/>
      <c r="BC1866" s="1"/>
      <c r="BD1866" s="1"/>
    </row>
    <row r="1867" spans="35:56">
      <c r="AI1867" s="1"/>
      <c r="AJ1867" s="1"/>
      <c r="AK1867" s="1"/>
      <c r="AL1867" s="1"/>
      <c r="AM1867" s="1"/>
      <c r="AN1867" s="1"/>
      <c r="AO1867" s="1"/>
      <c r="AP1867" s="1"/>
      <c r="AQ1867" s="1"/>
      <c r="AR1867" s="1"/>
      <c r="AS1867" s="1"/>
      <c r="AT1867" s="1"/>
      <c r="AU1867" s="1"/>
      <c r="AV1867" s="1"/>
      <c r="AW1867" s="1"/>
      <c r="AX1867" s="1"/>
      <c r="AY1867" s="1"/>
      <c r="AZ1867" s="1"/>
      <c r="BA1867" s="1"/>
      <c r="BB1867" s="1"/>
      <c r="BC1867" s="1"/>
      <c r="BD1867" s="1"/>
    </row>
    <row r="1868" spans="35:56">
      <c r="AI1868" s="1"/>
      <c r="AJ1868" s="1"/>
      <c r="AK1868" s="1"/>
      <c r="AL1868" s="1"/>
      <c r="AM1868" s="1"/>
      <c r="AN1868" s="1"/>
      <c r="AO1868" s="1"/>
      <c r="AP1868" s="1"/>
      <c r="AQ1868" s="1"/>
      <c r="AR1868" s="1"/>
      <c r="AS1868" s="1"/>
      <c r="AT1868" s="1"/>
      <c r="AU1868" s="1"/>
      <c r="AV1868" s="1"/>
      <c r="AW1868" s="1"/>
      <c r="AX1868" s="1"/>
      <c r="AY1868" s="1"/>
      <c r="AZ1868" s="1"/>
      <c r="BA1868" s="1"/>
      <c r="BB1868" s="1"/>
      <c r="BC1868" s="1"/>
      <c r="BD1868" s="1"/>
    </row>
    <row r="1869" spans="35:56">
      <c r="AI1869" s="1"/>
      <c r="AJ1869" s="1"/>
      <c r="AK1869" s="1"/>
      <c r="AL1869" s="1"/>
      <c r="AM1869" s="1"/>
      <c r="AN1869" s="1"/>
      <c r="AO1869" s="1"/>
      <c r="AP1869" s="1"/>
      <c r="AQ1869" s="1"/>
      <c r="AR1869" s="1"/>
      <c r="AS1869" s="1"/>
      <c r="AT1869" s="1"/>
      <c r="AU1869" s="1"/>
      <c r="AV1869" s="1"/>
      <c r="AW1869" s="1"/>
      <c r="AX1869" s="1"/>
      <c r="AY1869" s="1"/>
      <c r="AZ1869" s="1"/>
      <c r="BA1869" s="1"/>
      <c r="BB1869" s="1"/>
      <c r="BC1869" s="1"/>
      <c r="BD1869" s="1"/>
    </row>
    <row r="1870" spans="35:56">
      <c r="AI1870" s="1"/>
      <c r="AJ1870" s="1"/>
      <c r="AK1870" s="1"/>
      <c r="AL1870" s="1"/>
      <c r="AM1870" s="1"/>
      <c r="AN1870" s="1"/>
      <c r="AO1870" s="1"/>
      <c r="AP1870" s="1"/>
      <c r="AQ1870" s="1"/>
      <c r="AR1870" s="1"/>
      <c r="AS1870" s="1"/>
      <c r="AT1870" s="1"/>
      <c r="AU1870" s="1"/>
      <c r="AV1870" s="1"/>
      <c r="AW1870" s="1"/>
      <c r="AX1870" s="1"/>
      <c r="AY1870" s="1"/>
      <c r="AZ1870" s="1"/>
      <c r="BA1870" s="1"/>
      <c r="BB1870" s="1"/>
      <c r="BC1870" s="1"/>
      <c r="BD1870" s="1"/>
    </row>
    <row r="1871" spans="35:56">
      <c r="AI1871" s="1"/>
      <c r="AJ1871" s="1"/>
      <c r="AK1871" s="1"/>
      <c r="AL1871" s="1"/>
      <c r="AM1871" s="1"/>
      <c r="AN1871" s="1"/>
      <c r="AO1871" s="1"/>
      <c r="AP1871" s="1"/>
      <c r="AQ1871" s="1"/>
      <c r="AR1871" s="1"/>
      <c r="AS1871" s="1"/>
      <c r="AT1871" s="1"/>
      <c r="AU1871" s="1"/>
      <c r="AV1871" s="1"/>
      <c r="AW1871" s="1"/>
      <c r="AX1871" s="1"/>
      <c r="AY1871" s="1"/>
      <c r="AZ1871" s="1"/>
      <c r="BA1871" s="1"/>
      <c r="BB1871" s="1"/>
      <c r="BC1871" s="1"/>
      <c r="BD1871" s="1"/>
    </row>
    <row r="1872" spans="35:56">
      <c r="AI1872" s="1"/>
      <c r="AJ1872" s="1"/>
      <c r="AK1872" s="1"/>
      <c r="AL1872" s="1"/>
      <c r="AM1872" s="1"/>
      <c r="AN1872" s="1"/>
      <c r="AO1872" s="1"/>
      <c r="AP1872" s="1"/>
      <c r="AQ1872" s="1"/>
      <c r="AR1872" s="1"/>
      <c r="AS1872" s="1"/>
      <c r="AT1872" s="1"/>
      <c r="AU1872" s="1"/>
      <c r="AV1872" s="1"/>
      <c r="AW1872" s="1"/>
      <c r="AX1872" s="1"/>
      <c r="AY1872" s="1"/>
      <c r="AZ1872" s="1"/>
      <c r="BA1872" s="1"/>
      <c r="BB1872" s="1"/>
      <c r="BC1872" s="1"/>
      <c r="BD1872" s="1"/>
    </row>
    <row r="1873" spans="35:56">
      <c r="AI1873" s="1"/>
      <c r="AJ1873" s="1"/>
      <c r="AK1873" s="1"/>
      <c r="AL1873" s="1"/>
      <c r="AM1873" s="1"/>
      <c r="AN1873" s="1"/>
      <c r="AO1873" s="1"/>
      <c r="AP1873" s="1"/>
      <c r="AQ1873" s="1"/>
      <c r="AR1873" s="1"/>
      <c r="AS1873" s="1"/>
      <c r="AT1873" s="1"/>
      <c r="AU1873" s="1"/>
      <c r="AV1873" s="1"/>
      <c r="AW1873" s="1"/>
      <c r="AX1873" s="1"/>
      <c r="AY1873" s="1"/>
      <c r="AZ1873" s="1"/>
      <c r="BA1873" s="1"/>
      <c r="BB1873" s="1"/>
      <c r="BC1873" s="1"/>
      <c r="BD1873" s="1"/>
    </row>
    <row r="1874" spans="35:56">
      <c r="AI1874" s="1"/>
      <c r="AJ1874" s="1"/>
      <c r="AK1874" s="1"/>
      <c r="AL1874" s="1"/>
      <c r="AM1874" s="1"/>
      <c r="AN1874" s="1"/>
      <c r="AO1874" s="1"/>
      <c r="AP1874" s="1"/>
      <c r="AQ1874" s="1"/>
      <c r="AR1874" s="1"/>
      <c r="AS1874" s="1"/>
      <c r="AT1874" s="1"/>
      <c r="AU1874" s="1"/>
      <c r="AV1874" s="1"/>
      <c r="AW1874" s="1"/>
      <c r="AX1874" s="1"/>
      <c r="AY1874" s="1"/>
      <c r="AZ1874" s="1"/>
      <c r="BA1874" s="1"/>
      <c r="BB1874" s="1"/>
      <c r="BC1874" s="1"/>
      <c r="BD1874" s="1"/>
    </row>
    <row r="1875" spans="35:56">
      <c r="AI1875" s="1"/>
      <c r="AJ1875" s="1"/>
      <c r="AK1875" s="1"/>
      <c r="AL1875" s="1"/>
      <c r="AM1875" s="1"/>
      <c r="AN1875" s="1"/>
      <c r="AO1875" s="1"/>
      <c r="AP1875" s="1"/>
      <c r="AQ1875" s="1"/>
      <c r="AR1875" s="1"/>
      <c r="AS1875" s="1"/>
      <c r="AT1875" s="1"/>
      <c r="AU1875" s="1"/>
      <c r="AV1875" s="1"/>
      <c r="AW1875" s="1"/>
      <c r="AX1875" s="1"/>
      <c r="AY1875" s="1"/>
      <c r="AZ1875" s="1"/>
      <c r="BA1875" s="1"/>
      <c r="BB1875" s="1"/>
      <c r="BC1875" s="1"/>
      <c r="BD1875" s="1"/>
    </row>
    <row r="1876" spans="35:56">
      <c r="AI1876" s="1"/>
      <c r="AJ1876" s="1"/>
      <c r="AK1876" s="1"/>
      <c r="AL1876" s="1"/>
      <c r="AM1876" s="1"/>
      <c r="AN1876" s="1"/>
      <c r="AO1876" s="1"/>
      <c r="AP1876" s="1"/>
      <c r="AQ1876" s="1"/>
      <c r="AR1876" s="1"/>
      <c r="AS1876" s="1"/>
      <c r="AT1876" s="1"/>
      <c r="AU1876" s="1"/>
      <c r="AV1876" s="1"/>
      <c r="AW1876" s="1"/>
      <c r="AX1876" s="1"/>
      <c r="AY1876" s="1"/>
      <c r="AZ1876" s="1"/>
      <c r="BA1876" s="1"/>
      <c r="BB1876" s="1"/>
      <c r="BC1876" s="1"/>
      <c r="BD1876" s="1"/>
    </row>
    <row r="1877" spans="35:56">
      <c r="AI1877" s="1"/>
      <c r="AJ1877" s="1"/>
      <c r="AK1877" s="1"/>
      <c r="AL1877" s="1"/>
      <c r="AM1877" s="1"/>
      <c r="AN1877" s="1"/>
      <c r="AO1877" s="1"/>
      <c r="AP1877" s="1"/>
      <c r="AQ1877" s="1"/>
      <c r="AR1877" s="1"/>
      <c r="AS1877" s="1"/>
      <c r="AT1877" s="1"/>
      <c r="AU1877" s="1"/>
      <c r="AV1877" s="1"/>
      <c r="AW1877" s="1"/>
      <c r="AX1877" s="1"/>
      <c r="AY1877" s="1"/>
      <c r="AZ1877" s="1"/>
      <c r="BA1877" s="1"/>
      <c r="BB1877" s="1"/>
      <c r="BC1877" s="1"/>
      <c r="BD1877" s="1"/>
    </row>
    <row r="1878" spans="35:56">
      <c r="AI1878" s="1"/>
      <c r="AJ1878" s="1"/>
      <c r="AK1878" s="1"/>
      <c r="AL1878" s="1"/>
      <c r="AM1878" s="1"/>
      <c r="AN1878" s="1"/>
      <c r="AO1878" s="1"/>
      <c r="AP1878" s="1"/>
      <c r="AQ1878" s="1"/>
      <c r="AR1878" s="1"/>
      <c r="AS1878" s="1"/>
      <c r="AT1878" s="1"/>
      <c r="AU1878" s="1"/>
      <c r="AV1878" s="1"/>
      <c r="AW1878" s="1"/>
      <c r="AX1878" s="1"/>
      <c r="AY1878" s="1"/>
      <c r="AZ1878" s="1"/>
      <c r="BA1878" s="1"/>
      <c r="BB1878" s="1"/>
      <c r="BC1878" s="1"/>
      <c r="BD1878" s="1"/>
    </row>
    <row r="1879" spans="35:56">
      <c r="AI1879" s="1"/>
      <c r="AJ1879" s="1"/>
      <c r="AK1879" s="1"/>
      <c r="AL1879" s="1"/>
      <c r="AM1879" s="1"/>
      <c r="AN1879" s="1"/>
      <c r="AO1879" s="1"/>
      <c r="AP1879" s="1"/>
      <c r="AQ1879" s="1"/>
      <c r="AR1879" s="1"/>
      <c r="AS1879" s="1"/>
      <c r="AT1879" s="1"/>
      <c r="AU1879" s="1"/>
      <c r="AV1879" s="1"/>
      <c r="AW1879" s="1"/>
      <c r="AX1879" s="1"/>
      <c r="AY1879" s="1"/>
      <c r="AZ1879" s="1"/>
      <c r="BA1879" s="1"/>
      <c r="BB1879" s="1"/>
      <c r="BC1879" s="1"/>
      <c r="BD1879" s="1"/>
    </row>
    <row r="1880" spans="35:56">
      <c r="AI1880" s="1"/>
      <c r="AJ1880" s="1"/>
      <c r="AK1880" s="1"/>
      <c r="AL1880" s="1"/>
      <c r="AM1880" s="1"/>
      <c r="AN1880" s="1"/>
      <c r="AO1880" s="1"/>
      <c r="AP1880" s="1"/>
      <c r="AQ1880" s="1"/>
      <c r="AR1880" s="1"/>
      <c r="AS1880" s="1"/>
      <c r="AT1880" s="1"/>
      <c r="AU1880" s="1"/>
      <c r="AV1880" s="1"/>
      <c r="AW1880" s="1"/>
      <c r="AX1880" s="1"/>
      <c r="AY1880" s="1"/>
      <c r="AZ1880" s="1"/>
      <c r="BA1880" s="1"/>
      <c r="BB1880" s="1"/>
      <c r="BC1880" s="1"/>
      <c r="BD1880" s="1"/>
    </row>
    <row r="1881" spans="35:56">
      <c r="AI1881" s="1"/>
      <c r="AJ1881" s="1"/>
      <c r="AK1881" s="1"/>
      <c r="AL1881" s="1"/>
      <c r="AM1881" s="1"/>
      <c r="AN1881" s="1"/>
      <c r="AO1881" s="1"/>
      <c r="AP1881" s="1"/>
      <c r="AQ1881" s="1"/>
      <c r="AR1881" s="1"/>
      <c r="AS1881" s="1"/>
      <c r="AT1881" s="1"/>
      <c r="AU1881" s="1"/>
      <c r="AV1881" s="1"/>
      <c r="AW1881" s="1"/>
      <c r="AX1881" s="1"/>
      <c r="AY1881" s="1"/>
      <c r="AZ1881" s="1"/>
      <c r="BA1881" s="1"/>
      <c r="BB1881" s="1"/>
      <c r="BC1881" s="1"/>
      <c r="BD1881" s="1"/>
    </row>
    <row r="1882" spans="35:56">
      <c r="AI1882" s="1"/>
      <c r="AJ1882" s="1"/>
      <c r="AK1882" s="1"/>
      <c r="AL1882" s="1"/>
      <c r="AM1882" s="1"/>
      <c r="AN1882" s="1"/>
      <c r="AO1882" s="1"/>
      <c r="AP1882" s="1"/>
      <c r="AQ1882" s="1"/>
      <c r="AR1882" s="1"/>
      <c r="AS1882" s="1"/>
      <c r="AT1882" s="1"/>
      <c r="AU1882" s="1"/>
      <c r="AV1882" s="1"/>
      <c r="AW1882" s="1"/>
      <c r="AX1882" s="1"/>
      <c r="AY1882" s="1"/>
      <c r="AZ1882" s="1"/>
      <c r="BA1882" s="1"/>
      <c r="BB1882" s="1"/>
      <c r="BC1882" s="1"/>
      <c r="BD1882" s="1"/>
    </row>
    <row r="1883" spans="35:56">
      <c r="AI1883" s="1"/>
      <c r="AJ1883" s="1"/>
      <c r="AK1883" s="1"/>
      <c r="AL1883" s="1"/>
      <c r="AM1883" s="1"/>
      <c r="AN1883" s="1"/>
      <c r="AO1883" s="1"/>
      <c r="AP1883" s="1"/>
      <c r="AQ1883" s="1"/>
      <c r="AR1883" s="1"/>
      <c r="AS1883" s="1"/>
      <c r="AT1883" s="1"/>
      <c r="AU1883" s="1"/>
      <c r="AV1883" s="1"/>
      <c r="AW1883" s="1"/>
      <c r="AX1883" s="1"/>
      <c r="AY1883" s="1"/>
      <c r="AZ1883" s="1"/>
      <c r="BA1883" s="1"/>
      <c r="BB1883" s="1"/>
      <c r="BC1883" s="1"/>
      <c r="BD1883" s="1"/>
    </row>
    <row r="1884" spans="35:56">
      <c r="AI1884" s="1"/>
      <c r="AJ1884" s="1"/>
      <c r="AK1884" s="1"/>
      <c r="AL1884" s="1"/>
      <c r="AM1884" s="1"/>
      <c r="AN1884" s="1"/>
      <c r="AO1884" s="1"/>
      <c r="AP1884" s="1"/>
      <c r="AQ1884" s="1"/>
      <c r="AR1884" s="1"/>
      <c r="AS1884" s="1"/>
      <c r="AT1884" s="1"/>
      <c r="AU1884" s="1"/>
      <c r="AV1884" s="1"/>
      <c r="AW1884" s="1"/>
      <c r="AX1884" s="1"/>
      <c r="AY1884" s="1"/>
      <c r="AZ1884" s="1"/>
      <c r="BA1884" s="1"/>
      <c r="BB1884" s="1"/>
      <c r="BC1884" s="1"/>
      <c r="BD1884" s="1"/>
    </row>
    <row r="1885" spans="35:56">
      <c r="AI1885" s="1"/>
      <c r="AJ1885" s="1"/>
      <c r="AK1885" s="1"/>
      <c r="AL1885" s="1"/>
      <c r="AM1885" s="1"/>
      <c r="AN1885" s="1"/>
      <c r="AO1885" s="1"/>
      <c r="AP1885" s="1"/>
      <c r="AQ1885" s="1"/>
      <c r="AR1885" s="1"/>
      <c r="AS1885" s="1"/>
      <c r="AT1885" s="1"/>
      <c r="AU1885" s="1"/>
      <c r="AV1885" s="1"/>
      <c r="AW1885" s="1"/>
      <c r="AX1885" s="1"/>
      <c r="AY1885" s="1"/>
      <c r="AZ1885" s="1"/>
      <c r="BA1885" s="1"/>
      <c r="BB1885" s="1"/>
      <c r="BC1885" s="1"/>
      <c r="BD1885" s="1"/>
    </row>
    <row r="1886" spans="35:56">
      <c r="AI1886" s="1"/>
      <c r="AJ1886" s="1"/>
      <c r="AK1886" s="1"/>
      <c r="AL1886" s="1"/>
      <c r="AM1886" s="1"/>
      <c r="AN1886" s="1"/>
      <c r="AO1886" s="1"/>
      <c r="AP1886" s="1"/>
      <c r="AQ1886" s="1"/>
      <c r="AR1886" s="1"/>
      <c r="AS1886" s="1"/>
      <c r="AT1886" s="1"/>
      <c r="AU1886" s="1"/>
      <c r="AV1886" s="1"/>
      <c r="AW1886" s="1"/>
      <c r="AX1886" s="1"/>
      <c r="AY1886" s="1"/>
      <c r="AZ1886" s="1"/>
      <c r="BA1886" s="1"/>
      <c r="BB1886" s="1"/>
      <c r="BC1886" s="1"/>
      <c r="BD1886" s="1"/>
    </row>
    <row r="1887" spans="35:56">
      <c r="AI1887" s="1"/>
      <c r="AJ1887" s="1"/>
      <c r="AK1887" s="1"/>
      <c r="AL1887" s="1"/>
      <c r="AM1887" s="1"/>
      <c r="AN1887" s="1"/>
      <c r="AO1887" s="1"/>
      <c r="AP1887" s="1"/>
      <c r="AQ1887" s="1"/>
      <c r="AR1887" s="1"/>
      <c r="AS1887" s="1"/>
      <c r="AT1887" s="1"/>
      <c r="AU1887" s="1"/>
      <c r="AV1887" s="1"/>
      <c r="AW1887" s="1"/>
      <c r="AX1887" s="1"/>
      <c r="AY1887" s="1"/>
      <c r="AZ1887" s="1"/>
      <c r="BA1887" s="1"/>
      <c r="BB1887" s="1"/>
      <c r="BC1887" s="1"/>
      <c r="BD1887" s="1"/>
    </row>
    <row r="1888" spans="35:56">
      <c r="AI1888" s="1"/>
      <c r="AJ1888" s="1"/>
      <c r="AK1888" s="1"/>
      <c r="AL1888" s="1"/>
      <c r="AM1888" s="1"/>
      <c r="AN1888" s="1"/>
      <c r="AO1888" s="1"/>
      <c r="AP1888" s="1"/>
      <c r="AQ1888" s="1"/>
      <c r="AR1888" s="1"/>
      <c r="AS1888" s="1"/>
      <c r="AT1888" s="1"/>
      <c r="AU1888" s="1"/>
      <c r="AV1888" s="1"/>
      <c r="AW1888" s="1"/>
      <c r="AX1888" s="1"/>
      <c r="AY1888" s="1"/>
      <c r="AZ1888" s="1"/>
      <c r="BA1888" s="1"/>
      <c r="BB1888" s="1"/>
      <c r="BC1888" s="1"/>
      <c r="BD1888" s="1"/>
    </row>
    <row r="1889" spans="35:56">
      <c r="AI1889" s="1"/>
      <c r="AJ1889" s="1"/>
      <c r="AK1889" s="1"/>
      <c r="AL1889" s="1"/>
      <c r="AM1889" s="1"/>
      <c r="AN1889" s="1"/>
      <c r="AO1889" s="1"/>
      <c r="AP1889" s="1"/>
      <c r="AQ1889" s="1"/>
      <c r="AR1889" s="1"/>
      <c r="AS1889" s="1"/>
      <c r="AT1889" s="1"/>
      <c r="AU1889" s="1"/>
      <c r="AV1889" s="1"/>
      <c r="AW1889" s="1"/>
      <c r="AX1889" s="1"/>
      <c r="AY1889" s="1"/>
      <c r="AZ1889" s="1"/>
      <c r="BA1889" s="1"/>
      <c r="BB1889" s="1"/>
      <c r="BC1889" s="1"/>
      <c r="BD1889" s="1"/>
    </row>
    <row r="1890" spans="35:56">
      <c r="AI1890" s="1"/>
      <c r="AJ1890" s="1"/>
      <c r="AK1890" s="1"/>
      <c r="AL1890" s="1"/>
      <c r="AM1890" s="1"/>
      <c r="AN1890" s="1"/>
      <c r="AO1890" s="1"/>
      <c r="AP1890" s="1"/>
      <c r="AQ1890" s="1"/>
      <c r="AR1890" s="1"/>
      <c r="AS1890" s="1"/>
      <c r="AT1890" s="1"/>
      <c r="AU1890" s="1"/>
      <c r="AV1890" s="1"/>
      <c r="AW1890" s="1"/>
      <c r="AX1890" s="1"/>
      <c r="AY1890" s="1"/>
      <c r="AZ1890" s="1"/>
      <c r="BA1890" s="1"/>
      <c r="BB1890" s="1"/>
      <c r="BC1890" s="1"/>
      <c r="BD1890" s="1"/>
    </row>
    <row r="1891" spans="35:56">
      <c r="AI1891" s="1"/>
      <c r="AJ1891" s="1"/>
      <c r="AK1891" s="1"/>
      <c r="AL1891" s="1"/>
      <c r="AM1891" s="1"/>
      <c r="AN1891" s="1"/>
      <c r="AO1891" s="1"/>
      <c r="AP1891" s="1"/>
      <c r="AQ1891" s="1"/>
      <c r="AR1891" s="1"/>
      <c r="AS1891" s="1"/>
      <c r="AT1891" s="1"/>
      <c r="AU1891" s="1"/>
      <c r="AV1891" s="1"/>
      <c r="AW1891" s="1"/>
      <c r="AX1891" s="1"/>
      <c r="AY1891" s="1"/>
      <c r="AZ1891" s="1"/>
      <c r="BA1891" s="1"/>
      <c r="BB1891" s="1"/>
      <c r="BC1891" s="1"/>
      <c r="BD1891" s="1"/>
    </row>
    <row r="1892" spans="35:56">
      <c r="AI1892" s="1"/>
      <c r="AJ1892" s="1"/>
      <c r="AK1892" s="1"/>
      <c r="AL1892" s="1"/>
      <c r="AM1892" s="1"/>
      <c r="AN1892" s="1"/>
      <c r="AO1892" s="1"/>
      <c r="AP1892" s="1"/>
      <c r="AQ1892" s="1"/>
      <c r="AR1892" s="1"/>
      <c r="AS1892" s="1"/>
      <c r="AT1892" s="1"/>
      <c r="AU1892" s="1"/>
      <c r="AV1892" s="1"/>
      <c r="AW1892" s="1"/>
      <c r="AX1892" s="1"/>
      <c r="AY1892" s="1"/>
      <c r="AZ1892" s="1"/>
      <c r="BA1892" s="1"/>
      <c r="BB1892" s="1"/>
      <c r="BC1892" s="1"/>
      <c r="BD1892" s="1"/>
    </row>
    <row r="1893" spans="35:56">
      <c r="AI1893" s="1"/>
      <c r="AJ1893" s="1"/>
      <c r="AK1893" s="1"/>
      <c r="AL1893" s="1"/>
      <c r="AM1893" s="1"/>
      <c r="AN1893" s="1"/>
      <c r="AO1893" s="1"/>
      <c r="AP1893" s="1"/>
      <c r="AQ1893" s="1"/>
      <c r="AR1893" s="1"/>
      <c r="AS1893" s="1"/>
      <c r="AT1893" s="1"/>
      <c r="AU1893" s="1"/>
      <c r="AV1893" s="1"/>
      <c r="AW1893" s="1"/>
      <c r="AX1893" s="1"/>
      <c r="AY1893" s="1"/>
      <c r="AZ1893" s="1"/>
      <c r="BA1893" s="1"/>
      <c r="BB1893" s="1"/>
      <c r="BC1893" s="1"/>
      <c r="BD1893" s="1"/>
    </row>
    <row r="1894" spans="35:56">
      <c r="AI1894" s="1"/>
      <c r="AJ1894" s="1"/>
      <c r="AK1894" s="1"/>
      <c r="AL1894" s="1"/>
      <c r="AM1894" s="1"/>
      <c r="AN1894" s="1"/>
      <c r="AO1894" s="1"/>
      <c r="AP1894" s="1"/>
      <c r="AQ1894" s="1"/>
      <c r="AR1894" s="1"/>
      <c r="AS1894" s="1"/>
      <c r="AT1894" s="1"/>
      <c r="AU1894" s="1"/>
      <c r="AV1894" s="1"/>
      <c r="AW1894" s="1"/>
      <c r="AX1894" s="1"/>
      <c r="AY1894" s="1"/>
      <c r="AZ1894" s="1"/>
      <c r="BA1894" s="1"/>
      <c r="BB1894" s="1"/>
      <c r="BC1894" s="1"/>
      <c r="BD1894" s="1"/>
    </row>
    <row r="1895" spans="35:56">
      <c r="AI1895" s="1"/>
      <c r="AJ1895" s="1"/>
      <c r="AK1895" s="1"/>
      <c r="AL1895" s="1"/>
      <c r="AM1895" s="1"/>
      <c r="AN1895" s="1"/>
      <c r="AO1895" s="1"/>
      <c r="AP1895" s="1"/>
      <c r="AQ1895" s="1"/>
      <c r="AR1895" s="1"/>
      <c r="AS1895" s="1"/>
      <c r="AT1895" s="1"/>
      <c r="AU1895" s="1"/>
      <c r="AV1895" s="1"/>
      <c r="AW1895" s="1"/>
      <c r="AX1895" s="1"/>
      <c r="AY1895" s="1"/>
      <c r="AZ1895" s="1"/>
      <c r="BA1895" s="1"/>
      <c r="BB1895" s="1"/>
      <c r="BC1895" s="1"/>
      <c r="BD1895" s="1"/>
    </row>
    <row r="1896" spans="35:56">
      <c r="AI1896" s="1"/>
      <c r="AJ1896" s="1"/>
      <c r="AK1896" s="1"/>
      <c r="AL1896" s="1"/>
      <c r="AM1896" s="1"/>
      <c r="AN1896" s="1"/>
      <c r="AO1896" s="1"/>
      <c r="AP1896" s="1"/>
      <c r="AQ1896" s="1"/>
      <c r="AR1896" s="1"/>
      <c r="AS1896" s="1"/>
      <c r="AT1896" s="1"/>
      <c r="AU1896" s="1"/>
      <c r="AV1896" s="1"/>
      <c r="AW1896" s="1"/>
      <c r="AX1896" s="1"/>
      <c r="AY1896" s="1"/>
      <c r="AZ1896" s="1"/>
      <c r="BA1896" s="1"/>
      <c r="BB1896" s="1"/>
      <c r="BC1896" s="1"/>
      <c r="BD1896" s="1"/>
    </row>
  </sheetData>
  <mergeCells count="1899">
    <mergeCell ref="AN31:AN32"/>
    <mergeCell ref="AR305:AT305"/>
    <mergeCell ref="AU305:AV305"/>
    <mergeCell ref="AR306:AT306"/>
    <mergeCell ref="AU306:AV306"/>
    <mergeCell ref="AR307:AT307"/>
    <mergeCell ref="AU307:AV307"/>
    <mergeCell ref="AR308:AT308"/>
    <mergeCell ref="AU308:AV308"/>
    <mergeCell ref="AR5:AT5"/>
    <mergeCell ref="E309:F309"/>
    <mergeCell ref="E310:F310"/>
    <mergeCell ref="AR266:AT266"/>
    <mergeCell ref="AU266:AV266"/>
    <mergeCell ref="AR277:AT277"/>
    <mergeCell ref="AU277:AV277"/>
    <mergeCell ref="AR278:AT278"/>
    <mergeCell ref="AU278:AV278"/>
    <mergeCell ref="AR279:AT279"/>
    <mergeCell ref="AU279:AV279"/>
    <mergeCell ref="AR292:AS292"/>
    <mergeCell ref="AU292:AV292"/>
    <mergeCell ref="AR294:AT294"/>
    <mergeCell ref="AU294:AV294"/>
    <mergeCell ref="AR295:AT295"/>
    <mergeCell ref="AU295:AV295"/>
    <mergeCell ref="AR297:AT297"/>
    <mergeCell ref="AU297:AV297"/>
    <mergeCell ref="AR301:AT301"/>
    <mergeCell ref="AU301:AV301"/>
    <mergeCell ref="AR214:AT214"/>
    <mergeCell ref="AU219:AV219"/>
    <mergeCell ref="AR264:AT264"/>
    <mergeCell ref="AU264:AV264"/>
    <mergeCell ref="AR265:AT265"/>
    <mergeCell ref="AU265:AV265"/>
    <mergeCell ref="AR304:AT304"/>
    <mergeCell ref="AU304:AV304"/>
    <mergeCell ref="AR182:AT182"/>
    <mergeCell ref="AU182:AV182"/>
    <mergeCell ref="AR183:AT183"/>
    <mergeCell ref="AU183:AV183"/>
    <mergeCell ref="AR184:AT184"/>
    <mergeCell ref="AU184:AV184"/>
    <mergeCell ref="AU189:AV189"/>
    <mergeCell ref="AR190:AT190"/>
    <mergeCell ref="AU190:AV190"/>
    <mergeCell ref="AR193:AT193"/>
    <mergeCell ref="AU193:AV193"/>
    <mergeCell ref="AR196:AT196"/>
    <mergeCell ref="AU196:AV196"/>
    <mergeCell ref="AR197:AT197"/>
    <mergeCell ref="AU197:AV197"/>
    <mergeCell ref="AR198:AT198"/>
    <mergeCell ref="AU198:AV198"/>
    <mergeCell ref="AR107:AT107"/>
    <mergeCell ref="AU107:AV107"/>
    <mergeCell ref="AR114:AT114"/>
    <mergeCell ref="AU114:AV114"/>
    <mergeCell ref="AR119:AT119"/>
    <mergeCell ref="AU119:AV119"/>
    <mergeCell ref="AR170:AT170"/>
    <mergeCell ref="AU170:AV170"/>
    <mergeCell ref="AU222:AV222"/>
    <mergeCell ref="AR226:AT226"/>
    <mergeCell ref="AU226:AV226"/>
    <mergeCell ref="AR230:AT230"/>
    <mergeCell ref="AU230:AV230"/>
    <mergeCell ref="AR231:AT231"/>
    <mergeCell ref="AU231:AV231"/>
    <mergeCell ref="AR261:AT261"/>
    <mergeCell ref="AU261:AV261"/>
    <mergeCell ref="AR222:AT222"/>
    <mergeCell ref="AU43:AV43"/>
    <mergeCell ref="AR44:AT44"/>
    <mergeCell ref="AU44:AV44"/>
    <mergeCell ref="AR68:AT68"/>
    <mergeCell ref="AU68:AV68"/>
    <mergeCell ref="AR69:AT70"/>
    <mergeCell ref="AU69:AV69"/>
    <mergeCell ref="AU70:AV70"/>
    <mergeCell ref="AR71:AT71"/>
    <mergeCell ref="AU71:AV71"/>
    <mergeCell ref="AU77:AV77"/>
    <mergeCell ref="AR81:AT81"/>
    <mergeCell ref="AR87:AT87"/>
    <mergeCell ref="AU87:AV87"/>
    <mergeCell ref="AR104:AT104"/>
    <mergeCell ref="AU104:AV104"/>
    <mergeCell ref="AR106:AT106"/>
    <mergeCell ref="AU106:AV106"/>
    <mergeCell ref="O307:P307"/>
    <mergeCell ref="O308:P308"/>
    <mergeCell ref="AR4:AT4"/>
    <mergeCell ref="AU4:AV4"/>
    <mergeCell ref="AU5:AV5"/>
    <mergeCell ref="AR8:AT8"/>
    <mergeCell ref="AU8:AV8"/>
    <mergeCell ref="AR9:AT9"/>
    <mergeCell ref="AU9:AV9"/>
    <mergeCell ref="AR10:AT10"/>
    <mergeCell ref="AU10:AV10"/>
    <mergeCell ref="AR14:AT14"/>
    <mergeCell ref="AU14:AV14"/>
    <mergeCell ref="AR16:AT16"/>
    <mergeCell ref="AU16:AV16"/>
    <mergeCell ref="AR17:AT17"/>
    <mergeCell ref="AU17:AV17"/>
    <mergeCell ref="AR19:AS19"/>
    <mergeCell ref="AU19:AV19"/>
    <mergeCell ref="AR38:AT38"/>
    <mergeCell ref="AU38:AV38"/>
    <mergeCell ref="AR39:AT39"/>
    <mergeCell ref="AU39:AV39"/>
    <mergeCell ref="O197:P197"/>
    <mergeCell ref="O198:P198"/>
    <mergeCell ref="AR40:AT40"/>
    <mergeCell ref="AU40:AV40"/>
    <mergeCell ref="AR41:AT41"/>
    <mergeCell ref="AU41:AV41"/>
    <mergeCell ref="AR42:AT42"/>
    <mergeCell ref="AU42:AV42"/>
    <mergeCell ref="AR43:AT43"/>
    <mergeCell ref="O182:P182"/>
    <mergeCell ref="O183:P183"/>
    <mergeCell ref="O184:P184"/>
    <mergeCell ref="O185:P185"/>
    <mergeCell ref="O186:P186"/>
    <mergeCell ref="O187:P187"/>
    <mergeCell ref="O188:P188"/>
    <mergeCell ref="O189:P189"/>
    <mergeCell ref="O190:P190"/>
    <mergeCell ref="O193:P193"/>
    <mergeCell ref="O196:P196"/>
    <mergeCell ref="O294:P294"/>
    <mergeCell ref="O295:P295"/>
    <mergeCell ref="O297:P297"/>
    <mergeCell ref="O301:P301"/>
    <mergeCell ref="O304:P304"/>
    <mergeCell ref="O305:P305"/>
    <mergeCell ref="O69:P69"/>
    <mergeCell ref="O70:P70"/>
    <mergeCell ref="O71:P71"/>
    <mergeCell ref="O72:P72"/>
    <mergeCell ref="O73:P73"/>
    <mergeCell ref="O74:P74"/>
    <mergeCell ref="O75:P75"/>
    <mergeCell ref="O76:P76"/>
    <mergeCell ref="I295:J295"/>
    <mergeCell ref="K295:L295"/>
    <mergeCell ref="M295:N295"/>
    <mergeCell ref="O203:P203"/>
    <mergeCell ref="O206:P206"/>
    <mergeCell ref="O211:P211"/>
    <mergeCell ref="O214:P214"/>
    <mergeCell ref="O219:P219"/>
    <mergeCell ref="O222:P222"/>
    <mergeCell ref="O226:P226"/>
    <mergeCell ref="O230:P230"/>
    <mergeCell ref="O231:P231"/>
    <mergeCell ref="O261:P261"/>
    <mergeCell ref="O264:P264"/>
    <mergeCell ref="O265:P265"/>
    <mergeCell ref="O266:P266"/>
    <mergeCell ref="O277:P277"/>
    <mergeCell ref="O278:P278"/>
    <mergeCell ref="O105:P105"/>
    <mergeCell ref="O106:P106"/>
    <mergeCell ref="O107:P107"/>
    <mergeCell ref="O114:P114"/>
    <mergeCell ref="O119:P119"/>
    <mergeCell ref="O170:P170"/>
    <mergeCell ref="O4:P4"/>
    <mergeCell ref="O5:P5"/>
    <mergeCell ref="O8:P8"/>
    <mergeCell ref="O9:P9"/>
    <mergeCell ref="O10:P10"/>
    <mergeCell ref="O14:P14"/>
    <mergeCell ref="O16:P16"/>
    <mergeCell ref="O17:P17"/>
    <mergeCell ref="O19:P19"/>
    <mergeCell ref="O38:P38"/>
    <mergeCell ref="O39:P39"/>
    <mergeCell ref="O40:P40"/>
    <mergeCell ref="O41:P41"/>
    <mergeCell ref="O42:P42"/>
    <mergeCell ref="O43:P43"/>
    <mergeCell ref="O44:P44"/>
    <mergeCell ref="O68:P68"/>
    <mergeCell ref="M226:N226"/>
    <mergeCell ref="I230:J230"/>
    <mergeCell ref="K230:L230"/>
    <mergeCell ref="M230:N230"/>
    <mergeCell ref="I231:J231"/>
    <mergeCell ref="K231:L231"/>
    <mergeCell ref="M231:N231"/>
    <mergeCell ref="I261:J261"/>
    <mergeCell ref="K261:L261"/>
    <mergeCell ref="M261:N261"/>
    <mergeCell ref="I264:J264"/>
    <mergeCell ref="K264:L264"/>
    <mergeCell ref="M264:N264"/>
    <mergeCell ref="I297:J297"/>
    <mergeCell ref="K297:L297"/>
    <mergeCell ref="M297:N297"/>
    <mergeCell ref="I301:J301"/>
    <mergeCell ref="K301:L301"/>
    <mergeCell ref="M301:N301"/>
    <mergeCell ref="I265:J265"/>
    <mergeCell ref="K265:L265"/>
    <mergeCell ref="M265:N265"/>
    <mergeCell ref="I266:J266"/>
    <mergeCell ref="K266:L266"/>
    <mergeCell ref="M266:N266"/>
    <mergeCell ref="I277:J277"/>
    <mergeCell ref="K277:L277"/>
    <mergeCell ref="M277:N277"/>
    <mergeCell ref="I278:J278"/>
    <mergeCell ref="K278:L278"/>
    <mergeCell ref="M278:N278"/>
    <mergeCell ref="I279:J279"/>
    <mergeCell ref="I193:J193"/>
    <mergeCell ref="K193:L193"/>
    <mergeCell ref="M193:N193"/>
    <mergeCell ref="I196:J196"/>
    <mergeCell ref="K196:L196"/>
    <mergeCell ref="M196:N196"/>
    <mergeCell ref="I197:J197"/>
    <mergeCell ref="K197:L197"/>
    <mergeCell ref="M197:N197"/>
    <mergeCell ref="I198:J198"/>
    <mergeCell ref="K198:L198"/>
    <mergeCell ref="M198:N198"/>
    <mergeCell ref="I203:J203"/>
    <mergeCell ref="K203:L203"/>
    <mergeCell ref="M203:N203"/>
    <mergeCell ref="I206:J206"/>
    <mergeCell ref="K206:L206"/>
    <mergeCell ref="M206:N206"/>
    <mergeCell ref="I183:J183"/>
    <mergeCell ref="K183:L183"/>
    <mergeCell ref="M183:N183"/>
    <mergeCell ref="I184:J184"/>
    <mergeCell ref="K184:L184"/>
    <mergeCell ref="M184:N184"/>
    <mergeCell ref="I185:J185"/>
    <mergeCell ref="K185:L185"/>
    <mergeCell ref="M185:N185"/>
    <mergeCell ref="I186:J186"/>
    <mergeCell ref="K186:L186"/>
    <mergeCell ref="M186:N186"/>
    <mergeCell ref="I187:J187"/>
    <mergeCell ref="K187:L187"/>
    <mergeCell ref="M187:N187"/>
    <mergeCell ref="I188:J188"/>
    <mergeCell ref="K188:L188"/>
    <mergeCell ref="M188:N188"/>
    <mergeCell ref="I106:J106"/>
    <mergeCell ref="K106:L106"/>
    <mergeCell ref="M106:N106"/>
    <mergeCell ref="I107:J107"/>
    <mergeCell ref="K107:L107"/>
    <mergeCell ref="M107:N107"/>
    <mergeCell ref="I114:J114"/>
    <mergeCell ref="K114:L114"/>
    <mergeCell ref="M114:N114"/>
    <mergeCell ref="I119:J119"/>
    <mergeCell ref="K119:L119"/>
    <mergeCell ref="M119:N119"/>
    <mergeCell ref="I170:J170"/>
    <mergeCell ref="K170:L170"/>
    <mergeCell ref="M170:N170"/>
    <mergeCell ref="I182:J182"/>
    <mergeCell ref="K182:L182"/>
    <mergeCell ref="M182:N182"/>
    <mergeCell ref="I73:J73"/>
    <mergeCell ref="K73:L73"/>
    <mergeCell ref="M73:N73"/>
    <mergeCell ref="I74:J74"/>
    <mergeCell ref="K74:L74"/>
    <mergeCell ref="M74:N74"/>
    <mergeCell ref="I75:J75"/>
    <mergeCell ref="K75:L75"/>
    <mergeCell ref="M75:N75"/>
    <mergeCell ref="I76:J76"/>
    <mergeCell ref="K76:L76"/>
    <mergeCell ref="M76:N76"/>
    <mergeCell ref="I77:J77"/>
    <mergeCell ref="K77:L77"/>
    <mergeCell ref="M77:N77"/>
    <mergeCell ref="I87:J87"/>
    <mergeCell ref="K87:L87"/>
    <mergeCell ref="M87:N87"/>
    <mergeCell ref="K44:L44"/>
    <mergeCell ref="M44:N44"/>
    <mergeCell ref="I68:J68"/>
    <mergeCell ref="K68:L68"/>
    <mergeCell ref="M68:N68"/>
    <mergeCell ref="I69:J69"/>
    <mergeCell ref="K69:L69"/>
    <mergeCell ref="M69:N69"/>
    <mergeCell ref="I70:J70"/>
    <mergeCell ref="K70:L70"/>
    <mergeCell ref="M70:N70"/>
    <mergeCell ref="I71:J71"/>
    <mergeCell ref="K71:L71"/>
    <mergeCell ref="M71:N71"/>
    <mergeCell ref="I72:J72"/>
    <mergeCell ref="K72:L72"/>
    <mergeCell ref="M72:N72"/>
    <mergeCell ref="Q10:R10"/>
    <mergeCell ref="Q9:R9"/>
    <mergeCell ref="Q8:R8"/>
    <mergeCell ref="I38:J38"/>
    <mergeCell ref="K38:L38"/>
    <mergeCell ref="M38:N38"/>
    <mergeCell ref="I39:J39"/>
    <mergeCell ref="K39:L39"/>
    <mergeCell ref="M39:N39"/>
    <mergeCell ref="I40:J40"/>
    <mergeCell ref="K40:L40"/>
    <mergeCell ref="M40:N40"/>
    <mergeCell ref="I41:J41"/>
    <mergeCell ref="K41:L41"/>
    <mergeCell ref="M41:N41"/>
    <mergeCell ref="I42:J42"/>
    <mergeCell ref="K42:L42"/>
    <mergeCell ref="M42:N42"/>
    <mergeCell ref="Q203:R203"/>
    <mergeCell ref="Q206:R206"/>
    <mergeCell ref="Q211:R211"/>
    <mergeCell ref="Q70:R70"/>
    <mergeCell ref="Q69:R69"/>
    <mergeCell ref="Q68:R68"/>
    <mergeCell ref="Q44:R44"/>
    <mergeCell ref="Q43:R43"/>
    <mergeCell ref="Q42:R42"/>
    <mergeCell ref="Q41:R41"/>
    <mergeCell ref="Q40:R40"/>
    <mergeCell ref="Q39:R39"/>
    <mergeCell ref="Q38:R38"/>
    <mergeCell ref="Q119:R119"/>
    <mergeCell ref="Q170:R170"/>
    <mergeCell ref="Q182:R182"/>
    <mergeCell ref="Q183:R183"/>
    <mergeCell ref="Q184:R184"/>
    <mergeCell ref="Q185:R185"/>
    <mergeCell ref="Q186:R186"/>
    <mergeCell ref="Q187:R187"/>
    <mergeCell ref="Q188:R188"/>
    <mergeCell ref="Q77:R77"/>
    <mergeCell ref="Q87:R87"/>
    <mergeCell ref="Q104:R104"/>
    <mergeCell ref="Q105:R105"/>
    <mergeCell ref="Q106:R106"/>
    <mergeCell ref="Q107:R107"/>
    <mergeCell ref="Q114:R114"/>
    <mergeCell ref="Q196:R196"/>
    <mergeCell ref="Q193:R193"/>
    <mergeCell ref="Q197:R197"/>
    <mergeCell ref="E294:F294"/>
    <mergeCell ref="E295:F295"/>
    <mergeCell ref="E297:F297"/>
    <mergeCell ref="E301:F301"/>
    <mergeCell ref="E304:F304"/>
    <mergeCell ref="E305:F305"/>
    <mergeCell ref="E306:F306"/>
    <mergeCell ref="E307:F307"/>
    <mergeCell ref="E308:F308"/>
    <mergeCell ref="Q266:R266"/>
    <mergeCell ref="Q265:R265"/>
    <mergeCell ref="Q264:R264"/>
    <mergeCell ref="Q261:R261"/>
    <mergeCell ref="Q260:R260"/>
    <mergeCell ref="Q239:R239"/>
    <mergeCell ref="Q236:R236"/>
    <mergeCell ref="Q235:R235"/>
    <mergeCell ref="M292:N292"/>
    <mergeCell ref="I304:J304"/>
    <mergeCell ref="K304:L304"/>
    <mergeCell ref="M304:N304"/>
    <mergeCell ref="I305:J305"/>
    <mergeCell ref="K305:L305"/>
    <mergeCell ref="M305:N305"/>
    <mergeCell ref="I306:J306"/>
    <mergeCell ref="K306:L306"/>
    <mergeCell ref="M306:N306"/>
    <mergeCell ref="K279:L279"/>
    <mergeCell ref="M307:N307"/>
    <mergeCell ref="I308:J308"/>
    <mergeCell ref="K308:L308"/>
    <mergeCell ref="M308:N308"/>
    <mergeCell ref="E187:F187"/>
    <mergeCell ref="E188:F188"/>
    <mergeCell ref="E189:F189"/>
    <mergeCell ref="E190:F190"/>
    <mergeCell ref="E193:F193"/>
    <mergeCell ref="E196:F196"/>
    <mergeCell ref="E197:F197"/>
    <mergeCell ref="E198:F198"/>
    <mergeCell ref="E203:F203"/>
    <mergeCell ref="E206:F206"/>
    <mergeCell ref="E211:F211"/>
    <mergeCell ref="E214:F214"/>
    <mergeCell ref="E219:F219"/>
    <mergeCell ref="E222:F222"/>
    <mergeCell ref="E226:F226"/>
    <mergeCell ref="E230:F230"/>
    <mergeCell ref="E231:F231"/>
    <mergeCell ref="AZ17:BA17"/>
    <mergeCell ref="AZ19:BA19"/>
    <mergeCell ref="AP4:AQ4"/>
    <mergeCell ref="AP5:AQ5"/>
    <mergeCell ref="AP8:AQ8"/>
    <mergeCell ref="AP9:AQ9"/>
    <mergeCell ref="AP10:AQ10"/>
    <mergeCell ref="AP14:AQ14"/>
    <mergeCell ref="D14:D18"/>
    <mergeCell ref="G14:G18"/>
    <mergeCell ref="AP17:AQ17"/>
    <mergeCell ref="AP19:AQ19"/>
    <mergeCell ref="AK17:AL17"/>
    <mergeCell ref="AK19:AL19"/>
    <mergeCell ref="AX9:AY9"/>
    <mergeCell ref="AX10:AY10"/>
    <mergeCell ref="AX14:AY14"/>
    <mergeCell ref="AX16:AY16"/>
    <mergeCell ref="AX17:AY17"/>
    <mergeCell ref="AX19:AY19"/>
    <mergeCell ref="E4:F4"/>
    <mergeCell ref="E5:F5"/>
    <mergeCell ref="E8:F8"/>
    <mergeCell ref="E9:F9"/>
    <mergeCell ref="E10:F10"/>
    <mergeCell ref="E14:F14"/>
    <mergeCell ref="E16:F16"/>
    <mergeCell ref="E17:F17"/>
    <mergeCell ref="E19:F19"/>
    <mergeCell ref="Q5:R5"/>
    <mergeCell ref="Q4:R4"/>
    <mergeCell ref="AE16:AF16"/>
    <mergeCell ref="AZ4:BA4"/>
    <mergeCell ref="AZ5:BA5"/>
    <mergeCell ref="AZ8:BA8"/>
    <mergeCell ref="AZ9:BA9"/>
    <mergeCell ref="AZ10:BA10"/>
    <mergeCell ref="AZ14:BA14"/>
    <mergeCell ref="AZ16:BA16"/>
    <mergeCell ref="AP16:AQ16"/>
    <mergeCell ref="A4:C6"/>
    <mergeCell ref="AE4:AF4"/>
    <mergeCell ref="AE5:AF5"/>
    <mergeCell ref="AK4:AL4"/>
    <mergeCell ref="AK5:AL5"/>
    <mergeCell ref="AK8:AL8"/>
    <mergeCell ref="AK9:AL9"/>
    <mergeCell ref="AK10:AL10"/>
    <mergeCell ref="AK14:AL14"/>
    <mergeCell ref="AK16:AL16"/>
    <mergeCell ref="AW5:AW6"/>
    <mergeCell ref="AX4:AY4"/>
    <mergeCell ref="AX5:AY5"/>
    <mergeCell ref="AX8:AY8"/>
    <mergeCell ref="H5:H6"/>
    <mergeCell ref="I4:J4"/>
    <mergeCell ref="K4:L4"/>
    <mergeCell ref="M4:N4"/>
    <mergeCell ref="I5:J5"/>
    <mergeCell ref="K5:L5"/>
    <mergeCell ref="M5:N5"/>
    <mergeCell ref="AE14:AF14"/>
    <mergeCell ref="A7:C7"/>
    <mergeCell ref="A8:A10"/>
    <mergeCell ref="BC294:BD294"/>
    <mergeCell ref="BC295:BD295"/>
    <mergeCell ref="BC297:BD297"/>
    <mergeCell ref="BC301:BD301"/>
    <mergeCell ref="BC304:BD304"/>
    <mergeCell ref="BC305:BD305"/>
    <mergeCell ref="BC306:BD306"/>
    <mergeCell ref="BC307:BD307"/>
    <mergeCell ref="BC308:BD308"/>
    <mergeCell ref="BC261:BD261"/>
    <mergeCell ref="BC264:BD264"/>
    <mergeCell ref="BC265:BD265"/>
    <mergeCell ref="BC266:BD266"/>
    <mergeCell ref="BC277:BD277"/>
    <mergeCell ref="BC278:BD278"/>
    <mergeCell ref="AR185:AT185"/>
    <mergeCell ref="AU185:AV185"/>
    <mergeCell ref="AR186:AT186"/>
    <mergeCell ref="AU186:AV186"/>
    <mergeCell ref="AR187:AT187"/>
    <mergeCell ref="AU187:AV187"/>
    <mergeCell ref="AR188:AT188"/>
    <mergeCell ref="AU188:AV188"/>
    <mergeCell ref="AR189:AT189"/>
    <mergeCell ref="AR203:AT203"/>
    <mergeCell ref="AU203:AV203"/>
    <mergeCell ref="AR206:AT206"/>
    <mergeCell ref="AU206:AV206"/>
    <mergeCell ref="AR211:AT211"/>
    <mergeCell ref="AU211:AV211"/>
    <mergeCell ref="AU214:AV214"/>
    <mergeCell ref="AR219:AT219"/>
    <mergeCell ref="BC279:BD279"/>
    <mergeCell ref="BC292:BD292"/>
    <mergeCell ref="BC222:BD222"/>
    <mergeCell ref="BC226:BD226"/>
    <mergeCell ref="BC230:BD230"/>
    <mergeCell ref="BC231:BD231"/>
    <mergeCell ref="BC243:BC250"/>
    <mergeCell ref="BD243:BD250"/>
    <mergeCell ref="BC252:BC259"/>
    <mergeCell ref="BD252:BD259"/>
    <mergeCell ref="BC260:BD260"/>
    <mergeCell ref="BC68:BD68"/>
    <mergeCell ref="BC69:BD69"/>
    <mergeCell ref="BA150:BA169"/>
    <mergeCell ref="AQ234:AQ241"/>
    <mergeCell ref="BA234:BA241"/>
    <mergeCell ref="BD115:BD118"/>
    <mergeCell ref="BC129:BC148"/>
    <mergeCell ref="BD150:BD168"/>
    <mergeCell ref="BD234:BD241"/>
    <mergeCell ref="BC287:BC291"/>
    <mergeCell ref="AR72:AT72"/>
    <mergeCell ref="AU72:AV72"/>
    <mergeCell ref="AR73:AT73"/>
    <mergeCell ref="AU73:AV73"/>
    <mergeCell ref="AR74:AT74"/>
    <mergeCell ref="AU74:AV74"/>
    <mergeCell ref="AR75:AT75"/>
    <mergeCell ref="AU75:AV75"/>
    <mergeCell ref="AR76:AT76"/>
    <mergeCell ref="AU76:AV76"/>
    <mergeCell ref="AR77:AT77"/>
    <mergeCell ref="BC183:BD183"/>
    <mergeCell ref="BC184:BD184"/>
    <mergeCell ref="BC185:BD185"/>
    <mergeCell ref="BC186:BD186"/>
    <mergeCell ref="BC187:BD187"/>
    <mergeCell ref="BC188:BD188"/>
    <mergeCell ref="BC189:BD189"/>
    <mergeCell ref="BC190:BD190"/>
    <mergeCell ref="BC193:BD193"/>
    <mergeCell ref="BC196:BD196"/>
    <mergeCell ref="BC197:BD197"/>
    <mergeCell ref="BC198:BD198"/>
    <mergeCell ref="AZ214:BA214"/>
    <mergeCell ref="AZ219:BA219"/>
    <mergeCell ref="BC203:BD203"/>
    <mergeCell ref="BC206:BD206"/>
    <mergeCell ref="BC211:BD211"/>
    <mergeCell ref="BC214:BD214"/>
    <mergeCell ref="BC219:BD219"/>
    <mergeCell ref="BC104:BD104"/>
    <mergeCell ref="BC105:BD105"/>
    <mergeCell ref="BC106:BD106"/>
    <mergeCell ref="BC107:BD107"/>
    <mergeCell ref="BC119:BD119"/>
    <mergeCell ref="BC170:BD170"/>
    <mergeCell ref="BD171:BD181"/>
    <mergeCell ref="BC70:BD70"/>
    <mergeCell ref="BC71:BD71"/>
    <mergeCell ref="BC72:BD72"/>
    <mergeCell ref="BC73:BD73"/>
    <mergeCell ref="BC74:BD74"/>
    <mergeCell ref="BC75:BD75"/>
    <mergeCell ref="BC76:BD76"/>
    <mergeCell ref="BC77:BD77"/>
    <mergeCell ref="BC87:BD87"/>
    <mergeCell ref="BC182:BD182"/>
    <mergeCell ref="AZ306:BA306"/>
    <mergeCell ref="AZ307:BA307"/>
    <mergeCell ref="AZ260:BA260"/>
    <mergeCell ref="AZ261:BA261"/>
    <mergeCell ref="AZ264:BA264"/>
    <mergeCell ref="AZ265:BA265"/>
    <mergeCell ref="AZ266:BA266"/>
    <mergeCell ref="AZ277:BA277"/>
    <mergeCell ref="AZ278:BA278"/>
    <mergeCell ref="AZ279:BA279"/>
    <mergeCell ref="BA287:BA291"/>
    <mergeCell ref="AZ308:BA308"/>
    <mergeCell ref="AQ150:AQ168"/>
    <mergeCell ref="BC4:BD4"/>
    <mergeCell ref="BC5:BD5"/>
    <mergeCell ref="BC8:BD8"/>
    <mergeCell ref="BC9:BD9"/>
    <mergeCell ref="BC10:BD10"/>
    <mergeCell ref="BC14:BD14"/>
    <mergeCell ref="BC16:BD16"/>
    <mergeCell ref="BC17:BD17"/>
    <mergeCell ref="BC19:BD19"/>
    <mergeCell ref="BC31:BC33"/>
    <mergeCell ref="BD31:BD33"/>
    <mergeCell ref="BC38:BD38"/>
    <mergeCell ref="BC39:BD39"/>
    <mergeCell ref="BC40:BD40"/>
    <mergeCell ref="BC41:BD41"/>
    <mergeCell ref="BC42:BD42"/>
    <mergeCell ref="BC43:BD43"/>
    <mergeCell ref="BC44:BD44"/>
    <mergeCell ref="AZ211:BA211"/>
    <mergeCell ref="AZ222:BA222"/>
    <mergeCell ref="AZ226:BA226"/>
    <mergeCell ref="AZ230:BA230"/>
    <mergeCell ref="AZ231:BA231"/>
    <mergeCell ref="AZ243:AZ250"/>
    <mergeCell ref="BA243:BA250"/>
    <mergeCell ref="AZ252:AZ259"/>
    <mergeCell ref="BA252:BA259"/>
    <mergeCell ref="AZ294:BA294"/>
    <mergeCell ref="AZ295:BA295"/>
    <mergeCell ref="AZ297:BA297"/>
    <mergeCell ref="AZ301:BA301"/>
    <mergeCell ref="AZ304:BA304"/>
    <mergeCell ref="AZ305:BA305"/>
    <mergeCell ref="AZ170:BA170"/>
    <mergeCell ref="BA171:BA181"/>
    <mergeCell ref="AZ182:BA182"/>
    <mergeCell ref="AZ183:BA183"/>
    <mergeCell ref="AZ184:BA184"/>
    <mergeCell ref="AZ185:BA185"/>
    <mergeCell ref="AZ186:BA186"/>
    <mergeCell ref="AZ187:BA187"/>
    <mergeCell ref="AZ188:BA188"/>
    <mergeCell ref="AZ189:BA189"/>
    <mergeCell ref="AZ190:BA190"/>
    <mergeCell ref="AZ193:BA193"/>
    <mergeCell ref="AZ196:BA196"/>
    <mergeCell ref="AZ197:BA197"/>
    <mergeCell ref="AZ198:BA198"/>
    <mergeCell ref="AZ203:BA203"/>
    <mergeCell ref="AZ206:BA206"/>
    <mergeCell ref="AZ292:BA292"/>
    <mergeCell ref="AZ31:AZ33"/>
    <mergeCell ref="BA31:BA33"/>
    <mergeCell ref="AZ38:BA38"/>
    <mergeCell ref="AZ39:BA39"/>
    <mergeCell ref="AZ40:BA40"/>
    <mergeCell ref="AZ41:BA41"/>
    <mergeCell ref="AZ42:BA42"/>
    <mergeCell ref="AZ43:BA43"/>
    <mergeCell ref="AZ44:BA44"/>
    <mergeCell ref="AZ77:BA77"/>
    <mergeCell ref="AZ87:BA87"/>
    <mergeCell ref="AZ104:BA104"/>
    <mergeCell ref="AZ105:BA105"/>
    <mergeCell ref="AZ106:BA106"/>
    <mergeCell ref="AZ107:BA107"/>
    <mergeCell ref="AZ119:BA119"/>
    <mergeCell ref="BA129:BA148"/>
    <mergeCell ref="AZ68:BA68"/>
    <mergeCell ref="AZ69:BA69"/>
    <mergeCell ref="AZ70:BA70"/>
    <mergeCell ref="AZ71:BA71"/>
    <mergeCell ref="AZ72:BA72"/>
    <mergeCell ref="AZ73:BA73"/>
    <mergeCell ref="AZ74:BA74"/>
    <mergeCell ref="AZ75:BA75"/>
    <mergeCell ref="AZ76:BA76"/>
    <mergeCell ref="AP308:AQ308"/>
    <mergeCell ref="AE31:AE32"/>
    <mergeCell ref="AF31:AF32"/>
    <mergeCell ref="AG31:AG32"/>
    <mergeCell ref="AH31:AH32"/>
    <mergeCell ref="AI31:AI32"/>
    <mergeCell ref="AJ31:AJ32"/>
    <mergeCell ref="AK31:AK32"/>
    <mergeCell ref="AL31:AL32"/>
    <mergeCell ref="AM129:AM148"/>
    <mergeCell ref="AN150:AN168"/>
    <mergeCell ref="AM171:AM181"/>
    <mergeCell ref="AN234:AN241"/>
    <mergeCell ref="AP292:AQ292"/>
    <mergeCell ref="AP294:AQ294"/>
    <mergeCell ref="AP295:AQ295"/>
    <mergeCell ref="AP297:AQ297"/>
    <mergeCell ref="AP301:AQ301"/>
    <mergeCell ref="AP304:AQ304"/>
    <mergeCell ref="AP305:AQ305"/>
    <mergeCell ref="AP306:AQ306"/>
    <mergeCell ref="AP307:AQ307"/>
    <mergeCell ref="AP260:AQ260"/>
    <mergeCell ref="AP211:AQ211"/>
    <mergeCell ref="AP261:AQ261"/>
    <mergeCell ref="AP264:AQ264"/>
    <mergeCell ref="AP265:AQ265"/>
    <mergeCell ref="AP266:AQ266"/>
    <mergeCell ref="AP277:AQ277"/>
    <mergeCell ref="AP278:AQ278"/>
    <mergeCell ref="AP279:AQ279"/>
    <mergeCell ref="AQ287:AQ291"/>
    <mergeCell ref="AP214:AQ214"/>
    <mergeCell ref="AP219:AQ219"/>
    <mergeCell ref="AP222:AQ222"/>
    <mergeCell ref="AP226:AQ226"/>
    <mergeCell ref="AP230:AQ230"/>
    <mergeCell ref="AP231:AQ231"/>
    <mergeCell ref="AP243:AP250"/>
    <mergeCell ref="AQ243:AQ250"/>
    <mergeCell ref="AP252:AP259"/>
    <mergeCell ref="AQ252:AQ259"/>
    <mergeCell ref="AP170:AQ170"/>
    <mergeCell ref="AQ171:AQ181"/>
    <mergeCell ref="AP182:AQ182"/>
    <mergeCell ref="AP183:AQ183"/>
    <mergeCell ref="AP184:AQ184"/>
    <mergeCell ref="AP185:AQ185"/>
    <mergeCell ref="AP186:AQ186"/>
    <mergeCell ref="AP187:AQ187"/>
    <mergeCell ref="AP188:AQ188"/>
    <mergeCell ref="AP189:AQ189"/>
    <mergeCell ref="AP190:AQ190"/>
    <mergeCell ref="AP193:AQ193"/>
    <mergeCell ref="AP196:AQ196"/>
    <mergeCell ref="AP197:AQ197"/>
    <mergeCell ref="AP198:AQ198"/>
    <mergeCell ref="AP203:AQ203"/>
    <mergeCell ref="AP206:AQ206"/>
    <mergeCell ref="AP31:AP33"/>
    <mergeCell ref="AQ31:AQ33"/>
    <mergeCell ref="AP38:AQ38"/>
    <mergeCell ref="AP39:AQ39"/>
    <mergeCell ref="AP40:AQ40"/>
    <mergeCell ref="AP41:AQ41"/>
    <mergeCell ref="AP42:AQ42"/>
    <mergeCell ref="AP43:AQ43"/>
    <mergeCell ref="AP44:AQ44"/>
    <mergeCell ref="AP77:AQ77"/>
    <mergeCell ref="AP87:AQ87"/>
    <mergeCell ref="AP104:AQ104"/>
    <mergeCell ref="AP105:AQ105"/>
    <mergeCell ref="AP106:AQ106"/>
    <mergeCell ref="AP107:AQ107"/>
    <mergeCell ref="AP119:AQ119"/>
    <mergeCell ref="AQ129:AQ148"/>
    <mergeCell ref="AP68:AQ68"/>
    <mergeCell ref="AP69:AQ69"/>
    <mergeCell ref="AP70:AQ70"/>
    <mergeCell ref="AP71:AQ71"/>
    <mergeCell ref="AP72:AQ72"/>
    <mergeCell ref="AJ243:AJ250"/>
    <mergeCell ref="AJ252:AJ259"/>
    <mergeCell ref="AJ234:AJ241"/>
    <mergeCell ref="AI252:AI259"/>
    <mergeCell ref="AI260:AJ260"/>
    <mergeCell ref="AI261:AJ261"/>
    <mergeCell ref="AI264:AJ264"/>
    <mergeCell ref="AI265:AJ265"/>
    <mergeCell ref="AI266:AJ266"/>
    <mergeCell ref="AI277:AJ277"/>
    <mergeCell ref="AI278:AJ278"/>
    <mergeCell ref="AI279:AJ279"/>
    <mergeCell ref="AI308:AJ308"/>
    <mergeCell ref="AI292:AJ292"/>
    <mergeCell ref="AI294:AJ294"/>
    <mergeCell ref="AI295:AJ295"/>
    <mergeCell ref="AI297:AJ297"/>
    <mergeCell ref="AI301:AJ301"/>
    <mergeCell ref="AI304:AJ304"/>
    <mergeCell ref="AI305:AJ305"/>
    <mergeCell ref="AI306:AJ306"/>
    <mergeCell ref="AI307:AJ307"/>
    <mergeCell ref="AI187:AJ187"/>
    <mergeCell ref="AI188:AJ188"/>
    <mergeCell ref="AI189:AJ189"/>
    <mergeCell ref="AI190:AJ190"/>
    <mergeCell ref="AI193:AJ193"/>
    <mergeCell ref="AI196:AJ196"/>
    <mergeCell ref="AI197:AJ197"/>
    <mergeCell ref="AI198:AJ198"/>
    <mergeCell ref="AI203:AJ203"/>
    <mergeCell ref="AI206:AJ206"/>
    <mergeCell ref="AI211:AJ211"/>
    <mergeCell ref="AI214:AJ214"/>
    <mergeCell ref="AI219:AJ219"/>
    <mergeCell ref="AI222:AJ222"/>
    <mergeCell ref="AI226:AJ226"/>
    <mergeCell ref="AI230:AJ230"/>
    <mergeCell ref="AI231:AJ231"/>
    <mergeCell ref="AI19:AJ19"/>
    <mergeCell ref="AI38:AJ38"/>
    <mergeCell ref="AI39:AJ39"/>
    <mergeCell ref="AI40:AJ40"/>
    <mergeCell ref="AI41:AJ41"/>
    <mergeCell ref="AI42:AJ42"/>
    <mergeCell ref="AI43:AJ43"/>
    <mergeCell ref="AI44:AJ44"/>
    <mergeCell ref="AI68:AJ68"/>
    <mergeCell ref="AG292:AH292"/>
    <mergeCell ref="AG294:AH294"/>
    <mergeCell ref="AI69:AJ69"/>
    <mergeCell ref="AI70:AJ70"/>
    <mergeCell ref="AI71:AJ71"/>
    <mergeCell ref="AI72:AJ72"/>
    <mergeCell ref="AI73:AJ73"/>
    <mergeCell ref="AI74:AJ74"/>
    <mergeCell ref="AI75:AJ75"/>
    <mergeCell ref="AI76:AJ76"/>
    <mergeCell ref="AH252:AH259"/>
    <mergeCell ref="AI77:AJ77"/>
    <mergeCell ref="AI87:AJ87"/>
    <mergeCell ref="AI104:AJ104"/>
    <mergeCell ref="AI105:AJ105"/>
    <mergeCell ref="AI106:AJ106"/>
    <mergeCell ref="AI107:AJ107"/>
    <mergeCell ref="AI119:AJ119"/>
    <mergeCell ref="AJ129:AJ148"/>
    <mergeCell ref="AJ150:AJ169"/>
    <mergeCell ref="AI170:AJ170"/>
    <mergeCell ref="AJ171:AJ181"/>
    <mergeCell ref="AI182:AJ182"/>
    <mergeCell ref="AG297:AH297"/>
    <mergeCell ref="AG301:AH301"/>
    <mergeCell ref="AG304:AH304"/>
    <mergeCell ref="AG305:AH305"/>
    <mergeCell ref="AG306:AH306"/>
    <mergeCell ref="AG307:AH307"/>
    <mergeCell ref="AG260:AH260"/>
    <mergeCell ref="AG261:AH261"/>
    <mergeCell ref="AG264:AH264"/>
    <mergeCell ref="AG265:AH265"/>
    <mergeCell ref="AG266:AH266"/>
    <mergeCell ref="AG277:AH277"/>
    <mergeCell ref="AG278:AH278"/>
    <mergeCell ref="AG279:AH279"/>
    <mergeCell ref="AG308:AH308"/>
    <mergeCell ref="AH243:AH250"/>
    <mergeCell ref="AH288:AH291"/>
    <mergeCell ref="AG68:AH68"/>
    <mergeCell ref="AG69:AH69"/>
    <mergeCell ref="AG70:AH70"/>
    <mergeCell ref="AG71:AH71"/>
    <mergeCell ref="AG72:AH72"/>
    <mergeCell ref="AG73:AH73"/>
    <mergeCell ref="AG74:AH74"/>
    <mergeCell ref="AG75:AH75"/>
    <mergeCell ref="AG76:AH76"/>
    <mergeCell ref="AG77:AH77"/>
    <mergeCell ref="AG87:AH87"/>
    <mergeCell ref="AG104:AH104"/>
    <mergeCell ref="AG105:AH105"/>
    <mergeCell ref="AG106:AH106"/>
    <mergeCell ref="AG107:AH107"/>
    <mergeCell ref="AG119:AH119"/>
    <mergeCell ref="AH129:AH148"/>
    <mergeCell ref="A34:A37"/>
    <mergeCell ref="B34:B37"/>
    <mergeCell ref="AG38:AH38"/>
    <mergeCell ref="AG39:AH39"/>
    <mergeCell ref="AG40:AH40"/>
    <mergeCell ref="AG41:AH41"/>
    <mergeCell ref="AG42:AH42"/>
    <mergeCell ref="AG43:AH43"/>
    <mergeCell ref="AG44:AH44"/>
    <mergeCell ref="AG4:AH4"/>
    <mergeCell ref="AG5:AH5"/>
    <mergeCell ref="AG8:AH8"/>
    <mergeCell ref="AG9:AH9"/>
    <mergeCell ref="AG10:AH10"/>
    <mergeCell ref="AG14:AH14"/>
    <mergeCell ref="AG16:AH16"/>
    <mergeCell ref="AG17:AH17"/>
    <mergeCell ref="AG19:AH19"/>
    <mergeCell ref="E38:F38"/>
    <mergeCell ref="E39:F39"/>
    <mergeCell ref="E40:F40"/>
    <mergeCell ref="E41:F41"/>
    <mergeCell ref="E42:F42"/>
    <mergeCell ref="E43:F43"/>
    <mergeCell ref="E44:F44"/>
    <mergeCell ref="I8:J8"/>
    <mergeCell ref="K8:L8"/>
    <mergeCell ref="M8:N8"/>
    <mergeCell ref="I9:J9"/>
    <mergeCell ref="K9:L9"/>
    <mergeCell ref="M9:N9"/>
    <mergeCell ref="I10:J10"/>
    <mergeCell ref="B8:B10"/>
    <mergeCell ref="AE8:AF8"/>
    <mergeCell ref="AE9:AF9"/>
    <mergeCell ref="AE10:AF10"/>
    <mergeCell ref="A20:A23"/>
    <mergeCell ref="B20:B23"/>
    <mergeCell ref="A24:A30"/>
    <mergeCell ref="B24:B30"/>
    <mergeCell ref="A31:A33"/>
    <mergeCell ref="B31:B33"/>
    <mergeCell ref="A11:A13"/>
    <mergeCell ref="B11:B13"/>
    <mergeCell ref="A14:A19"/>
    <mergeCell ref="B14:B19"/>
    <mergeCell ref="K10:L10"/>
    <mergeCell ref="M10:N10"/>
    <mergeCell ref="I14:J14"/>
    <mergeCell ref="K14:L14"/>
    <mergeCell ref="M14:N14"/>
    <mergeCell ref="I16:J16"/>
    <mergeCell ref="K16:L16"/>
    <mergeCell ref="M16:N16"/>
    <mergeCell ref="I17:J17"/>
    <mergeCell ref="K17:L17"/>
    <mergeCell ref="M17:N17"/>
    <mergeCell ref="I19:J19"/>
    <mergeCell ref="K19:L19"/>
    <mergeCell ref="M19:N19"/>
    <mergeCell ref="Q19:R19"/>
    <mergeCell ref="Q17:R17"/>
    <mergeCell ref="Q16:R16"/>
    <mergeCell ref="Q14:R14"/>
    <mergeCell ref="A62:A64"/>
    <mergeCell ref="B62:B64"/>
    <mergeCell ref="A65:A67"/>
    <mergeCell ref="B65:B67"/>
    <mergeCell ref="AE44:AF44"/>
    <mergeCell ref="A45:A53"/>
    <mergeCell ref="B45:B53"/>
    <mergeCell ref="A54:A56"/>
    <mergeCell ref="B54:B56"/>
    <mergeCell ref="A57:A58"/>
    <mergeCell ref="B57:B58"/>
    <mergeCell ref="AC44:AD44"/>
    <mergeCell ref="A38:A44"/>
    <mergeCell ref="B38:B44"/>
    <mergeCell ref="AE38:AF38"/>
    <mergeCell ref="AE39:AF39"/>
    <mergeCell ref="AE40:AF40"/>
    <mergeCell ref="AE41:AF41"/>
    <mergeCell ref="AE42:AF42"/>
    <mergeCell ref="AE43:AF43"/>
    <mergeCell ref="A59:A61"/>
    <mergeCell ref="B59:B61"/>
    <mergeCell ref="AC38:AD38"/>
    <mergeCell ref="AC39:AD39"/>
    <mergeCell ref="AC40:AD40"/>
    <mergeCell ref="AC41:AD41"/>
    <mergeCell ref="AC42:AD42"/>
    <mergeCell ref="AC43:AD43"/>
    <mergeCell ref="I43:J43"/>
    <mergeCell ref="K43:L43"/>
    <mergeCell ref="M43:N43"/>
    <mergeCell ref="I44:J44"/>
    <mergeCell ref="A68:A70"/>
    <mergeCell ref="B68:B70"/>
    <mergeCell ref="AE68:AF68"/>
    <mergeCell ref="AE69:AF69"/>
    <mergeCell ref="AE70:AF70"/>
    <mergeCell ref="A71:A74"/>
    <mergeCell ref="B71:B74"/>
    <mergeCell ref="AE71:AF71"/>
    <mergeCell ref="AE72:AF72"/>
    <mergeCell ref="AE73:AF73"/>
    <mergeCell ref="AA74:AB74"/>
    <mergeCell ref="AA75:AB75"/>
    <mergeCell ref="AA76:AB76"/>
    <mergeCell ref="AA77:AB77"/>
    <mergeCell ref="AC68:AD68"/>
    <mergeCell ref="AC69:AD69"/>
    <mergeCell ref="AC70:AD70"/>
    <mergeCell ref="AC71:AD71"/>
    <mergeCell ref="E68:F68"/>
    <mergeCell ref="E69:F69"/>
    <mergeCell ref="E70:F70"/>
    <mergeCell ref="E71:F71"/>
    <mergeCell ref="E72:F72"/>
    <mergeCell ref="E73:F73"/>
    <mergeCell ref="E74:F74"/>
    <mergeCell ref="E75:F75"/>
    <mergeCell ref="E76:F76"/>
    <mergeCell ref="E77:F77"/>
    <mergeCell ref="Q74:R74"/>
    <mergeCell ref="Q73:R73"/>
    <mergeCell ref="Q72:R72"/>
    <mergeCell ref="Q71:R71"/>
    <mergeCell ref="A88:C88"/>
    <mergeCell ref="A89:A95"/>
    <mergeCell ref="B89:B95"/>
    <mergeCell ref="A96:A104"/>
    <mergeCell ref="B96:B104"/>
    <mergeCell ref="AE104:AF104"/>
    <mergeCell ref="A78:A81"/>
    <mergeCell ref="B78:B81"/>
    <mergeCell ref="A82:A85"/>
    <mergeCell ref="B82:B85"/>
    <mergeCell ref="A87:C87"/>
    <mergeCell ref="AE87:AF87"/>
    <mergeCell ref="AA87:AB87"/>
    <mergeCell ref="AA104:AB104"/>
    <mergeCell ref="Y87:Z87"/>
    <mergeCell ref="Y104:Z104"/>
    <mergeCell ref="AE74:AF74"/>
    <mergeCell ref="A75:A77"/>
    <mergeCell ref="B75:B77"/>
    <mergeCell ref="AE75:AF75"/>
    <mergeCell ref="AE76:AF76"/>
    <mergeCell ref="AE77:AF77"/>
    <mergeCell ref="E87:F87"/>
    <mergeCell ref="E104:F104"/>
    <mergeCell ref="I104:J104"/>
    <mergeCell ref="K104:L104"/>
    <mergeCell ref="M104:N104"/>
    <mergeCell ref="O77:P77"/>
    <mergeCell ref="O87:P87"/>
    <mergeCell ref="O104:P104"/>
    <mergeCell ref="Q75:R75"/>
    <mergeCell ref="Q76:R76"/>
    <mergeCell ref="A115:A119"/>
    <mergeCell ref="B115:B119"/>
    <mergeCell ref="AE119:AF119"/>
    <mergeCell ref="A120:A123"/>
    <mergeCell ref="B120:B123"/>
    <mergeCell ref="A124:A127"/>
    <mergeCell ref="B124:B127"/>
    <mergeCell ref="A105:A107"/>
    <mergeCell ref="B105:B107"/>
    <mergeCell ref="AE105:AF105"/>
    <mergeCell ref="AE106:AF106"/>
    <mergeCell ref="AE107:AF107"/>
    <mergeCell ref="A108:A114"/>
    <mergeCell ref="B108:B114"/>
    <mergeCell ref="AA105:AB105"/>
    <mergeCell ref="AA106:AB106"/>
    <mergeCell ref="AA107:AB107"/>
    <mergeCell ref="AA114:AB114"/>
    <mergeCell ref="AA119:AB119"/>
    <mergeCell ref="AC106:AD106"/>
    <mergeCell ref="AC107:AD107"/>
    <mergeCell ref="AC114:AD114"/>
    <mergeCell ref="AC119:AD119"/>
    <mergeCell ref="V107:W107"/>
    <mergeCell ref="E105:F105"/>
    <mergeCell ref="E106:F106"/>
    <mergeCell ref="E107:F107"/>
    <mergeCell ref="E114:F114"/>
    <mergeCell ref="E119:F119"/>
    <mergeCell ref="I105:J105"/>
    <mergeCell ref="K105:L105"/>
    <mergeCell ref="M105:N105"/>
    <mergeCell ref="A184:A188"/>
    <mergeCell ref="B184:B188"/>
    <mergeCell ref="AE184:AF184"/>
    <mergeCell ref="AE185:AF185"/>
    <mergeCell ref="AE186:AF186"/>
    <mergeCell ref="AE187:AF187"/>
    <mergeCell ref="AE188:AF188"/>
    <mergeCell ref="A128:A170"/>
    <mergeCell ref="B128:B170"/>
    <mergeCell ref="AE170:AF170"/>
    <mergeCell ref="A171:A183"/>
    <mergeCell ref="B171:B183"/>
    <mergeCell ref="AE182:AF182"/>
    <mergeCell ref="AE183:AF183"/>
    <mergeCell ref="AF171:AF181"/>
    <mergeCell ref="AA170:AB170"/>
    <mergeCell ref="AA182:AB182"/>
    <mergeCell ref="AA183:AB183"/>
    <mergeCell ref="AA184:AB184"/>
    <mergeCell ref="AA185:AB185"/>
    <mergeCell ref="AA186:AB186"/>
    <mergeCell ref="AA187:AB187"/>
    <mergeCell ref="AA188:AB188"/>
    <mergeCell ref="AC170:AD170"/>
    <mergeCell ref="AF150:AF169"/>
    <mergeCell ref="AF129:AF148"/>
    <mergeCell ref="E170:F170"/>
    <mergeCell ref="E182:F182"/>
    <mergeCell ref="E183:F183"/>
    <mergeCell ref="E184:F184"/>
    <mergeCell ref="E185:F185"/>
    <mergeCell ref="E186:F186"/>
    <mergeCell ref="A194:A195"/>
    <mergeCell ref="B194:B195"/>
    <mergeCell ref="A196:A198"/>
    <mergeCell ref="B196:B198"/>
    <mergeCell ref="AE196:AF196"/>
    <mergeCell ref="AE197:AF197"/>
    <mergeCell ref="AE198:AF198"/>
    <mergeCell ref="A189:A190"/>
    <mergeCell ref="B189:B190"/>
    <mergeCell ref="AE189:AF189"/>
    <mergeCell ref="AE190:AF190"/>
    <mergeCell ref="A191:A193"/>
    <mergeCell ref="B191:B193"/>
    <mergeCell ref="AE193:AF193"/>
    <mergeCell ref="AA189:AB189"/>
    <mergeCell ref="AA190:AB190"/>
    <mergeCell ref="AA193:AB193"/>
    <mergeCell ref="AA196:AB196"/>
    <mergeCell ref="AA197:AB197"/>
    <mergeCell ref="AA198:AB198"/>
    <mergeCell ref="AC193:AD193"/>
    <mergeCell ref="AC196:AD196"/>
    <mergeCell ref="AC197:AD197"/>
    <mergeCell ref="AC198:AD198"/>
    <mergeCell ref="Q190:R190"/>
    <mergeCell ref="Q189:R189"/>
    <mergeCell ref="I189:J189"/>
    <mergeCell ref="K189:L189"/>
    <mergeCell ref="M189:N189"/>
    <mergeCell ref="I190:J190"/>
    <mergeCell ref="K190:L190"/>
    <mergeCell ref="M190:N190"/>
    <mergeCell ref="A199:A206"/>
    <mergeCell ref="B199:B206"/>
    <mergeCell ref="AE203:AF203"/>
    <mergeCell ref="AE206:AF206"/>
    <mergeCell ref="A207:A214"/>
    <mergeCell ref="B207:B214"/>
    <mergeCell ref="AE211:AF211"/>
    <mergeCell ref="AE214:AF214"/>
    <mergeCell ref="AA203:AB203"/>
    <mergeCell ref="AA206:AB206"/>
    <mergeCell ref="AA211:AB211"/>
    <mergeCell ref="AA214:AB214"/>
    <mergeCell ref="AA219:AB219"/>
    <mergeCell ref="AA222:AB222"/>
    <mergeCell ref="AA226:AB226"/>
    <mergeCell ref="AC203:AD203"/>
    <mergeCell ref="AC206:AD206"/>
    <mergeCell ref="I211:J211"/>
    <mergeCell ref="K211:L211"/>
    <mergeCell ref="M211:N211"/>
    <mergeCell ref="I214:J214"/>
    <mergeCell ref="K214:L214"/>
    <mergeCell ref="M214:N214"/>
    <mergeCell ref="I219:J219"/>
    <mergeCell ref="K219:L219"/>
    <mergeCell ref="Q226:R226"/>
    <mergeCell ref="Q222:R222"/>
    <mergeCell ref="Q219:R219"/>
    <mergeCell ref="Q214:R214"/>
    <mergeCell ref="M219:N219"/>
    <mergeCell ref="I222:J222"/>
    <mergeCell ref="K222:L222"/>
    <mergeCell ref="A227:A230"/>
    <mergeCell ref="B227:B230"/>
    <mergeCell ref="AE230:AF230"/>
    <mergeCell ref="A231:C231"/>
    <mergeCell ref="AE231:AF231"/>
    <mergeCell ref="A232:C232"/>
    <mergeCell ref="AE260:AF260"/>
    <mergeCell ref="AF234:AF241"/>
    <mergeCell ref="AF252:AF259"/>
    <mergeCell ref="AE252:AE259"/>
    <mergeCell ref="AE243:AE250"/>
    <mergeCell ref="AA230:AB230"/>
    <mergeCell ref="AA231:AB231"/>
    <mergeCell ref="AA261:AB261"/>
    <mergeCell ref="AA264:AB264"/>
    <mergeCell ref="AA265:AB265"/>
    <mergeCell ref="A215:A222"/>
    <mergeCell ref="B215:B222"/>
    <mergeCell ref="AE219:AF219"/>
    <mergeCell ref="AE222:AF222"/>
    <mergeCell ref="A223:A226"/>
    <mergeCell ref="B223:B226"/>
    <mergeCell ref="AE226:AF226"/>
    <mergeCell ref="E261:F261"/>
    <mergeCell ref="E264:F264"/>
    <mergeCell ref="E265:F265"/>
    <mergeCell ref="Q234:R234"/>
    <mergeCell ref="Q231:R231"/>
    <mergeCell ref="Q230:R230"/>
    <mergeCell ref="M222:N222"/>
    <mergeCell ref="I226:J226"/>
    <mergeCell ref="K226:L226"/>
    <mergeCell ref="A267:A269"/>
    <mergeCell ref="B267:B269"/>
    <mergeCell ref="A270:A272"/>
    <mergeCell ref="B270:B272"/>
    <mergeCell ref="A273:A275"/>
    <mergeCell ref="B273:B275"/>
    <mergeCell ref="A233:A260"/>
    <mergeCell ref="B233:B260"/>
    <mergeCell ref="A261:C261"/>
    <mergeCell ref="AE261:AF261"/>
    <mergeCell ref="A262:C262"/>
    <mergeCell ref="A263:A266"/>
    <mergeCell ref="B263:B266"/>
    <mergeCell ref="AE264:AF264"/>
    <mergeCell ref="AE265:AF265"/>
    <mergeCell ref="AE266:AF266"/>
    <mergeCell ref="E266:F266"/>
    <mergeCell ref="AC264:AD264"/>
    <mergeCell ref="S260:U260"/>
    <mergeCell ref="S261:U261"/>
    <mergeCell ref="S264:U264"/>
    <mergeCell ref="AC265:AD265"/>
    <mergeCell ref="AC266:AD266"/>
    <mergeCell ref="AB234:AB241"/>
    <mergeCell ref="A283:A285"/>
    <mergeCell ref="B283:B285"/>
    <mergeCell ref="A286:C286"/>
    <mergeCell ref="A287:A292"/>
    <mergeCell ref="B287:B292"/>
    <mergeCell ref="AE292:AF292"/>
    <mergeCell ref="A276:A279"/>
    <mergeCell ref="B276:B279"/>
    <mergeCell ref="AE277:AF277"/>
    <mergeCell ref="AE278:AF278"/>
    <mergeCell ref="AE279:AF279"/>
    <mergeCell ref="A280:A282"/>
    <mergeCell ref="B280:B282"/>
    <mergeCell ref="AE287:AE291"/>
    <mergeCell ref="AA277:AB277"/>
    <mergeCell ref="AA278:AB278"/>
    <mergeCell ref="AA279:AB279"/>
    <mergeCell ref="AA292:AB292"/>
    <mergeCell ref="Q292:R292"/>
    <mergeCell ref="Q279:R279"/>
    <mergeCell ref="Q278:R278"/>
    <mergeCell ref="Q277:R277"/>
    <mergeCell ref="O279:P279"/>
    <mergeCell ref="O292:P292"/>
    <mergeCell ref="M279:N279"/>
    <mergeCell ref="I292:J292"/>
    <mergeCell ref="K292:L292"/>
    <mergeCell ref="E277:F277"/>
    <mergeCell ref="E278:F278"/>
    <mergeCell ref="E279:F279"/>
    <mergeCell ref="E292:F292"/>
    <mergeCell ref="AC277:AD277"/>
    <mergeCell ref="B300:C300"/>
    <mergeCell ref="B301:C301"/>
    <mergeCell ref="AE301:AF301"/>
    <mergeCell ref="B302:C302"/>
    <mergeCell ref="B303:C303"/>
    <mergeCell ref="B304:C304"/>
    <mergeCell ref="AE304:AF304"/>
    <mergeCell ref="A293:C293"/>
    <mergeCell ref="A294:A304"/>
    <mergeCell ref="B294:C294"/>
    <mergeCell ref="AE294:AF294"/>
    <mergeCell ref="AE295:AF295"/>
    <mergeCell ref="B296:C296"/>
    <mergeCell ref="B297:C297"/>
    <mergeCell ref="AE297:AF297"/>
    <mergeCell ref="B298:C298"/>
    <mergeCell ref="B299:C299"/>
    <mergeCell ref="AA294:AB294"/>
    <mergeCell ref="AA295:AB295"/>
    <mergeCell ref="AA297:AB297"/>
    <mergeCell ref="AA301:AB301"/>
    <mergeCell ref="AA304:AB304"/>
    <mergeCell ref="AC301:AD301"/>
    <mergeCell ref="AC304:AD304"/>
    <mergeCell ref="Q304:R304"/>
    <mergeCell ref="Q301:R301"/>
    <mergeCell ref="Q297:R297"/>
    <mergeCell ref="Q295:R295"/>
    <mergeCell ref="Q294:R294"/>
    <mergeCell ref="I294:J294"/>
    <mergeCell ref="K294:L294"/>
    <mergeCell ref="M294:N294"/>
    <mergeCell ref="B309:C309"/>
    <mergeCell ref="B310:C310"/>
    <mergeCell ref="A305:A310"/>
    <mergeCell ref="B305:C305"/>
    <mergeCell ref="AE305:AF305"/>
    <mergeCell ref="B306:C306"/>
    <mergeCell ref="AE306:AF306"/>
    <mergeCell ref="B307:C307"/>
    <mergeCell ref="AE307:AF307"/>
    <mergeCell ref="B308:C308"/>
    <mergeCell ref="AE308:AF308"/>
    <mergeCell ref="AA305:AB305"/>
    <mergeCell ref="AA306:AB306"/>
    <mergeCell ref="AA307:AB307"/>
    <mergeCell ref="AA308:AB308"/>
    <mergeCell ref="AC305:AD305"/>
    <mergeCell ref="AC306:AD306"/>
    <mergeCell ref="AC307:AD307"/>
    <mergeCell ref="AC308:AD308"/>
    <mergeCell ref="Q308:R308"/>
    <mergeCell ref="Q307:R307"/>
    <mergeCell ref="Q306:R306"/>
    <mergeCell ref="Q305:R305"/>
    <mergeCell ref="I307:J307"/>
    <mergeCell ref="K307:L307"/>
    <mergeCell ref="Y308:Z308"/>
    <mergeCell ref="I310:J310"/>
    <mergeCell ref="K310:L310"/>
    <mergeCell ref="M310:N310"/>
    <mergeCell ref="O310:P310"/>
    <mergeCell ref="Q310:R310"/>
    <mergeCell ref="O306:P306"/>
    <mergeCell ref="AK68:AL68"/>
    <mergeCell ref="AK69:AL69"/>
    <mergeCell ref="AK70:AL70"/>
    <mergeCell ref="AK71:AL71"/>
    <mergeCell ref="AK72:AL72"/>
    <mergeCell ref="AK73:AL73"/>
    <mergeCell ref="AK74:AL74"/>
    <mergeCell ref="AK75:AL75"/>
    <mergeCell ref="AK76:AL76"/>
    <mergeCell ref="AK38:AL38"/>
    <mergeCell ref="AK39:AL39"/>
    <mergeCell ref="AK40:AL40"/>
    <mergeCell ref="AK41:AL41"/>
    <mergeCell ref="AK42:AL42"/>
    <mergeCell ref="AK43:AL43"/>
    <mergeCell ref="AK44:AL44"/>
    <mergeCell ref="AK77:AL77"/>
    <mergeCell ref="AM4:AN4"/>
    <mergeCell ref="AM5:AN5"/>
    <mergeCell ref="AM8:AN8"/>
    <mergeCell ref="AM9:AN9"/>
    <mergeCell ref="AM10:AN10"/>
    <mergeCell ref="AM14:AN14"/>
    <mergeCell ref="AM16:AN16"/>
    <mergeCell ref="AM17:AN17"/>
    <mergeCell ref="AM19:AN19"/>
    <mergeCell ref="AM38:AN38"/>
    <mergeCell ref="AM39:AN39"/>
    <mergeCell ref="AM40:AN40"/>
    <mergeCell ref="AM41:AN41"/>
    <mergeCell ref="AM42:AN42"/>
    <mergeCell ref="AM43:AN43"/>
    <mergeCell ref="AK279:AL279"/>
    <mergeCell ref="AM44:AN44"/>
    <mergeCell ref="AM68:AN68"/>
    <mergeCell ref="AK189:AL189"/>
    <mergeCell ref="AK190:AL190"/>
    <mergeCell ref="AK193:AL193"/>
    <mergeCell ref="AK196:AL196"/>
    <mergeCell ref="AK197:AL197"/>
    <mergeCell ref="AK198:AL198"/>
    <mergeCell ref="AK203:AL203"/>
    <mergeCell ref="AK206:AL206"/>
    <mergeCell ref="AK211:AL211"/>
    <mergeCell ref="AK170:AL170"/>
    <mergeCell ref="AL171:AL181"/>
    <mergeCell ref="AK182:AL182"/>
    <mergeCell ref="AK183:AL183"/>
    <mergeCell ref="AK184:AL184"/>
    <mergeCell ref="AM69:AN69"/>
    <mergeCell ref="AM70:AN70"/>
    <mergeCell ref="AM71:AN71"/>
    <mergeCell ref="AM72:AN72"/>
    <mergeCell ref="AM73:AN73"/>
    <mergeCell ref="AM74:AN74"/>
    <mergeCell ref="AM75:AN75"/>
    <mergeCell ref="AM76:AN76"/>
    <mergeCell ref="AM77:AN77"/>
    <mergeCell ref="AM279:AN279"/>
    <mergeCell ref="AN287:AN291"/>
    <mergeCell ref="AM104:AN104"/>
    <mergeCell ref="AM297:AN297"/>
    <mergeCell ref="AM301:AN301"/>
    <mergeCell ref="AK150:AK169"/>
    <mergeCell ref="AL287:AL291"/>
    <mergeCell ref="AJ287:AJ291"/>
    <mergeCell ref="AK185:AL185"/>
    <mergeCell ref="AK186:AL186"/>
    <mergeCell ref="AK187:AL187"/>
    <mergeCell ref="AK188:AL188"/>
    <mergeCell ref="AK104:AL104"/>
    <mergeCell ref="AK105:AL105"/>
    <mergeCell ref="AK106:AL106"/>
    <mergeCell ref="AK107:AL107"/>
    <mergeCell ref="AK119:AL119"/>
    <mergeCell ref="AL129:AL148"/>
    <mergeCell ref="AK87:AL87"/>
    <mergeCell ref="AI183:AJ183"/>
    <mergeCell ref="AI184:AJ184"/>
    <mergeCell ref="AI185:AJ185"/>
    <mergeCell ref="AI186:AJ186"/>
    <mergeCell ref="AK308:AL308"/>
    <mergeCell ref="AK260:AL260"/>
    <mergeCell ref="AK261:AL261"/>
    <mergeCell ref="AK264:AL264"/>
    <mergeCell ref="AK265:AL265"/>
    <mergeCell ref="AK266:AL266"/>
    <mergeCell ref="AK277:AL277"/>
    <mergeCell ref="AK278:AL278"/>
    <mergeCell ref="AK214:AL214"/>
    <mergeCell ref="AK219:AL219"/>
    <mergeCell ref="AK222:AL222"/>
    <mergeCell ref="AK226:AL226"/>
    <mergeCell ref="AK230:AL230"/>
    <mergeCell ref="AK231:AL231"/>
    <mergeCell ref="AK243:AK250"/>
    <mergeCell ref="AL243:AL250"/>
    <mergeCell ref="AK292:AL292"/>
    <mergeCell ref="AK294:AL294"/>
    <mergeCell ref="AK295:AL295"/>
    <mergeCell ref="AK297:AL297"/>
    <mergeCell ref="AK301:AL301"/>
    <mergeCell ref="AK304:AL304"/>
    <mergeCell ref="AK305:AL305"/>
    <mergeCell ref="AK306:AL306"/>
    <mergeCell ref="AK252:AK259"/>
    <mergeCell ref="AL252:AL259"/>
    <mergeCell ref="AK307:AL307"/>
    <mergeCell ref="AM308:AN308"/>
    <mergeCell ref="AM219:AN219"/>
    <mergeCell ref="AM222:AN222"/>
    <mergeCell ref="AM226:AN226"/>
    <mergeCell ref="AM265:AN265"/>
    <mergeCell ref="AM266:AN266"/>
    <mergeCell ref="AM277:AN277"/>
    <mergeCell ref="AM278:AN278"/>
    <mergeCell ref="AM230:AN230"/>
    <mergeCell ref="AM231:AN231"/>
    <mergeCell ref="AM243:AM250"/>
    <mergeCell ref="AN243:AN250"/>
    <mergeCell ref="AM252:AM259"/>
    <mergeCell ref="AN252:AN259"/>
    <mergeCell ref="AM260:AN260"/>
    <mergeCell ref="AM261:AN261"/>
    <mergeCell ref="AM264:AN264"/>
    <mergeCell ref="AM294:AN294"/>
    <mergeCell ref="AM295:AN295"/>
    <mergeCell ref="AM197:AN197"/>
    <mergeCell ref="AM198:AN198"/>
    <mergeCell ref="AM203:AN203"/>
    <mergeCell ref="AM206:AN206"/>
    <mergeCell ref="AM211:AN211"/>
    <mergeCell ref="AM214:AN214"/>
    <mergeCell ref="AM87:AN87"/>
    <mergeCell ref="AC182:AD182"/>
    <mergeCell ref="AM304:AN304"/>
    <mergeCell ref="AM305:AN305"/>
    <mergeCell ref="AM184:AN184"/>
    <mergeCell ref="AM185:AN185"/>
    <mergeCell ref="AM186:AN186"/>
    <mergeCell ref="AM187:AN187"/>
    <mergeCell ref="AM188:AN188"/>
    <mergeCell ref="AM189:AN189"/>
    <mergeCell ref="AM190:AN190"/>
    <mergeCell ref="AM193:AN193"/>
    <mergeCell ref="AM196:AN196"/>
    <mergeCell ref="AM106:AN106"/>
    <mergeCell ref="AM107:AN107"/>
    <mergeCell ref="AM119:AN119"/>
    <mergeCell ref="AM170:AN170"/>
    <mergeCell ref="AM182:AN182"/>
    <mergeCell ref="AM183:AN183"/>
    <mergeCell ref="AC278:AD278"/>
    <mergeCell ref="AH150:AH169"/>
    <mergeCell ref="AG170:AH170"/>
    <mergeCell ref="AH171:AH181"/>
    <mergeCell ref="AG182:AH182"/>
    <mergeCell ref="AG183:AH183"/>
    <mergeCell ref="AG295:AH295"/>
    <mergeCell ref="AI4:AJ4"/>
    <mergeCell ref="AI5:AJ5"/>
    <mergeCell ref="AI8:AJ8"/>
    <mergeCell ref="AI9:AJ9"/>
    <mergeCell ref="AI10:AJ10"/>
    <mergeCell ref="AI14:AJ14"/>
    <mergeCell ref="AI16:AJ16"/>
    <mergeCell ref="AI17:AJ17"/>
    <mergeCell ref="Y68:Z68"/>
    <mergeCell ref="AO5:AO6"/>
    <mergeCell ref="AO14:AO18"/>
    <mergeCell ref="AO31:AO33"/>
    <mergeCell ref="AO243:AO250"/>
    <mergeCell ref="AO252:AO259"/>
    <mergeCell ref="X5:X6"/>
    <mergeCell ref="X14:X18"/>
    <mergeCell ref="X252:X259"/>
    <mergeCell ref="X243:X250"/>
    <mergeCell ref="X31:X33"/>
    <mergeCell ref="AA38:AB38"/>
    <mergeCell ref="AA39:AB39"/>
    <mergeCell ref="AA40:AB40"/>
    <mergeCell ref="AA41:AB41"/>
    <mergeCell ref="AA42:AB42"/>
    <mergeCell ref="AA43:AB43"/>
    <mergeCell ref="AA44:AB44"/>
    <mergeCell ref="AA68:AB68"/>
    <mergeCell ref="AA69:AB69"/>
    <mergeCell ref="AA70:AB70"/>
    <mergeCell ref="AA71:AB71"/>
    <mergeCell ref="AA72:AB72"/>
    <mergeCell ref="AA73:AB73"/>
    <mergeCell ref="AX87:AY87"/>
    <mergeCell ref="AC72:AD72"/>
    <mergeCell ref="AM105:AN105"/>
    <mergeCell ref="AP73:AQ73"/>
    <mergeCell ref="AP74:AQ74"/>
    <mergeCell ref="AP75:AQ75"/>
    <mergeCell ref="AP76:AQ76"/>
    <mergeCell ref="AR105:AT105"/>
    <mergeCell ref="AU105:AV105"/>
    <mergeCell ref="AW14:AW18"/>
    <mergeCell ref="D5:D6"/>
    <mergeCell ref="G5:G6"/>
    <mergeCell ref="AA4:AB4"/>
    <mergeCell ref="AA5:AB5"/>
    <mergeCell ref="AA8:AB8"/>
    <mergeCell ref="AA9:AB9"/>
    <mergeCell ref="AA10:AB10"/>
    <mergeCell ref="AA14:AB14"/>
    <mergeCell ref="AA16:AB16"/>
    <mergeCell ref="AA17:AB17"/>
    <mergeCell ref="AA19:AB19"/>
    <mergeCell ref="AC4:AD4"/>
    <mergeCell ref="AC5:AD5"/>
    <mergeCell ref="AC8:AD8"/>
    <mergeCell ref="AC9:AD9"/>
    <mergeCell ref="AC10:AD10"/>
    <mergeCell ref="AC14:AD14"/>
    <mergeCell ref="AC16:AD16"/>
    <mergeCell ref="AC17:AD17"/>
    <mergeCell ref="AC19:AD19"/>
    <mergeCell ref="AE17:AF17"/>
    <mergeCell ref="AE19:AF19"/>
    <mergeCell ref="AX39:AY39"/>
    <mergeCell ref="AX40:AY40"/>
    <mergeCell ref="AX41:AY41"/>
    <mergeCell ref="AX42:AY42"/>
    <mergeCell ref="AX43:AY43"/>
    <mergeCell ref="AX44:AY44"/>
    <mergeCell ref="AX68:AY68"/>
    <mergeCell ref="AX69:AY69"/>
    <mergeCell ref="AX184:AY184"/>
    <mergeCell ref="AX185:AY185"/>
    <mergeCell ref="AX186:AY186"/>
    <mergeCell ref="AX187:AY187"/>
    <mergeCell ref="AX188:AY188"/>
    <mergeCell ref="AX189:AY189"/>
    <mergeCell ref="AX190:AY190"/>
    <mergeCell ref="AX192:AY192"/>
    <mergeCell ref="AC73:AD73"/>
    <mergeCell ref="AC74:AD74"/>
    <mergeCell ref="AC75:AD75"/>
    <mergeCell ref="AC76:AD76"/>
    <mergeCell ref="AC77:AD77"/>
    <mergeCell ref="AC87:AD87"/>
    <mergeCell ref="AC104:AD104"/>
    <mergeCell ref="AC105:AD105"/>
    <mergeCell ref="AX70:AY70"/>
    <mergeCell ref="AX71:AY71"/>
    <mergeCell ref="AX72:AY72"/>
    <mergeCell ref="AX73:AY73"/>
    <mergeCell ref="AX74:AY74"/>
    <mergeCell ref="AX75:AY75"/>
    <mergeCell ref="AX76:AY76"/>
    <mergeCell ref="AX77:AY77"/>
    <mergeCell ref="AX104:AY104"/>
    <mergeCell ref="AX105:AY105"/>
    <mergeCell ref="AX106:AY106"/>
    <mergeCell ref="AX107:AY107"/>
    <mergeCell ref="AX114:AY114"/>
    <mergeCell ref="AX119:AY119"/>
    <mergeCell ref="AX170:AY170"/>
    <mergeCell ref="AX182:AY182"/>
    <mergeCell ref="AX183:AY183"/>
    <mergeCell ref="AX308:AY308"/>
    <mergeCell ref="V4:W4"/>
    <mergeCell ref="V5:W5"/>
    <mergeCell ref="V8:W8"/>
    <mergeCell ref="V9:W9"/>
    <mergeCell ref="V10:W10"/>
    <mergeCell ref="V14:W14"/>
    <mergeCell ref="V16:W16"/>
    <mergeCell ref="V17:W17"/>
    <mergeCell ref="V19:W19"/>
    <mergeCell ref="V38:W38"/>
    <mergeCell ref="V39:W39"/>
    <mergeCell ref="V40:W40"/>
    <mergeCell ref="V41:W41"/>
    <mergeCell ref="V42:W42"/>
    <mergeCell ref="V43:W43"/>
    <mergeCell ref="V44:W44"/>
    <mergeCell ref="V68:W68"/>
    <mergeCell ref="V69:W69"/>
    <mergeCell ref="V70:W70"/>
    <mergeCell ref="V71:W71"/>
    <mergeCell ref="V72:W72"/>
    <mergeCell ref="AX38:AY38"/>
    <mergeCell ref="AX307:AY307"/>
    <mergeCell ref="AX226:AY226"/>
    <mergeCell ref="AX230:AY230"/>
    <mergeCell ref="AX231:AY231"/>
    <mergeCell ref="AX261:AY261"/>
    <mergeCell ref="AX264:AY264"/>
    <mergeCell ref="AX265:AY265"/>
    <mergeCell ref="AX266:AY266"/>
    <mergeCell ref="AX277:AY277"/>
    <mergeCell ref="AX278:AY278"/>
    <mergeCell ref="AX260:AY260"/>
    <mergeCell ref="AX196:AY196"/>
    <mergeCell ref="AX197:AY197"/>
    <mergeCell ref="AX198:AY198"/>
    <mergeCell ref="AX203:AY203"/>
    <mergeCell ref="AX206:AY206"/>
    <mergeCell ref="V265:W265"/>
    <mergeCell ref="AX211:AY211"/>
    <mergeCell ref="AX214:AY214"/>
    <mergeCell ref="AX219:AY219"/>
    <mergeCell ref="AX222:AY222"/>
    <mergeCell ref="AC211:AD211"/>
    <mergeCell ref="AM306:AN306"/>
    <mergeCell ref="AM307:AN307"/>
    <mergeCell ref="AG214:AH214"/>
    <mergeCell ref="AG219:AH219"/>
    <mergeCell ref="AG222:AH222"/>
    <mergeCell ref="AG226:AH226"/>
    <mergeCell ref="AG230:AH230"/>
    <mergeCell ref="AG231:AH231"/>
    <mergeCell ref="AG243:AG250"/>
    <mergeCell ref="AG196:AH196"/>
    <mergeCell ref="AC183:AD183"/>
    <mergeCell ref="AC184:AD184"/>
    <mergeCell ref="AC185:AD185"/>
    <mergeCell ref="AC186:AD186"/>
    <mergeCell ref="AC187:AD187"/>
    <mergeCell ref="AC188:AD188"/>
    <mergeCell ref="AC189:AD189"/>
    <mergeCell ref="Y305:Z305"/>
    <mergeCell ref="Y306:Z306"/>
    <mergeCell ref="AX279:AY279"/>
    <mergeCell ref="AX292:AY292"/>
    <mergeCell ref="AX294:AY294"/>
    <mergeCell ref="AX295:AY295"/>
    <mergeCell ref="AX297:AY297"/>
    <mergeCell ref="AX301:AY301"/>
    <mergeCell ref="AX304:AY304"/>
    <mergeCell ref="AX305:AY305"/>
    <mergeCell ref="AX306:AY306"/>
    <mergeCell ref="AX193:AY193"/>
    <mergeCell ref="AG184:AH184"/>
    <mergeCell ref="AG185:AH185"/>
    <mergeCell ref="AG186:AH186"/>
    <mergeCell ref="AG187:AH187"/>
    <mergeCell ref="AG188:AH188"/>
    <mergeCell ref="AG189:AH189"/>
    <mergeCell ref="AG190:AH190"/>
    <mergeCell ref="AG193:AH193"/>
    <mergeCell ref="AG197:AH197"/>
    <mergeCell ref="AG198:AH198"/>
    <mergeCell ref="AG203:AH203"/>
    <mergeCell ref="AG206:AH206"/>
    <mergeCell ref="AG211:AH211"/>
    <mergeCell ref="AC214:AD214"/>
    <mergeCell ref="AC219:AD219"/>
    <mergeCell ref="AC222:AD222"/>
    <mergeCell ref="AC226:AD226"/>
    <mergeCell ref="AC230:AD230"/>
    <mergeCell ref="AC231:AD231"/>
    <mergeCell ref="AC261:AD261"/>
    <mergeCell ref="AC190:AD190"/>
    <mergeCell ref="Y197:Z197"/>
    <mergeCell ref="V214:W214"/>
    <mergeCell ref="V219:W219"/>
    <mergeCell ref="V222:W222"/>
    <mergeCell ref="V226:W226"/>
    <mergeCell ref="V230:W230"/>
    <mergeCell ref="V231:W231"/>
    <mergeCell ref="AC252:AC259"/>
    <mergeCell ref="AM292:AN292"/>
    <mergeCell ref="V261:W261"/>
    <mergeCell ref="V264:W264"/>
    <mergeCell ref="V260:W260"/>
    <mergeCell ref="W234:W241"/>
    <mergeCell ref="Y279:Z279"/>
    <mergeCell ref="Y292:Z292"/>
    <mergeCell ref="Y260:Z260"/>
    <mergeCell ref="Y198:Z198"/>
    <mergeCell ref="Y203:Z203"/>
    <mergeCell ref="Y206:Z206"/>
    <mergeCell ref="Y211:Z211"/>
    <mergeCell ref="Y214:Z214"/>
    <mergeCell ref="Y219:Z219"/>
    <mergeCell ref="AG234:AG241"/>
    <mergeCell ref="AI243:AI250"/>
    <mergeCell ref="V73:W73"/>
    <mergeCell ref="V74:W74"/>
    <mergeCell ref="V75:W75"/>
    <mergeCell ref="V76:W76"/>
    <mergeCell ref="V77:W77"/>
    <mergeCell ref="V87:W87"/>
    <mergeCell ref="V104:W104"/>
    <mergeCell ref="V105:W105"/>
    <mergeCell ref="V211:W211"/>
    <mergeCell ref="V106:W106"/>
    <mergeCell ref="V190:W190"/>
    <mergeCell ref="V193:W193"/>
    <mergeCell ref="V196:W196"/>
    <mergeCell ref="V197:W197"/>
    <mergeCell ref="V198:W198"/>
    <mergeCell ref="V203:W203"/>
    <mergeCell ref="V206:W206"/>
    <mergeCell ref="V114:W114"/>
    <mergeCell ref="V119:W119"/>
    <mergeCell ref="V182:W182"/>
    <mergeCell ref="V183:W183"/>
    <mergeCell ref="V184:W184"/>
    <mergeCell ref="V185:W185"/>
    <mergeCell ref="V186:W186"/>
    <mergeCell ref="V187:W187"/>
    <mergeCell ref="V170:W170"/>
    <mergeCell ref="Y186:Z186"/>
    <mergeCell ref="Y187:Z187"/>
    <mergeCell ref="Y188:Z188"/>
    <mergeCell ref="Y189:Z189"/>
    <mergeCell ref="Y190:Z190"/>
    <mergeCell ref="Y193:Z193"/>
    <mergeCell ref="Y196:Z196"/>
    <mergeCell ref="V294:W294"/>
    <mergeCell ref="V295:W295"/>
    <mergeCell ref="V297:W297"/>
    <mergeCell ref="Y295:Z295"/>
    <mergeCell ref="Y297:Z297"/>
    <mergeCell ref="Y301:Z301"/>
    <mergeCell ref="Y304:Z304"/>
    <mergeCell ref="Y105:Z105"/>
    <mergeCell ref="V188:W188"/>
    <mergeCell ref="V189:W189"/>
    <mergeCell ref="Y266:Z266"/>
    <mergeCell ref="Y277:Z277"/>
    <mergeCell ref="Y278:Z278"/>
    <mergeCell ref="Y106:Z106"/>
    <mergeCell ref="Y107:Z107"/>
    <mergeCell ref="Y114:Z114"/>
    <mergeCell ref="Y119:Z119"/>
    <mergeCell ref="Y170:Z170"/>
    <mergeCell ref="Y182:Z182"/>
    <mergeCell ref="Y183:Z183"/>
    <mergeCell ref="Y184:Z184"/>
    <mergeCell ref="Z234:Z241"/>
    <mergeCell ref="Y294:Z294"/>
    <mergeCell ref="Y4:Z4"/>
    <mergeCell ref="Y5:Z5"/>
    <mergeCell ref="Y8:Z8"/>
    <mergeCell ref="Y9:Z9"/>
    <mergeCell ref="Y10:Z10"/>
    <mergeCell ref="Y14:Z14"/>
    <mergeCell ref="Y16:Z16"/>
    <mergeCell ref="Y17:Z17"/>
    <mergeCell ref="Y19:Z19"/>
    <mergeCell ref="Y38:Z38"/>
    <mergeCell ref="Y39:Z39"/>
    <mergeCell ref="Y40:Z40"/>
    <mergeCell ref="Y41:Z41"/>
    <mergeCell ref="Y42:Z42"/>
    <mergeCell ref="Y43:Z43"/>
    <mergeCell ref="Y44:Z44"/>
    <mergeCell ref="Y185:Z185"/>
    <mergeCell ref="Y69:Z69"/>
    <mergeCell ref="Y70:Z70"/>
    <mergeCell ref="Y71:Z71"/>
    <mergeCell ref="Y72:Z72"/>
    <mergeCell ref="Y73:Z73"/>
    <mergeCell ref="Y74:Z74"/>
    <mergeCell ref="Y75:Z75"/>
    <mergeCell ref="Y76:Z76"/>
    <mergeCell ref="Y77:Z77"/>
    <mergeCell ref="S197:U197"/>
    <mergeCell ref="S198:U198"/>
    <mergeCell ref="S107:U107"/>
    <mergeCell ref="S114:U114"/>
    <mergeCell ref="S119:U119"/>
    <mergeCell ref="S170:T170"/>
    <mergeCell ref="S182:T182"/>
    <mergeCell ref="S72:U72"/>
    <mergeCell ref="S73:U73"/>
    <mergeCell ref="S74:U74"/>
    <mergeCell ref="S75:U75"/>
    <mergeCell ref="S76:U76"/>
    <mergeCell ref="S77:U77"/>
    <mergeCell ref="S87:U87"/>
    <mergeCell ref="S104:U104"/>
    <mergeCell ref="S105:U105"/>
    <mergeCell ref="S106:U106"/>
    <mergeCell ref="Q198:R198"/>
    <mergeCell ref="S4:U4"/>
    <mergeCell ref="S5:U5"/>
    <mergeCell ref="S8:U8"/>
    <mergeCell ref="S9:U9"/>
    <mergeCell ref="S10:U10"/>
    <mergeCell ref="T11:U11"/>
    <mergeCell ref="S14:U14"/>
    <mergeCell ref="S16:U16"/>
    <mergeCell ref="S17:U17"/>
    <mergeCell ref="S19:U19"/>
    <mergeCell ref="S38:U38"/>
    <mergeCell ref="S39:U39"/>
    <mergeCell ref="S40:U40"/>
    <mergeCell ref="S41:U41"/>
    <mergeCell ref="S42:U42"/>
    <mergeCell ref="S43:U43"/>
    <mergeCell ref="S44:U44"/>
    <mergeCell ref="S68:U68"/>
    <mergeCell ref="S69:U69"/>
    <mergeCell ref="S70:U70"/>
    <mergeCell ref="S71:U71"/>
    <mergeCell ref="S183:U183"/>
    <mergeCell ref="S184:U184"/>
    <mergeCell ref="S185:U185"/>
    <mergeCell ref="S186:U186"/>
    <mergeCell ref="S187:U187"/>
    <mergeCell ref="S188:U188"/>
    <mergeCell ref="S189:U189"/>
    <mergeCell ref="S190:U190"/>
    <mergeCell ref="S193:U193"/>
    <mergeCell ref="S196:U196"/>
    <mergeCell ref="I309:J309"/>
    <mergeCell ref="K309:L309"/>
    <mergeCell ref="M309:N309"/>
    <mergeCell ref="O309:P309"/>
    <mergeCell ref="Q309:R309"/>
    <mergeCell ref="Y309:Z309"/>
    <mergeCell ref="S295:U295"/>
    <mergeCell ref="S231:U231"/>
    <mergeCell ref="AA260:AB260"/>
    <mergeCell ref="Y252:Y259"/>
    <mergeCell ref="AA252:AA259"/>
    <mergeCell ref="AB252:AB259"/>
    <mergeCell ref="S308:U308"/>
    <mergeCell ref="V309:W309"/>
    <mergeCell ref="Y222:Z222"/>
    <mergeCell ref="Y226:Z226"/>
    <mergeCell ref="Y230:Z230"/>
    <mergeCell ref="V301:W301"/>
    <mergeCell ref="V304:W304"/>
    <mergeCell ref="V266:W266"/>
    <mergeCell ref="V277:W277"/>
    <mergeCell ref="V278:W278"/>
    <mergeCell ref="V279:W279"/>
    <mergeCell ref="V292:W292"/>
    <mergeCell ref="Y307:Z307"/>
    <mergeCell ref="S265:U265"/>
    <mergeCell ref="S266:U266"/>
    <mergeCell ref="S277:U277"/>
    <mergeCell ref="S278:U278"/>
    <mergeCell ref="S279:U279"/>
    <mergeCell ref="S301:U301"/>
    <mergeCell ref="S304:U304"/>
    <mergeCell ref="S305:U305"/>
    <mergeCell ref="S306:U306"/>
    <mergeCell ref="S307:U307"/>
    <mergeCell ref="V310:W310"/>
    <mergeCell ref="S222:U222"/>
    <mergeCell ref="S219:U219"/>
    <mergeCell ref="S214:U214"/>
    <mergeCell ref="S203:U203"/>
    <mergeCell ref="S206:U206"/>
    <mergeCell ref="S211:U211"/>
    <mergeCell ref="S230:U230"/>
    <mergeCell ref="S226:U226"/>
    <mergeCell ref="V308:W308"/>
    <mergeCell ref="V305:W305"/>
    <mergeCell ref="V306:W306"/>
    <mergeCell ref="V307:W307"/>
    <mergeCell ref="AC279:AD279"/>
    <mergeCell ref="AC292:AD292"/>
    <mergeCell ref="AC294:AD294"/>
    <mergeCell ref="AC295:AD295"/>
    <mergeCell ref="AC297:AD297"/>
    <mergeCell ref="AA266:AB266"/>
    <mergeCell ref="S292:U292"/>
    <mergeCell ref="S294:U294"/>
    <mergeCell ref="Y231:Z231"/>
    <mergeCell ref="Y261:Z261"/>
    <mergeCell ref="Y264:Z264"/>
    <mergeCell ref="Y265:Z265"/>
    <mergeCell ref="AD252:AD259"/>
    <mergeCell ref="AD234:AD241"/>
    <mergeCell ref="AC243:AC250"/>
    <mergeCell ref="AC260:AD260"/>
    <mergeCell ref="AR309:AT309"/>
    <mergeCell ref="AR310:AT310"/>
    <mergeCell ref="AU309:AV309"/>
    <mergeCell ref="AU310:AV310"/>
    <mergeCell ref="AX309:AY309"/>
    <mergeCell ref="AX310:AY310"/>
    <mergeCell ref="AZ309:BA309"/>
    <mergeCell ref="AZ310:BA310"/>
    <mergeCell ref="BC309:BD309"/>
    <mergeCell ref="BC310:BD310"/>
    <mergeCell ref="A1:BD1"/>
    <mergeCell ref="A3:BD3"/>
    <mergeCell ref="Y310:Z310"/>
    <mergeCell ref="AA309:AB309"/>
    <mergeCell ref="AA310:AB310"/>
    <mergeCell ref="AC309:AD309"/>
    <mergeCell ref="AC310:AD310"/>
    <mergeCell ref="AE309:AF309"/>
    <mergeCell ref="AE310:AF310"/>
    <mergeCell ref="AG309:AH309"/>
    <mergeCell ref="AG310:AH310"/>
    <mergeCell ref="AI309:AJ309"/>
    <mergeCell ref="AI310:AJ310"/>
    <mergeCell ref="AK309:AL309"/>
    <mergeCell ref="AK310:AL310"/>
    <mergeCell ref="AM310:AN310"/>
    <mergeCell ref="AM309:AN309"/>
    <mergeCell ref="AP309:AQ309"/>
    <mergeCell ref="AP310:AQ310"/>
    <mergeCell ref="S309:U309"/>
    <mergeCell ref="S310:U310"/>
    <mergeCell ref="S297:U297"/>
  </mergeCells>
  <pageMargins left="0.11811023622047245" right="0.11811023622047245" top="0.15748031496062992" bottom="0.19685039370078741" header="0.31496062992125984" footer="0.31496062992125984"/>
  <pageSetup paperSize="14" scale="9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55"/>
  <sheetViews>
    <sheetView tabSelected="1" workbookViewId="0">
      <pane ySplit="2" topLeftCell="A3" activePane="bottomLeft" state="frozen"/>
      <selection activeCell="D1" sqref="D1"/>
      <selection pane="bottomLeft" activeCell="B10" sqref="B10:B11"/>
    </sheetView>
  </sheetViews>
  <sheetFormatPr baseColWidth="10" defaultRowHeight="15"/>
  <cols>
    <col min="2" max="2" width="24.42578125" customWidth="1"/>
    <col min="3" max="3" width="50.7109375" customWidth="1"/>
    <col min="12" max="12" width="11.42578125" style="713"/>
    <col min="13" max="13" width="20.5703125" customWidth="1"/>
    <col min="14" max="14" width="20.42578125" customWidth="1"/>
    <col min="15" max="15" width="11.42578125" style="706"/>
    <col min="16" max="16" width="28.85546875" style="887" customWidth="1"/>
    <col min="17" max="17" width="11.42578125" style="705"/>
    <col min="18" max="18" width="18.85546875" customWidth="1"/>
    <col min="19" max="19" width="11.42578125" style="706"/>
    <col min="20" max="20" width="16.85546875" style="887" customWidth="1"/>
    <col min="21" max="21" width="11.42578125" style="890"/>
    <col min="23" max="23" width="11.42578125" style="706"/>
    <col min="24" max="24" width="22.140625" style="887" customWidth="1"/>
    <col min="25" max="25" width="11.42578125" style="706"/>
    <col min="26" max="26" width="20.28515625" style="713" customWidth="1"/>
    <col min="27" max="27" width="22.140625" style="915" customWidth="1"/>
    <col min="28" max="28" width="30.140625" customWidth="1"/>
  </cols>
  <sheetData>
    <row r="1" spans="1:27" ht="48.75" customHeight="1">
      <c r="A1" s="1275" t="s">
        <v>1032</v>
      </c>
      <c r="B1" s="1275" t="s">
        <v>1655</v>
      </c>
      <c r="C1" s="1275" t="s">
        <v>1656</v>
      </c>
      <c r="D1" s="1084" t="s">
        <v>137</v>
      </c>
      <c r="E1" s="1103" t="s">
        <v>151</v>
      </c>
      <c r="F1" s="1084" t="s">
        <v>138</v>
      </c>
      <c r="G1" s="1084" t="s">
        <v>144</v>
      </c>
      <c r="H1" s="1079" t="s">
        <v>134</v>
      </c>
      <c r="I1" s="1079" t="s">
        <v>135</v>
      </c>
      <c r="J1" s="1079" t="s">
        <v>125</v>
      </c>
      <c r="K1" s="1079" t="s">
        <v>136</v>
      </c>
      <c r="L1" s="1096" t="s">
        <v>236</v>
      </c>
      <c r="M1" s="1079" t="s">
        <v>237</v>
      </c>
      <c r="N1" s="1288" t="s">
        <v>1665</v>
      </c>
      <c r="O1" s="1289"/>
      <c r="P1" s="1289"/>
      <c r="Q1" s="1289"/>
      <c r="R1" s="1290" t="s">
        <v>1666</v>
      </c>
      <c r="S1" s="1290"/>
      <c r="T1" s="1290"/>
      <c r="U1" s="1290"/>
      <c r="V1" s="1290" t="s">
        <v>1667</v>
      </c>
      <c r="W1" s="1290"/>
      <c r="X1" s="1290"/>
      <c r="Y1" s="1290"/>
      <c r="Z1" s="1291" t="s">
        <v>1668</v>
      </c>
    </row>
    <row r="2" spans="1:27" ht="48.75" customHeight="1">
      <c r="A2" s="1275"/>
      <c r="B2" s="1275"/>
      <c r="C2" s="1275"/>
      <c r="D2" s="1084"/>
      <c r="E2" s="1103"/>
      <c r="F2" s="1084"/>
      <c r="G2" s="1084"/>
      <c r="H2" s="1079"/>
      <c r="I2" s="1079"/>
      <c r="J2" s="1079"/>
      <c r="K2" s="1079"/>
      <c r="L2" s="1096"/>
      <c r="M2" s="1079"/>
      <c r="N2" s="715" t="s">
        <v>1659</v>
      </c>
      <c r="O2" s="888" t="s">
        <v>321</v>
      </c>
      <c r="P2" s="883" t="s">
        <v>1660</v>
      </c>
      <c r="Q2" s="888" t="s">
        <v>321</v>
      </c>
      <c r="R2" s="715" t="s">
        <v>1661</v>
      </c>
      <c r="S2" s="888" t="s">
        <v>321</v>
      </c>
      <c r="T2" s="883" t="s">
        <v>1662</v>
      </c>
      <c r="U2" s="889" t="s">
        <v>321</v>
      </c>
      <c r="V2" s="716" t="s">
        <v>1663</v>
      </c>
      <c r="W2" s="888" t="s">
        <v>321</v>
      </c>
      <c r="X2" s="891" t="s">
        <v>1664</v>
      </c>
      <c r="Y2" s="888" t="s">
        <v>321</v>
      </c>
      <c r="Z2" s="1292"/>
      <c r="AA2" s="916" t="s">
        <v>1771</v>
      </c>
    </row>
    <row r="3" spans="1:27">
      <c r="A3" s="698">
        <v>1</v>
      </c>
      <c r="B3" s="1285" t="s">
        <v>836</v>
      </c>
      <c r="C3" s="1286"/>
      <c r="D3" s="711" t="s">
        <v>179</v>
      </c>
      <c r="E3" s="711" t="s">
        <v>179</v>
      </c>
      <c r="F3" s="711" t="s">
        <v>179</v>
      </c>
      <c r="G3" s="711" t="s">
        <v>179</v>
      </c>
      <c r="H3" s="711">
        <v>100</v>
      </c>
      <c r="I3" s="711">
        <v>100</v>
      </c>
      <c r="J3" s="711">
        <v>200</v>
      </c>
      <c r="K3" s="711">
        <v>10</v>
      </c>
      <c r="L3" s="711">
        <v>2</v>
      </c>
      <c r="M3" s="711">
        <v>0</v>
      </c>
      <c r="N3" s="717">
        <v>302</v>
      </c>
      <c r="O3" s="922">
        <f>+(N3*$O$55)/$N$55</f>
        <v>0.64026458616010851</v>
      </c>
      <c r="P3" s="884">
        <v>0.2245353159851301</v>
      </c>
      <c r="Q3" s="718">
        <f>+(P3*$Q$55)/$P$55</f>
        <v>1.411974457704144</v>
      </c>
      <c r="R3" s="717">
        <v>311</v>
      </c>
      <c r="S3" s="922">
        <f>+(R3*$S$55)/$R$55</f>
        <v>0.98473814197960874</v>
      </c>
      <c r="T3" s="884">
        <v>0.2312267657992565</v>
      </c>
      <c r="U3" s="923">
        <f>+(T3*$U$55)/$T$55</f>
        <v>1.8167061152934156</v>
      </c>
      <c r="V3" s="717">
        <v>5</v>
      </c>
      <c r="W3" s="922">
        <f>+(V3*$W$55)/$V$55</f>
        <v>0.45703839122486284</v>
      </c>
      <c r="X3" s="884">
        <v>3.7174721189591076E-3</v>
      </c>
      <c r="Y3" s="922">
        <f>+(X3*$Y$55)/$X$55</f>
        <v>5.8085501858736038E-2</v>
      </c>
      <c r="Z3" s="719">
        <f>+H3+I3+J3+K3+L3+M3+O3+Q3+S3+U3+W3+Y3</f>
        <v>417.36880719422089</v>
      </c>
      <c r="AA3" s="917">
        <f>+'oferta economica'!C1</f>
        <v>1649812599</v>
      </c>
    </row>
    <row r="4" spans="1:27">
      <c r="A4" s="1280" t="s">
        <v>1405</v>
      </c>
      <c r="B4" s="1280" t="s">
        <v>240</v>
      </c>
      <c r="C4" s="699" t="s">
        <v>241</v>
      </c>
      <c r="D4" s="1272" t="s">
        <v>179</v>
      </c>
      <c r="E4" s="1272" t="s">
        <v>179</v>
      </c>
      <c r="F4" s="1272" t="s">
        <v>179</v>
      </c>
      <c r="G4" s="1272" t="s">
        <v>179</v>
      </c>
      <c r="H4" s="1272">
        <v>100</v>
      </c>
      <c r="I4" s="1272">
        <v>100</v>
      </c>
      <c r="J4" s="1272">
        <v>200</v>
      </c>
      <c r="K4" s="1272">
        <v>10</v>
      </c>
      <c r="L4" s="1272">
        <v>2</v>
      </c>
      <c r="M4" s="1272">
        <v>2</v>
      </c>
      <c r="N4" s="1272">
        <v>91.8</v>
      </c>
      <c r="O4" s="1261">
        <f>+(N4*$O$55)/$N$55</f>
        <v>0.19462347354138398</v>
      </c>
      <c r="P4" s="1266">
        <v>0.27068181818181819</v>
      </c>
      <c r="Q4" s="1271">
        <f>+(P4*$Q$55)/$P$55</f>
        <v>1.7021634737537479</v>
      </c>
      <c r="R4" s="1272">
        <v>46.099999999999994</v>
      </c>
      <c r="S4" s="1251">
        <f>+(R4*$S$55)/$R$55</f>
        <v>0.14596922297511239</v>
      </c>
      <c r="T4" s="1266">
        <v>0.17988038277511958</v>
      </c>
      <c r="U4" s="1265">
        <f>+(T4*$U$55)/$T$55</f>
        <v>1.4132870400158966</v>
      </c>
      <c r="V4" s="1272">
        <v>4.0999999999999996</v>
      </c>
      <c r="W4" s="1251">
        <f>+(V4*$W$55)/$V$55</f>
        <v>0.37477148080438755</v>
      </c>
      <c r="X4" s="1266">
        <v>1.5849282296650717E-2</v>
      </c>
      <c r="Y4" s="1251">
        <f>+(X4*$Y$55)/$X$55</f>
        <v>0.24764503588516742</v>
      </c>
      <c r="Z4" s="1248">
        <f>+Y4+W4+U4+S4+Q4+O4+M4+L4+K4+J4+I4+H4</f>
        <v>418.07845972697567</v>
      </c>
      <c r="AA4" s="1242">
        <f>+'oferta economica'!C2</f>
        <v>1681746615</v>
      </c>
    </row>
    <row r="5" spans="1:27">
      <c r="A5" s="1280"/>
      <c r="B5" s="1280"/>
      <c r="C5" s="699" t="s">
        <v>242</v>
      </c>
      <c r="D5" s="1272"/>
      <c r="E5" s="1272"/>
      <c r="F5" s="1272"/>
      <c r="G5" s="1272"/>
      <c r="H5" s="1272"/>
      <c r="I5" s="1272"/>
      <c r="J5" s="1272"/>
      <c r="K5" s="1272"/>
      <c r="L5" s="1272"/>
      <c r="M5" s="1272"/>
      <c r="N5" s="1272"/>
      <c r="O5" s="1261"/>
      <c r="P5" s="1266"/>
      <c r="Q5" s="1271"/>
      <c r="R5" s="1272"/>
      <c r="S5" s="1251"/>
      <c r="T5" s="1266"/>
      <c r="U5" s="1265"/>
      <c r="V5" s="1272"/>
      <c r="W5" s="1251"/>
      <c r="X5" s="1266"/>
      <c r="Y5" s="1251"/>
      <c r="Z5" s="1248"/>
      <c r="AA5" s="1243"/>
    </row>
    <row r="6" spans="1:27">
      <c r="A6" s="698">
        <v>3</v>
      </c>
      <c r="B6" s="1285" t="s">
        <v>837</v>
      </c>
      <c r="C6" s="1286"/>
      <c r="D6" s="711" t="s">
        <v>179</v>
      </c>
      <c r="E6" s="711" t="s">
        <v>179</v>
      </c>
      <c r="F6" s="711" t="s">
        <v>179</v>
      </c>
      <c r="G6" s="711" t="s">
        <v>179</v>
      </c>
      <c r="H6" s="711">
        <v>100</v>
      </c>
      <c r="I6" s="711">
        <v>100</v>
      </c>
      <c r="J6" s="711">
        <v>200</v>
      </c>
      <c r="K6" s="711">
        <v>10</v>
      </c>
      <c r="L6" s="711">
        <v>2</v>
      </c>
      <c r="M6" s="711">
        <v>2</v>
      </c>
      <c r="N6" s="717">
        <v>131</v>
      </c>
      <c r="O6" s="922">
        <f>+(N6*$O$55)/$N$55</f>
        <v>0.27773066485753051</v>
      </c>
      <c r="P6" s="884">
        <v>0.30184331797235026</v>
      </c>
      <c r="Q6" s="718">
        <f>+(P6*$Q$55)/$P$55</f>
        <v>1.8981203617601681</v>
      </c>
      <c r="R6" s="717">
        <v>160</v>
      </c>
      <c r="S6" s="922">
        <f>+(R6*$S$55)/$R$55</f>
        <v>0.50661769362294984</v>
      </c>
      <c r="T6" s="884">
        <v>0.3686635944700461</v>
      </c>
      <c r="U6" s="923">
        <f>+(T6*$U$55)/$T$55</f>
        <v>2.896521967276239</v>
      </c>
      <c r="V6" s="717">
        <v>3</v>
      </c>
      <c r="W6" s="922">
        <f>+(V6*$W$55)/$V$55</f>
        <v>0.27422303473491771</v>
      </c>
      <c r="X6" s="884">
        <v>6.9124423963133645E-3</v>
      </c>
      <c r="Y6" s="922">
        <f>+(X6*$Y$55)/$X$55</f>
        <v>0.1080069124423963</v>
      </c>
      <c r="Z6" s="719">
        <f>+H6+I6+J6+K6+L6+M6+O6+Q6+S6+U6+W6+Y6</f>
        <v>419.9612206346942</v>
      </c>
      <c r="AA6" s="917">
        <f>+'oferta economica'!C3</f>
        <v>1686862162</v>
      </c>
    </row>
    <row r="7" spans="1:27">
      <c r="A7" s="696" t="s">
        <v>1434</v>
      </c>
      <c r="B7" s="1280" t="s">
        <v>1433</v>
      </c>
      <c r="C7" s="1280"/>
      <c r="D7" s="710" t="s">
        <v>179</v>
      </c>
      <c r="E7" s="710" t="s">
        <v>179</v>
      </c>
      <c r="F7" s="710" t="s">
        <v>179</v>
      </c>
      <c r="G7" s="710" t="s">
        <v>179</v>
      </c>
      <c r="H7" s="710">
        <v>100</v>
      </c>
      <c r="I7" s="710">
        <v>100</v>
      </c>
      <c r="J7" s="710">
        <v>200</v>
      </c>
      <c r="K7" s="710">
        <v>10</v>
      </c>
      <c r="L7" s="710">
        <v>2</v>
      </c>
      <c r="M7" s="710">
        <v>0</v>
      </c>
      <c r="N7" s="710">
        <v>490</v>
      </c>
      <c r="O7" s="924">
        <f>+(N7*$O$55)/$N$55</f>
        <v>1.0388398914518318</v>
      </c>
      <c r="P7" s="885">
        <v>0.26301663982823403</v>
      </c>
      <c r="Q7" s="712">
        <f>+(P7*$Q$55)/$P$55</f>
        <v>1.653961541681181</v>
      </c>
      <c r="R7" s="710">
        <v>447</v>
      </c>
      <c r="S7" s="925">
        <f>+(R7*$S$55)/$R$55</f>
        <v>1.4153631815591161</v>
      </c>
      <c r="T7" s="885">
        <v>0.23993558776167473</v>
      </c>
      <c r="U7" s="926">
        <f>+(T7*$U$55)/$T$55</f>
        <v>1.8851297256027102</v>
      </c>
      <c r="V7" s="710">
        <v>7</v>
      </c>
      <c r="W7" s="925">
        <f>+(V7*$W$55)/$V$55</f>
        <v>0.63985374771480796</v>
      </c>
      <c r="X7" s="885">
        <v>3.7573805689747721E-3</v>
      </c>
      <c r="Y7" s="925">
        <f>+(X7*$Y$55)/$X$55</f>
        <v>5.8709071390230801E-2</v>
      </c>
      <c r="Z7" s="714">
        <f>+H7+I7+J7+K7+L7+M7+O7+Q7+S7+U7+W7+Y7</f>
        <v>418.69185715939994</v>
      </c>
      <c r="AA7" s="918">
        <f>+'oferta economica'!C4</f>
        <v>1537532051</v>
      </c>
    </row>
    <row r="8" spans="1:27">
      <c r="A8" s="1279" t="s">
        <v>1552</v>
      </c>
      <c r="B8" s="1279" t="s">
        <v>1435</v>
      </c>
      <c r="C8" s="700" t="s">
        <v>1438</v>
      </c>
      <c r="D8" s="1256" t="s">
        <v>179</v>
      </c>
      <c r="E8" s="1256" t="s">
        <v>179</v>
      </c>
      <c r="F8" s="1256" t="s">
        <v>179</v>
      </c>
      <c r="G8" s="1256" t="s">
        <v>179</v>
      </c>
      <c r="H8" s="1256">
        <v>90</v>
      </c>
      <c r="I8" s="1256">
        <v>100</v>
      </c>
      <c r="J8" s="1256">
        <v>200</v>
      </c>
      <c r="K8" s="1256">
        <v>10</v>
      </c>
      <c r="L8" s="1256">
        <v>2</v>
      </c>
      <c r="M8" s="1256">
        <v>2</v>
      </c>
      <c r="N8" s="1277">
        <v>157.5</v>
      </c>
      <c r="O8" s="1263">
        <f>+(N8*$O$55)/$N$55</f>
        <v>0.33391282225237445</v>
      </c>
      <c r="P8" s="1270">
        <v>0.35780000000000001</v>
      </c>
      <c r="Q8" s="1273">
        <f>+(P8*$Q$55)/$P$55</f>
        <v>2.25</v>
      </c>
      <c r="R8" s="1260">
        <v>104</v>
      </c>
      <c r="S8" s="1252">
        <f>+(R8*$S$55)/$R$55</f>
        <v>0.32930150085491738</v>
      </c>
      <c r="T8" s="1270">
        <v>0.23</v>
      </c>
      <c r="U8" s="1274">
        <f>+(T8*$U$55)/$T$55</f>
        <v>1.8070676423344638</v>
      </c>
      <c r="V8" s="1260">
        <v>5.5</v>
      </c>
      <c r="W8" s="1252">
        <f>+(V8*$W$55)/$V$55</f>
        <v>0.50274223034734911</v>
      </c>
      <c r="X8" s="1270">
        <v>1.2500000000000001E-2</v>
      </c>
      <c r="Y8" s="1252">
        <f>+(X8*$Y$55)/$X$55</f>
        <v>0.19531249999999997</v>
      </c>
      <c r="Z8" s="1254">
        <f>+Y8+W8+U8+S8+Q8+O8+M8+L8+K8+J8+I8+H8</f>
        <v>409.41833669578909</v>
      </c>
      <c r="AA8" s="1244">
        <f>+'oferta economica'!C5</f>
        <v>1675200172</v>
      </c>
    </row>
    <row r="9" spans="1:27">
      <c r="A9" s="1279"/>
      <c r="B9" s="1279"/>
      <c r="C9" s="700" t="s">
        <v>1439</v>
      </c>
      <c r="D9" s="1256"/>
      <c r="E9" s="1256"/>
      <c r="F9" s="1256"/>
      <c r="G9" s="1256"/>
      <c r="H9" s="1256"/>
      <c r="I9" s="1256"/>
      <c r="J9" s="1256"/>
      <c r="K9" s="1256"/>
      <c r="L9" s="1256"/>
      <c r="M9" s="1256"/>
      <c r="N9" s="1278"/>
      <c r="O9" s="1264"/>
      <c r="P9" s="1270"/>
      <c r="Q9" s="1273"/>
      <c r="R9" s="1260"/>
      <c r="S9" s="1252"/>
      <c r="T9" s="1270"/>
      <c r="U9" s="1274"/>
      <c r="V9" s="1260"/>
      <c r="W9" s="1252"/>
      <c r="X9" s="1270"/>
      <c r="Y9" s="1252"/>
      <c r="Z9" s="1254"/>
      <c r="AA9" s="1244"/>
    </row>
    <row r="10" spans="1:27">
      <c r="A10" s="1280" t="s">
        <v>1553</v>
      </c>
      <c r="B10" s="1280" t="s">
        <v>1436</v>
      </c>
      <c r="C10" s="699" t="s">
        <v>1440</v>
      </c>
      <c r="D10" s="1272" t="s">
        <v>179</v>
      </c>
      <c r="E10" s="1272" t="s">
        <v>179</v>
      </c>
      <c r="F10" s="1272" t="s">
        <v>179</v>
      </c>
      <c r="G10" s="1272" t="s">
        <v>179</v>
      </c>
      <c r="H10" s="1272">
        <v>100</v>
      </c>
      <c r="I10" s="1272">
        <v>100</v>
      </c>
      <c r="J10" s="1272">
        <v>200</v>
      </c>
      <c r="K10" s="1272">
        <v>10</v>
      </c>
      <c r="L10" s="1272">
        <v>2</v>
      </c>
      <c r="M10" s="1272">
        <v>2</v>
      </c>
      <c r="N10" s="1272">
        <f>+CALIFICACION!K203</f>
        <v>365.20000000000005</v>
      </c>
      <c r="O10" s="1261">
        <f>+(N10*$O$55)/$N$55</f>
        <v>0.77425373134328368</v>
      </c>
      <c r="P10" s="1266">
        <f>+CALIFICACION!K206</f>
        <v>0.46174716484406642</v>
      </c>
      <c r="Q10" s="1271">
        <f>+(P10*$Q$55)/$P$55</f>
        <v>2.9036643960289252</v>
      </c>
      <c r="R10" s="1272">
        <f>+CALIFICACION!K211</f>
        <v>355.7</v>
      </c>
      <c r="S10" s="1251">
        <f>+(R10*$S$55)/$R$55</f>
        <v>1.1262744601355203</v>
      </c>
      <c r="T10" s="1266">
        <f>+CALIFICACION!K214</f>
        <v>0.44075891049007698</v>
      </c>
      <c r="U10" s="1265">
        <f>+(T10*$U$55)/$T$55</f>
        <v>3.4629615879009141</v>
      </c>
      <c r="V10" s="1272">
        <f>+CALIFICACION!K219</f>
        <v>17.700000000000003</v>
      </c>
      <c r="W10" s="1251">
        <f>+(V10*$W$55)/$V$55</f>
        <v>1.6179159049360148</v>
      </c>
      <c r="X10" s="1266">
        <f>+CALIFICACION!K222</f>
        <v>2.3277642770352373E-2</v>
      </c>
      <c r="Y10" s="1251">
        <f>+(X10*$Y$55)/$X$55</f>
        <v>0.36371316828675576</v>
      </c>
      <c r="Z10" s="1248">
        <f>+Y10+W10+U10+S10+Q10+O10+M10+L10+K10+J10+I10+H10</f>
        <v>424.24878324863141</v>
      </c>
      <c r="AA10" s="1240">
        <f>+'oferta economica'!C6</f>
        <v>1708546803</v>
      </c>
    </row>
    <row r="11" spans="1:27">
      <c r="A11" s="1280"/>
      <c r="B11" s="1280"/>
      <c r="C11" s="699" t="s">
        <v>1441</v>
      </c>
      <c r="D11" s="1272"/>
      <c r="E11" s="1272"/>
      <c r="F11" s="1272"/>
      <c r="G11" s="1272"/>
      <c r="H11" s="1272"/>
      <c r="I11" s="1272"/>
      <c r="J11" s="1272"/>
      <c r="K11" s="1272"/>
      <c r="L11" s="1272"/>
      <c r="M11" s="1272"/>
      <c r="N11" s="1272"/>
      <c r="O11" s="1261"/>
      <c r="P11" s="1266"/>
      <c r="Q11" s="1271"/>
      <c r="R11" s="1272"/>
      <c r="S11" s="1251"/>
      <c r="T11" s="1266"/>
      <c r="U11" s="1265"/>
      <c r="V11" s="1272"/>
      <c r="W11" s="1251"/>
      <c r="X11" s="1266"/>
      <c r="Y11" s="1251"/>
      <c r="Z11" s="1248"/>
      <c r="AA11" s="1240"/>
    </row>
    <row r="12" spans="1:27">
      <c r="A12" s="1279" t="s">
        <v>1554</v>
      </c>
      <c r="B12" s="1279" t="s">
        <v>1437</v>
      </c>
      <c r="C12" s="700" t="s">
        <v>1442</v>
      </c>
      <c r="D12" s="1256" t="s">
        <v>179</v>
      </c>
      <c r="E12" s="1256" t="s">
        <v>179</v>
      </c>
      <c r="F12" s="1256" t="s">
        <v>179</v>
      </c>
      <c r="G12" s="1256" t="s">
        <v>179</v>
      </c>
      <c r="H12" s="1256">
        <v>100</v>
      </c>
      <c r="I12" s="1256">
        <v>100</v>
      </c>
      <c r="J12" s="1256">
        <v>200</v>
      </c>
      <c r="K12" s="1256">
        <v>10</v>
      </c>
      <c r="L12" s="1256">
        <v>2</v>
      </c>
      <c r="M12" s="1256">
        <v>2</v>
      </c>
      <c r="N12" s="1260">
        <v>153.70000000000002</v>
      </c>
      <c r="O12" s="1252">
        <f>+(N12*$O$55)/$N$55</f>
        <v>0.32585651289009504</v>
      </c>
      <c r="P12" s="1270">
        <v>0.64270066374088719</v>
      </c>
      <c r="Q12" s="1273">
        <f>+(P12*$Q$55)/$P$55</f>
        <v>4.0415776786388937</v>
      </c>
      <c r="R12" s="1260">
        <v>84.1</v>
      </c>
      <c r="S12" s="1252">
        <f>+(R12*$S$55)/$R$55</f>
        <v>0.26629092521056297</v>
      </c>
      <c r="T12" s="1270">
        <v>0.34456131442457655</v>
      </c>
      <c r="U12" s="1274">
        <f>+(T12*$U$55)/$T$55</f>
        <v>2.7071547917255798</v>
      </c>
      <c r="V12" s="1260">
        <v>16.399999999999999</v>
      </c>
      <c r="W12" s="1252">
        <f>+(V12*$W$55)/$V$55</f>
        <v>1.4990859232175502</v>
      </c>
      <c r="X12" s="1270">
        <v>6.892749628232564E-2</v>
      </c>
      <c r="Y12" s="1252">
        <f>+(X12*$Y$55)/$X$55</f>
        <v>1.0769921294113378</v>
      </c>
      <c r="Z12" s="1254">
        <f>+Y12+W12+U12+S12+Q12+O12+M12+L12+K12+J12+I12+H12</f>
        <v>423.916957961094</v>
      </c>
      <c r="AA12" s="1244">
        <f>+'oferta economica'!C7</f>
        <v>1689008468</v>
      </c>
    </row>
    <row r="13" spans="1:27">
      <c r="A13" s="1279"/>
      <c r="B13" s="1279"/>
      <c r="C13" s="700" t="s">
        <v>1443</v>
      </c>
      <c r="D13" s="1256"/>
      <c r="E13" s="1256"/>
      <c r="F13" s="1256"/>
      <c r="G13" s="1256"/>
      <c r="H13" s="1256"/>
      <c r="I13" s="1256"/>
      <c r="J13" s="1256"/>
      <c r="K13" s="1256"/>
      <c r="L13" s="1256"/>
      <c r="M13" s="1256"/>
      <c r="N13" s="1260"/>
      <c r="O13" s="1252"/>
      <c r="P13" s="1270"/>
      <c r="Q13" s="1273"/>
      <c r="R13" s="1260"/>
      <c r="S13" s="1252"/>
      <c r="T13" s="1270"/>
      <c r="U13" s="1274"/>
      <c r="V13" s="1260"/>
      <c r="W13" s="1252"/>
      <c r="X13" s="1270"/>
      <c r="Y13" s="1252"/>
      <c r="Z13" s="1254"/>
      <c r="AA13" s="1244"/>
    </row>
    <row r="14" spans="1:27">
      <c r="A14" s="1280" t="s">
        <v>1555</v>
      </c>
      <c r="B14" s="1280" t="s">
        <v>1525</v>
      </c>
      <c r="C14" s="699" t="s">
        <v>1526</v>
      </c>
      <c r="D14" s="1272" t="s">
        <v>179</v>
      </c>
      <c r="E14" s="1272" t="s">
        <v>179</v>
      </c>
      <c r="F14" s="1272" t="s">
        <v>179</v>
      </c>
      <c r="G14" s="1272" t="s">
        <v>179</v>
      </c>
      <c r="H14" s="1272">
        <v>100</v>
      </c>
      <c r="I14" s="1272">
        <v>100</v>
      </c>
      <c r="J14" s="1272">
        <v>200</v>
      </c>
      <c r="K14" s="1272">
        <v>10</v>
      </c>
      <c r="L14" s="1272">
        <v>2</v>
      </c>
      <c r="M14" s="1272">
        <v>2</v>
      </c>
      <c r="N14" s="1272">
        <f>+CALIFICACION!O203</f>
        <v>180</v>
      </c>
      <c r="O14" s="1261">
        <f>+(N14*$O$55)/$N$55</f>
        <v>0.38161465400271372</v>
      </c>
      <c r="P14" s="1266">
        <f>+CALIFICACION!O206</f>
        <v>0.2374207650273224</v>
      </c>
      <c r="Q14" s="1271">
        <f>+(P14*$Q$55)/$P$55</f>
        <v>1.493003692877237</v>
      </c>
      <c r="R14" s="1272">
        <f>+CALIFICACION!O211</f>
        <v>139.5</v>
      </c>
      <c r="S14" s="1251">
        <f>+(R14*$S$55)/$R$55</f>
        <v>0.44170730162750937</v>
      </c>
      <c r="T14" s="1266">
        <f>+CALIFICACION!O214</f>
        <v>0.13874681238615666</v>
      </c>
      <c r="U14" s="1265">
        <f>+(T14*$U$55)/$T$55</f>
        <v>1.0901081527829315</v>
      </c>
      <c r="V14" s="1272">
        <f>+CALIFICACION!O219</f>
        <v>6</v>
      </c>
      <c r="W14" s="1251">
        <f>+(V14*$W$55)/$V$55</f>
        <v>0.54844606946983543</v>
      </c>
      <c r="X14" s="1266">
        <f>+CALIFICACION!O222</f>
        <v>9.9417122040072851E-3</v>
      </c>
      <c r="Y14" s="1251">
        <f>+(X14*$Y$55)/$X$55</f>
        <v>0.15533925318761382</v>
      </c>
      <c r="Z14" s="1248">
        <f>+Y14+W14+U14+S14+Q14+O14+M14+L14+K14+J14+I14+H14</f>
        <v>418.11021912394784</v>
      </c>
      <c r="AA14" s="1240">
        <f>+'oferta economica'!C8</f>
        <v>1667468329</v>
      </c>
    </row>
    <row r="15" spans="1:27">
      <c r="A15" s="1280"/>
      <c r="B15" s="1280"/>
      <c r="C15" s="699" t="s">
        <v>1527</v>
      </c>
      <c r="D15" s="1272"/>
      <c r="E15" s="1272"/>
      <c r="F15" s="1272"/>
      <c r="G15" s="1272"/>
      <c r="H15" s="1272"/>
      <c r="I15" s="1272"/>
      <c r="J15" s="1272"/>
      <c r="K15" s="1272"/>
      <c r="L15" s="1272"/>
      <c r="M15" s="1272"/>
      <c r="N15" s="1272"/>
      <c r="O15" s="1261"/>
      <c r="P15" s="1266"/>
      <c r="Q15" s="1271"/>
      <c r="R15" s="1272"/>
      <c r="S15" s="1251"/>
      <c r="T15" s="1266"/>
      <c r="U15" s="1265"/>
      <c r="V15" s="1272"/>
      <c r="W15" s="1251"/>
      <c r="X15" s="1266"/>
      <c r="Y15" s="1251"/>
      <c r="Z15" s="1248"/>
      <c r="AA15" s="1240"/>
    </row>
    <row r="16" spans="1:27">
      <c r="A16" s="1279" t="s">
        <v>1325</v>
      </c>
      <c r="B16" s="1279" t="s">
        <v>1291</v>
      </c>
      <c r="C16" s="700" t="s">
        <v>988</v>
      </c>
      <c r="D16" s="1256" t="s">
        <v>179</v>
      </c>
      <c r="E16" s="1256" t="s">
        <v>179</v>
      </c>
      <c r="F16" s="1256" t="s">
        <v>179</v>
      </c>
      <c r="G16" s="1256" t="s">
        <v>179</v>
      </c>
      <c r="H16" s="1256">
        <v>100</v>
      </c>
      <c r="I16" s="1256">
        <v>100</v>
      </c>
      <c r="J16" s="1256">
        <v>200</v>
      </c>
      <c r="K16" s="1256">
        <v>10</v>
      </c>
      <c r="L16" s="1256">
        <v>2</v>
      </c>
      <c r="M16" s="1256">
        <v>2</v>
      </c>
      <c r="N16" s="1260">
        <f>+CALIFICACION!Q203</f>
        <v>1346.4</v>
      </c>
      <c r="O16" s="1252">
        <f>+(N16*$O$55)/$N$55</f>
        <v>2.8544776119402986</v>
      </c>
      <c r="P16" s="1270">
        <f>+CALIFICACION!Q206</f>
        <v>0.18142406965518498</v>
      </c>
      <c r="Q16" s="1273">
        <f>+(P16*$Q$55)/$P$55</f>
        <v>1.1408724335499336</v>
      </c>
      <c r="R16" s="1260">
        <f>+CALIFICACION!Q211</f>
        <v>1579.1</v>
      </c>
      <c r="S16" s="1252">
        <f>+(R16*$S$55)/$R$55</f>
        <v>5</v>
      </c>
      <c r="T16" s="1270">
        <f>+CALIFICACION!Q214</f>
        <v>0.25415912858157708</v>
      </c>
      <c r="U16" s="1274">
        <f>+(T16*$U$55)/$T$55</f>
        <v>1.9968814663638792</v>
      </c>
      <c r="V16" s="1260">
        <f>+CALIFICACION!Q219</f>
        <v>39</v>
      </c>
      <c r="W16" s="1252">
        <f>+(V16*$W$55)/$V$55</f>
        <v>3.5648994515539303</v>
      </c>
      <c r="X16" s="1270">
        <f>+CALIFICACION!Q222</f>
        <v>5.3512814441064507E-3</v>
      </c>
      <c r="Y16" s="1252">
        <f>+(X16*$Y$55)/$X$55</f>
        <v>8.3613772564163275E-2</v>
      </c>
      <c r="Z16" s="1254">
        <f>+Y16+W16+U16+S16+Q16+O16+M16+L16+K16+J16+I16+H16</f>
        <v>428.64074473597219</v>
      </c>
      <c r="AA16" s="1244">
        <f>+'oferta economica'!C9</f>
        <v>1708546744</v>
      </c>
    </row>
    <row r="17" spans="1:28">
      <c r="A17" s="1279"/>
      <c r="B17" s="1279"/>
      <c r="C17" s="700" t="s">
        <v>1292</v>
      </c>
      <c r="D17" s="1256"/>
      <c r="E17" s="1256"/>
      <c r="F17" s="1256"/>
      <c r="G17" s="1256"/>
      <c r="H17" s="1256"/>
      <c r="I17" s="1256"/>
      <c r="J17" s="1256"/>
      <c r="K17" s="1256"/>
      <c r="L17" s="1256"/>
      <c r="M17" s="1256"/>
      <c r="N17" s="1260"/>
      <c r="O17" s="1252"/>
      <c r="P17" s="1270"/>
      <c r="Q17" s="1273"/>
      <c r="R17" s="1260"/>
      <c r="S17" s="1252"/>
      <c r="T17" s="1270"/>
      <c r="U17" s="1274"/>
      <c r="V17" s="1260"/>
      <c r="W17" s="1252"/>
      <c r="X17" s="1270"/>
      <c r="Y17" s="1252"/>
      <c r="Z17" s="1254"/>
      <c r="AA17" s="1244"/>
    </row>
    <row r="18" spans="1:28">
      <c r="A18" s="1280" t="s">
        <v>17</v>
      </c>
      <c r="B18" s="1096" t="s">
        <v>1326</v>
      </c>
      <c r="C18" s="699" t="s">
        <v>1327</v>
      </c>
      <c r="D18" s="1276" t="s">
        <v>179</v>
      </c>
      <c r="E18" s="1272" t="s">
        <v>179</v>
      </c>
      <c r="F18" s="1272" t="s">
        <v>179</v>
      </c>
      <c r="G18" s="1272" t="s">
        <v>179</v>
      </c>
      <c r="H18" s="1272">
        <v>100</v>
      </c>
      <c r="I18" s="1272">
        <v>100</v>
      </c>
      <c r="J18" s="1272">
        <v>200</v>
      </c>
      <c r="K18" s="1272">
        <v>10</v>
      </c>
      <c r="L18" s="1272">
        <v>2</v>
      </c>
      <c r="M18" s="1272">
        <v>2</v>
      </c>
      <c r="N18" s="1276">
        <f>+CALIFICACION!S203</f>
        <v>127</v>
      </c>
      <c r="O18" s="1261">
        <v>0.19462347354138398</v>
      </c>
      <c r="P18" s="1266">
        <f>+CALIFICACION!S206</f>
        <v>0.4390542413751366</v>
      </c>
      <c r="Q18" s="1271">
        <v>1.4975831076671635</v>
      </c>
      <c r="R18" s="1272">
        <f>+CALIFICACION!S211</f>
        <v>157.78999999999996</v>
      </c>
      <c r="S18" s="1251">
        <v>0.14596922297511239</v>
      </c>
      <c r="T18" s="1266">
        <f>+CALIFICACION!S214</f>
        <v>0.55111332706241289</v>
      </c>
      <c r="U18" s="1265">
        <v>1.0944581915748672</v>
      </c>
      <c r="V18" s="1272">
        <f>+CALIFICACION!S219</f>
        <v>51.4</v>
      </c>
      <c r="W18" s="1251">
        <v>0.35018790570550051</v>
      </c>
      <c r="X18" s="1267">
        <f>+CALIFICACION!S222</f>
        <v>0.18760961068122436</v>
      </c>
      <c r="Y18" s="1251">
        <v>0.24764503588516742</v>
      </c>
      <c r="Z18" s="1248">
        <v>417.53046693734916</v>
      </c>
      <c r="AA18" s="1240">
        <f>+'oferta economica'!C10</f>
        <v>1649816449</v>
      </c>
    </row>
    <row r="19" spans="1:28">
      <c r="A19" s="1280"/>
      <c r="B19" s="1096"/>
      <c r="C19" s="699" t="s">
        <v>1328</v>
      </c>
      <c r="D19" s="1276"/>
      <c r="E19" s="1272"/>
      <c r="F19" s="1272"/>
      <c r="G19" s="1272"/>
      <c r="H19" s="1272"/>
      <c r="I19" s="1272"/>
      <c r="J19" s="1272"/>
      <c r="K19" s="1272"/>
      <c r="L19" s="1272"/>
      <c r="M19" s="1272"/>
      <c r="N19" s="1276"/>
      <c r="O19" s="1261"/>
      <c r="P19" s="1266"/>
      <c r="Q19" s="1271"/>
      <c r="R19" s="1272"/>
      <c r="S19" s="1251"/>
      <c r="T19" s="1266"/>
      <c r="U19" s="1265"/>
      <c r="V19" s="1272"/>
      <c r="W19" s="1251"/>
      <c r="X19" s="1267"/>
      <c r="Y19" s="1251"/>
      <c r="Z19" s="1248"/>
      <c r="AA19" s="1240"/>
    </row>
    <row r="20" spans="1:28">
      <c r="A20" s="1284"/>
      <c r="B20" s="1284"/>
      <c r="C20" s="701" t="s">
        <v>1329</v>
      </c>
      <c r="D20" s="1276"/>
      <c r="E20" s="1272"/>
      <c r="F20" s="1272"/>
      <c r="G20" s="1272"/>
      <c r="H20" s="1272"/>
      <c r="I20" s="1272"/>
      <c r="J20" s="1272"/>
      <c r="K20" s="1272"/>
      <c r="L20" s="1272"/>
      <c r="M20" s="1272"/>
      <c r="N20" s="1276"/>
      <c r="O20" s="1261"/>
      <c r="P20" s="1266"/>
      <c r="Q20" s="1271"/>
      <c r="R20" s="1272"/>
      <c r="S20" s="1251"/>
      <c r="T20" s="1266"/>
      <c r="U20" s="1265"/>
      <c r="V20" s="1272"/>
      <c r="W20" s="1251"/>
      <c r="X20" s="1267"/>
      <c r="Y20" s="1251"/>
      <c r="Z20" s="1248"/>
      <c r="AA20" s="1240"/>
    </row>
    <row r="21" spans="1:28" ht="15.75" customHeight="1">
      <c r="A21" s="1279" t="s">
        <v>161</v>
      </c>
      <c r="B21" s="1279" t="s">
        <v>1163</v>
      </c>
      <c r="C21" s="700" t="s">
        <v>1164</v>
      </c>
      <c r="D21" s="1256" t="s">
        <v>179</v>
      </c>
      <c r="E21" s="1256" t="s">
        <v>179</v>
      </c>
      <c r="F21" s="1256" t="s">
        <v>179</v>
      </c>
      <c r="G21" s="1256" t="s">
        <v>179</v>
      </c>
      <c r="H21" s="1256">
        <v>100</v>
      </c>
      <c r="I21" s="1256">
        <v>100</v>
      </c>
      <c r="J21" s="1256">
        <v>200</v>
      </c>
      <c r="K21" s="1256">
        <v>10</v>
      </c>
      <c r="L21" s="1256">
        <v>2</v>
      </c>
      <c r="M21" s="1256">
        <v>2</v>
      </c>
      <c r="N21" s="1260">
        <f>+CALIFICACION!V203</f>
        <v>548.6</v>
      </c>
      <c r="O21" s="1252">
        <f>+(N21*$O$55)/$N$55</f>
        <v>1.1630766621438262</v>
      </c>
      <c r="P21" s="1270">
        <f>+CALIFICACION!V206</f>
        <v>0.20687670076115222</v>
      </c>
      <c r="Q21" s="1273">
        <f>+(P21*$Q$55)/$P$55</f>
        <v>1.3009295045069662</v>
      </c>
      <c r="R21" s="1260">
        <f>+CALIFICACION!V211</f>
        <v>578.4</v>
      </c>
      <c r="S21" s="1252">
        <f>+(R21*$S$55)/$R$55</f>
        <v>1.8314229624469636</v>
      </c>
      <c r="T21" s="1270">
        <f>+CALIFICACION!V214</f>
        <v>0.19743235813361112</v>
      </c>
      <c r="U21" s="1274">
        <f>+(T21*$U$55)/$T$55</f>
        <v>1.551189677969731</v>
      </c>
      <c r="V21" s="1260">
        <f>+CALIFICACION!V219</f>
        <v>28.000000000000004</v>
      </c>
      <c r="W21" s="1252">
        <f>+(V21*$W$55)/$V$55</f>
        <v>2.5594149908592327</v>
      </c>
      <c r="X21" s="1270">
        <f>+CALIFICACION!V222</f>
        <v>8.7160512620688621E-3</v>
      </c>
      <c r="Y21" s="1252">
        <f>+(X21*$Y$55)/$X$55</f>
        <v>0.13618830096982595</v>
      </c>
      <c r="Z21" s="1254">
        <f>+Y21+W21+U21+S21+Q21+O21+M21+L21+K21+J21+I21+H21</f>
        <v>422.54222209889656</v>
      </c>
      <c r="AA21" s="1244">
        <f>+'oferta economica'!C11</f>
        <v>1688450539</v>
      </c>
    </row>
    <row r="22" spans="1:28">
      <c r="A22" s="1279"/>
      <c r="B22" s="1279"/>
      <c r="C22" s="700" t="s">
        <v>1165</v>
      </c>
      <c r="D22" s="1256"/>
      <c r="E22" s="1256"/>
      <c r="F22" s="1256"/>
      <c r="G22" s="1256"/>
      <c r="H22" s="1256"/>
      <c r="I22" s="1256"/>
      <c r="J22" s="1256"/>
      <c r="K22" s="1256"/>
      <c r="L22" s="1256"/>
      <c r="M22" s="1256"/>
      <c r="N22" s="1260"/>
      <c r="O22" s="1252"/>
      <c r="P22" s="1270"/>
      <c r="Q22" s="1273"/>
      <c r="R22" s="1260"/>
      <c r="S22" s="1252"/>
      <c r="T22" s="1270"/>
      <c r="U22" s="1274"/>
      <c r="V22" s="1260"/>
      <c r="W22" s="1252"/>
      <c r="X22" s="1270"/>
      <c r="Y22" s="1252"/>
      <c r="Z22" s="1254"/>
      <c r="AA22" s="1244"/>
    </row>
    <row r="23" spans="1:28">
      <c r="A23" s="696" t="s">
        <v>162</v>
      </c>
      <c r="B23" s="1096" t="s">
        <v>755</v>
      </c>
      <c r="C23" s="1096"/>
      <c r="D23" s="710" t="s">
        <v>179</v>
      </c>
      <c r="E23" s="710" t="s">
        <v>179</v>
      </c>
      <c r="F23" s="710" t="s">
        <v>179</v>
      </c>
      <c r="G23" s="710" t="s">
        <v>179</v>
      </c>
      <c r="H23" s="710">
        <v>100</v>
      </c>
      <c r="I23" s="710">
        <v>100</v>
      </c>
      <c r="J23" s="710">
        <v>200</v>
      </c>
      <c r="K23" s="710">
        <v>10</v>
      </c>
      <c r="L23" s="710">
        <v>2</v>
      </c>
      <c r="M23" s="710">
        <v>0</v>
      </c>
      <c r="N23" s="710">
        <v>704</v>
      </c>
      <c r="O23" s="924">
        <f>+(N23*$O$55)/$N$55</f>
        <v>1.4925373134328357</v>
      </c>
      <c r="P23" s="885">
        <v>0.39002770083102495</v>
      </c>
      <c r="Q23" s="712">
        <f>+(P23*$Q$55)/$P$55</f>
        <v>2.4526616178585972</v>
      </c>
      <c r="R23" s="710">
        <v>661</v>
      </c>
      <c r="S23" s="925">
        <f>+(R23*$S$55)/$R$55</f>
        <v>2.0929643467798114</v>
      </c>
      <c r="T23" s="885">
        <v>0.36620498614958447</v>
      </c>
      <c r="U23" s="926">
        <f>+(T23*$U$55)/$T$55</f>
        <v>2.8772051344889324</v>
      </c>
      <c r="V23" s="710">
        <v>22</v>
      </c>
      <c r="W23" s="925">
        <f>+(V23*$W$55)/$V$55</f>
        <v>2.0109689213893964</v>
      </c>
      <c r="X23" s="885">
        <v>1.218836565096953E-2</v>
      </c>
      <c r="Y23" s="925">
        <f>+(X23*$Y$55)/$X$55</f>
        <v>0.19044321329639885</v>
      </c>
      <c r="Z23" s="714">
        <f>+H23+I23+J23+K23+L23+M23+O23+Q23+S23+U23+W23+Y23</f>
        <v>423.11678054724598</v>
      </c>
      <c r="AA23" s="918">
        <f>+'oferta economica'!C12</f>
        <v>1668719638</v>
      </c>
    </row>
    <row r="24" spans="1:28" s="893" customFormat="1" ht="15.75" customHeight="1">
      <c r="A24" s="1282" t="s">
        <v>1290</v>
      </c>
      <c r="B24" s="1282" t="s">
        <v>1234</v>
      </c>
      <c r="C24" s="892" t="s">
        <v>1235</v>
      </c>
      <c r="D24" s="1269" t="s">
        <v>179</v>
      </c>
      <c r="E24" s="1269" t="s">
        <v>179</v>
      </c>
      <c r="F24" s="1269" t="s">
        <v>179</v>
      </c>
      <c r="G24" s="1269" t="s">
        <v>179</v>
      </c>
      <c r="H24" s="1269">
        <v>100</v>
      </c>
      <c r="I24" s="1269">
        <v>100</v>
      </c>
      <c r="J24" s="1269">
        <v>200</v>
      </c>
      <c r="K24" s="1269">
        <v>10</v>
      </c>
      <c r="L24" s="1269">
        <v>2</v>
      </c>
      <c r="M24" s="1269">
        <v>2</v>
      </c>
      <c r="N24" s="1269">
        <f>+CALIFICACION!Y203</f>
        <v>86</v>
      </c>
      <c r="O24" s="1253">
        <f>+(N24*$O$55)/$N$55</f>
        <v>0.18232700135685209</v>
      </c>
      <c r="P24" s="1257">
        <f>+CALIFICACION!Y206</f>
        <v>0.12312426297169811</v>
      </c>
      <c r="Q24" s="1268">
        <f>+(P24*$Q$55)/$P$55</f>
        <v>0.77425822159396529</v>
      </c>
      <c r="R24" s="1269">
        <f>+CALIFICACION!Y211</f>
        <v>251</v>
      </c>
      <c r="S24" s="1253">
        <f>+(R24*$S$55)/$R$55</f>
        <v>0.79475650687100252</v>
      </c>
      <c r="T24" s="1257">
        <f>+CALIFICACION!Y214</f>
        <v>0.31657023879716983</v>
      </c>
      <c r="U24" s="1258">
        <f>+(T24*$U$55)/$T$55</f>
        <v>2.4872340654628688</v>
      </c>
      <c r="V24" s="1269">
        <f>+CALIFICACION!Y219</f>
        <v>1</v>
      </c>
      <c r="W24" s="1253">
        <f>+(V24*$W$55)/$V$55</f>
        <v>9.1407678244972576E-2</v>
      </c>
      <c r="X24" s="1257">
        <f>+CALIFICACION!Y222</f>
        <v>1.4316774764150943E-3</v>
      </c>
      <c r="Y24" s="1253">
        <f>+(X24*$Y$55)/$X$55</f>
        <v>2.2369960568985846E-2</v>
      </c>
      <c r="Z24" s="1250">
        <f>+Y24+W24+U24+S24+Q24+O24+M24+L24+K24+J24+I24+H24</f>
        <v>418.35235343409863</v>
      </c>
      <c r="AA24" s="1245">
        <f>+'oferta economica'!C13</f>
        <v>1649760680</v>
      </c>
      <c r="AB24" s="1241" t="s">
        <v>1778</v>
      </c>
    </row>
    <row r="25" spans="1:28" s="893" customFormat="1">
      <c r="A25" s="1282"/>
      <c r="B25" s="1282"/>
      <c r="C25" s="892" t="s">
        <v>1236</v>
      </c>
      <c r="D25" s="1269"/>
      <c r="E25" s="1269"/>
      <c r="F25" s="1269"/>
      <c r="G25" s="1269"/>
      <c r="H25" s="1269"/>
      <c r="I25" s="1269"/>
      <c r="J25" s="1269"/>
      <c r="K25" s="1269"/>
      <c r="L25" s="1269"/>
      <c r="M25" s="1269"/>
      <c r="N25" s="1269"/>
      <c r="O25" s="1253"/>
      <c r="P25" s="1257"/>
      <c r="Q25" s="1268"/>
      <c r="R25" s="1269"/>
      <c r="S25" s="1253"/>
      <c r="T25" s="1257"/>
      <c r="U25" s="1258"/>
      <c r="V25" s="1269"/>
      <c r="W25" s="1253"/>
      <c r="X25" s="1257"/>
      <c r="Y25" s="1253"/>
      <c r="Z25" s="1250"/>
      <c r="AA25" s="1245"/>
      <c r="AB25" s="1241"/>
    </row>
    <row r="26" spans="1:28" s="893" customFormat="1">
      <c r="A26" s="1282" t="s">
        <v>1233</v>
      </c>
      <c r="B26" s="1283" t="s">
        <v>921</v>
      </c>
      <c r="C26" s="892" t="s">
        <v>922</v>
      </c>
      <c r="D26" s="1269" t="s">
        <v>179</v>
      </c>
      <c r="E26" s="1269" t="s">
        <v>179</v>
      </c>
      <c r="F26" s="1269" t="s">
        <v>179</v>
      </c>
      <c r="G26" s="1269" t="s">
        <v>179</v>
      </c>
      <c r="H26" s="1269">
        <v>100</v>
      </c>
      <c r="I26" s="1269">
        <v>100</v>
      </c>
      <c r="J26" s="1269">
        <v>200</v>
      </c>
      <c r="K26" s="1269">
        <v>10</v>
      </c>
      <c r="L26" s="1269">
        <v>2</v>
      </c>
      <c r="M26" s="1269">
        <v>2</v>
      </c>
      <c r="N26" s="1269">
        <f>+CALIFICACION!AA203</f>
        <v>177.57</v>
      </c>
      <c r="O26" s="1253">
        <f>+(N26*$O$55)/$N$55</f>
        <v>0.37646285617367703</v>
      </c>
      <c r="P26" s="1257">
        <f>+CALIFICACION!AA206</f>
        <v>0.59502826269849618</v>
      </c>
      <c r="Q26" s="1268">
        <f>+(P26*$Q$55)/$P$55</f>
        <v>3.7417931555942321</v>
      </c>
      <c r="R26" s="1269">
        <f>+CALIFICACION!AA211</f>
        <v>145.32000000000002</v>
      </c>
      <c r="S26" s="1253">
        <f>+(R26*$S$55)/$R$55</f>
        <v>0.46013552023304427</v>
      </c>
      <c r="T26" s="1257">
        <f>+CALIFICACION!AA214</f>
        <v>0.48726193606057422</v>
      </c>
      <c r="U26" s="1258">
        <f>+(T26*$U$55)/$T$55</f>
        <v>3.8283272956361216</v>
      </c>
      <c r="V26" s="1259">
        <v>0</v>
      </c>
      <c r="W26" s="1253">
        <f>+(V26*$W$55)/$V$55</f>
        <v>0</v>
      </c>
      <c r="X26" s="1257">
        <f>+CALIFICACION!AA222</f>
        <v>0.19749969327303957</v>
      </c>
      <c r="Y26" s="1253">
        <f>+(X26*$Y$55)/$X$55</f>
        <v>3.0859327073912426</v>
      </c>
      <c r="Z26" s="1250">
        <f>+Y26+W26+U26+S26+Q26+O26+M26+L26+K26+J26+I26+H26</f>
        <v>425.49265153502836</v>
      </c>
      <c r="AA26" s="1245">
        <f>+'oferta economica'!C14</f>
        <v>1649711725</v>
      </c>
      <c r="AB26" s="1241" t="s">
        <v>1779</v>
      </c>
    </row>
    <row r="27" spans="1:28" s="893" customFormat="1">
      <c r="A27" s="1282"/>
      <c r="B27" s="1283"/>
      <c r="C27" s="892" t="s">
        <v>923</v>
      </c>
      <c r="D27" s="1269"/>
      <c r="E27" s="1269"/>
      <c r="F27" s="1269"/>
      <c r="G27" s="1269"/>
      <c r="H27" s="1269"/>
      <c r="I27" s="1269"/>
      <c r="J27" s="1269"/>
      <c r="K27" s="1269"/>
      <c r="L27" s="1269"/>
      <c r="M27" s="1269"/>
      <c r="N27" s="1269"/>
      <c r="O27" s="1253"/>
      <c r="P27" s="1257"/>
      <c r="Q27" s="1268"/>
      <c r="R27" s="1269"/>
      <c r="S27" s="1253"/>
      <c r="T27" s="1257"/>
      <c r="U27" s="1258"/>
      <c r="V27" s="1259"/>
      <c r="W27" s="1253"/>
      <c r="X27" s="1257"/>
      <c r="Y27" s="1253"/>
      <c r="Z27" s="1250"/>
      <c r="AA27" s="1245"/>
      <c r="AB27" s="1241"/>
    </row>
    <row r="28" spans="1:28">
      <c r="A28" s="1279" t="s">
        <v>1556</v>
      </c>
      <c r="B28" s="1279" t="s">
        <v>1053</v>
      </c>
      <c r="C28" s="700" t="s">
        <v>1054</v>
      </c>
      <c r="D28" s="1256" t="s">
        <v>179</v>
      </c>
      <c r="E28" s="1256" t="s">
        <v>179</v>
      </c>
      <c r="F28" s="1256" t="s">
        <v>179</v>
      </c>
      <c r="G28" s="1256" t="s">
        <v>179</v>
      </c>
      <c r="H28" s="1256">
        <v>100</v>
      </c>
      <c r="I28" s="1256">
        <v>100</v>
      </c>
      <c r="J28" s="1256">
        <v>200</v>
      </c>
      <c r="K28" s="1256">
        <v>10</v>
      </c>
      <c r="L28" s="1256">
        <v>2</v>
      </c>
      <c r="M28" s="1256">
        <v>2</v>
      </c>
      <c r="N28" s="1256">
        <v>2</v>
      </c>
      <c r="O28" s="1247">
        <f>+(N28*$O$55)/$N$55</f>
        <v>4.2401628222523743E-3</v>
      </c>
      <c r="P28" s="1246">
        <v>0.4</v>
      </c>
      <c r="Q28" s="1262">
        <f>+(P28*$Q$55)/$P$55</f>
        <v>2.5153717160424818</v>
      </c>
      <c r="R28" s="1256">
        <v>2</v>
      </c>
      <c r="S28" s="1247">
        <f>+(R28*$S$55)/$R$55</f>
        <v>6.3327211702868726E-3</v>
      </c>
      <c r="T28" s="1246">
        <v>0.4</v>
      </c>
      <c r="U28" s="1255">
        <f>+(T28*$U$55)/$T$55</f>
        <v>3.1427263344947192</v>
      </c>
      <c r="V28" s="1256">
        <v>1.6</v>
      </c>
      <c r="W28" s="1247">
        <f>+(V28*$W$55)/$V$55</f>
        <v>0.14625228519195613</v>
      </c>
      <c r="X28" s="1246">
        <v>0.32000000000000006</v>
      </c>
      <c r="Y28" s="1247">
        <f>+(X28*$Y$55)/$X$55</f>
        <v>5</v>
      </c>
      <c r="Z28" s="1249">
        <f>+Y28+W28+U28+S28+Q28+O28+M28+L28+K28+J28+I28+H28</f>
        <v>424.81492321972166</v>
      </c>
      <c r="AA28" s="1238">
        <f>+'oferta economica'!C15</f>
        <v>1676602649</v>
      </c>
    </row>
    <row r="29" spans="1:28">
      <c r="A29" s="1279"/>
      <c r="B29" s="1279"/>
      <c r="C29" s="700" t="s">
        <v>1055</v>
      </c>
      <c r="D29" s="1256"/>
      <c r="E29" s="1256"/>
      <c r="F29" s="1256"/>
      <c r="G29" s="1256"/>
      <c r="H29" s="1256"/>
      <c r="I29" s="1256"/>
      <c r="J29" s="1256"/>
      <c r="K29" s="1256"/>
      <c r="L29" s="1256"/>
      <c r="M29" s="1256"/>
      <c r="N29" s="1256"/>
      <c r="O29" s="1247"/>
      <c r="P29" s="1246"/>
      <c r="Q29" s="1262"/>
      <c r="R29" s="1256"/>
      <c r="S29" s="1247"/>
      <c r="T29" s="1246"/>
      <c r="U29" s="1255"/>
      <c r="V29" s="1256"/>
      <c r="W29" s="1247"/>
      <c r="X29" s="1246"/>
      <c r="Y29" s="1247"/>
      <c r="Z29" s="1249"/>
      <c r="AA29" s="1238"/>
    </row>
    <row r="30" spans="1:28" ht="15.75" customHeight="1">
      <c r="A30" s="1279" t="s">
        <v>62</v>
      </c>
      <c r="B30" s="1279" t="s">
        <v>399</v>
      </c>
      <c r="C30" s="700" t="s">
        <v>400</v>
      </c>
      <c r="D30" s="1256" t="s">
        <v>179</v>
      </c>
      <c r="E30" s="1256" t="s">
        <v>179</v>
      </c>
      <c r="F30" s="1256" t="s">
        <v>179</v>
      </c>
      <c r="G30" s="1256" t="s">
        <v>179</v>
      </c>
      <c r="H30" s="1256">
        <v>100</v>
      </c>
      <c r="I30" s="1256">
        <v>100</v>
      </c>
      <c r="J30" s="1256">
        <v>200</v>
      </c>
      <c r="K30" s="1256">
        <v>10</v>
      </c>
      <c r="L30" s="1256">
        <v>2</v>
      </c>
      <c r="M30" s="1256">
        <v>2</v>
      </c>
      <c r="N30" s="1256">
        <v>21.060000000000002</v>
      </c>
      <c r="O30" s="1247">
        <f>+(N30*$O$55)/$N$55</f>
        <v>4.4648914518317505E-2</v>
      </c>
      <c r="P30" s="1246">
        <v>0.7951111111111111</v>
      </c>
      <c r="Q30" s="1262">
        <f>+(P30*$Q$55)/$P$55</f>
        <v>5</v>
      </c>
      <c r="R30" s="1256">
        <v>16.97</v>
      </c>
      <c r="S30" s="1247">
        <f>+(R30*$S$55)/$R$55</f>
        <v>5.373313912988411E-2</v>
      </c>
      <c r="T30" s="1246">
        <v>0.63639012345679014</v>
      </c>
      <c r="U30" s="1255">
        <f>+(T30*$U$55)/$T$55</f>
        <v>5</v>
      </c>
      <c r="V30" s="1256">
        <v>5.9999999999999991</v>
      </c>
      <c r="W30" s="1247">
        <f>+(V30*$W$55)/$V$55</f>
        <v>0.54844606946983532</v>
      </c>
      <c r="X30" s="1246">
        <v>0.23774814814814813</v>
      </c>
      <c r="Y30" s="1247">
        <f>+(X30*$Y$55)/$X$55</f>
        <v>3.7148148148148139</v>
      </c>
      <c r="Z30" s="1249">
        <f>+Y30+W30+U30+S30+Q30+O30+M30+L30+K30+J30+I30+H30</f>
        <v>428.36164293793286</v>
      </c>
      <c r="AA30" s="1238">
        <f>+'oferta economica'!C16</f>
        <v>1708544845</v>
      </c>
    </row>
    <row r="31" spans="1:28">
      <c r="A31" s="1279"/>
      <c r="B31" s="1279"/>
      <c r="C31" s="700" t="s">
        <v>401</v>
      </c>
      <c r="D31" s="1256"/>
      <c r="E31" s="1256"/>
      <c r="F31" s="1256"/>
      <c r="G31" s="1256"/>
      <c r="H31" s="1256"/>
      <c r="I31" s="1256"/>
      <c r="J31" s="1256"/>
      <c r="K31" s="1256"/>
      <c r="L31" s="1256"/>
      <c r="M31" s="1256"/>
      <c r="N31" s="1256"/>
      <c r="O31" s="1247"/>
      <c r="P31" s="1246"/>
      <c r="Q31" s="1262"/>
      <c r="R31" s="1256"/>
      <c r="S31" s="1247"/>
      <c r="T31" s="1246"/>
      <c r="U31" s="1255"/>
      <c r="V31" s="1256"/>
      <c r="W31" s="1247"/>
      <c r="X31" s="1246"/>
      <c r="Y31" s="1247"/>
      <c r="Z31" s="1249"/>
      <c r="AA31" s="1238"/>
    </row>
    <row r="32" spans="1:28" s="893" customFormat="1" ht="24">
      <c r="A32" s="1282" t="s">
        <v>63</v>
      </c>
      <c r="B32" s="1283" t="s">
        <v>458</v>
      </c>
      <c r="C32" s="894" t="s">
        <v>459</v>
      </c>
      <c r="D32" s="1269" t="s">
        <v>179</v>
      </c>
      <c r="E32" s="1269" t="s">
        <v>179</v>
      </c>
      <c r="F32" s="1269" t="s">
        <v>179</v>
      </c>
      <c r="G32" s="1269" t="s">
        <v>179</v>
      </c>
      <c r="H32" s="1269">
        <v>100</v>
      </c>
      <c r="I32" s="1269">
        <v>100</v>
      </c>
      <c r="J32" s="1269">
        <v>200</v>
      </c>
      <c r="K32" s="1269">
        <v>10</v>
      </c>
      <c r="L32" s="1269">
        <v>2</v>
      </c>
      <c r="M32" s="1269">
        <v>0</v>
      </c>
      <c r="N32" s="1269">
        <v>224.59999999999997</v>
      </c>
      <c r="O32" s="1253">
        <f>+(N32*$O$55)/$N$55</f>
        <v>0.47617028493894153</v>
      </c>
      <c r="P32" s="1257">
        <v>0.26064709222079741</v>
      </c>
      <c r="Q32" s="1268">
        <f>+(P32*$Q$55)/$P$55</f>
        <v>1.6390608091022754</v>
      </c>
      <c r="R32" s="1269">
        <v>164.5</v>
      </c>
      <c r="S32" s="1253">
        <f>+(R32*$S$55)/$R$55</f>
        <v>0.52086631625609525</v>
      </c>
      <c r="T32" s="1257">
        <v>0.19281228892782679</v>
      </c>
      <c r="U32" s="1258">
        <f>+(T32*$U$55)/$T$55</f>
        <v>1.5148906450692146</v>
      </c>
      <c r="V32" s="1269">
        <v>5.3</v>
      </c>
      <c r="W32" s="1253">
        <f>+(V32*$W$55)/$V$55</f>
        <v>0.48446069469835462</v>
      </c>
      <c r="X32" s="1257">
        <v>6.0925829850132628E-3</v>
      </c>
      <c r="Y32" s="1253">
        <f>+(X32*$Y$55)/$X$55</f>
        <v>9.5196609140832222E-2</v>
      </c>
      <c r="Z32" s="1250">
        <f>+Y32+W32+U32+S32+Q32+O32+M32+L32+K32+J32+I32+H32</f>
        <v>416.73064535920571</v>
      </c>
      <c r="AA32" s="1245">
        <f>+'oferta economica'!C17</f>
        <v>1665733115</v>
      </c>
      <c r="AB32" s="1241" t="s">
        <v>1779</v>
      </c>
    </row>
    <row r="33" spans="1:28" s="893" customFormat="1">
      <c r="A33" s="1282"/>
      <c r="B33" s="1283"/>
      <c r="C33" s="895" t="s">
        <v>460</v>
      </c>
      <c r="D33" s="1269"/>
      <c r="E33" s="1269"/>
      <c r="F33" s="1269"/>
      <c r="G33" s="1269"/>
      <c r="H33" s="1269"/>
      <c r="I33" s="1269"/>
      <c r="J33" s="1269"/>
      <c r="K33" s="1269"/>
      <c r="L33" s="1269"/>
      <c r="M33" s="1269"/>
      <c r="N33" s="1269"/>
      <c r="O33" s="1253"/>
      <c r="P33" s="1257"/>
      <c r="Q33" s="1268"/>
      <c r="R33" s="1269"/>
      <c r="S33" s="1253"/>
      <c r="T33" s="1257"/>
      <c r="U33" s="1258"/>
      <c r="V33" s="1269"/>
      <c r="W33" s="1253"/>
      <c r="X33" s="1257"/>
      <c r="Y33" s="1253"/>
      <c r="Z33" s="1250"/>
      <c r="AA33" s="1245"/>
      <c r="AB33" s="1241"/>
    </row>
    <row r="34" spans="1:28">
      <c r="A34" s="1279" t="s">
        <v>64</v>
      </c>
      <c r="B34" s="1279" t="s">
        <v>503</v>
      </c>
      <c r="C34" s="700" t="s">
        <v>504</v>
      </c>
      <c r="D34" s="1256" t="s">
        <v>179</v>
      </c>
      <c r="E34" s="1256" t="s">
        <v>179</v>
      </c>
      <c r="F34" s="1256" t="s">
        <v>179</v>
      </c>
      <c r="G34" s="1256" t="s">
        <v>179</v>
      </c>
      <c r="H34" s="1256">
        <v>100</v>
      </c>
      <c r="I34" s="1256">
        <v>100</v>
      </c>
      <c r="J34" s="1256">
        <v>200</v>
      </c>
      <c r="K34" s="1256">
        <v>10</v>
      </c>
      <c r="L34" s="1256">
        <v>2</v>
      </c>
      <c r="M34" s="1256">
        <v>2</v>
      </c>
      <c r="N34" s="1256">
        <v>139</v>
      </c>
      <c r="O34" s="1247">
        <f>+(N34*$O$55)/$N$55</f>
        <v>0.29469131614654004</v>
      </c>
      <c r="P34" s="1246">
        <v>0.39476367195465112</v>
      </c>
      <c r="Q34" s="1262">
        <f>+(P34*$Q$55)/$P$55</f>
        <v>2.4824434373895055</v>
      </c>
      <c r="R34" s="1256">
        <v>240.5</v>
      </c>
      <c r="S34" s="1247">
        <f>+(R34*$S$55)/$R$55</f>
        <v>0.76150972072699641</v>
      </c>
      <c r="T34" s="1246">
        <v>0.43948044533257202</v>
      </c>
      <c r="U34" s="1255">
        <f>+(T34*$U$55)/$T$55</f>
        <v>3.4529169226053527</v>
      </c>
      <c r="V34" s="1256">
        <v>2</v>
      </c>
      <c r="W34" s="1247">
        <f>+(V34*$W$55)/$V$55</f>
        <v>0.18281535648994515</v>
      </c>
      <c r="X34" s="1246">
        <v>4.2004812201786226E-3</v>
      </c>
      <c r="Y34" s="1247">
        <f>+(X34*$Y$55)/$X$55</f>
        <v>6.5632519065290967E-2</v>
      </c>
      <c r="Z34" s="1249">
        <f>+Y34+W34+U34+S34+Q34+O34+M34+L34+K34+J34+I34+H34</f>
        <v>421.24000927242366</v>
      </c>
      <c r="AA34" s="1238">
        <f>+'oferta economica'!C18</f>
        <v>1699259474</v>
      </c>
    </row>
    <row r="35" spans="1:28">
      <c r="A35" s="1279"/>
      <c r="B35" s="1279"/>
      <c r="C35" s="700" t="s">
        <v>505</v>
      </c>
      <c r="D35" s="1256"/>
      <c r="E35" s="1256"/>
      <c r="F35" s="1256"/>
      <c r="G35" s="1256"/>
      <c r="H35" s="1256"/>
      <c r="I35" s="1256"/>
      <c r="J35" s="1256"/>
      <c r="K35" s="1256"/>
      <c r="L35" s="1256"/>
      <c r="M35" s="1256"/>
      <c r="N35" s="1256"/>
      <c r="O35" s="1247"/>
      <c r="P35" s="1246"/>
      <c r="Q35" s="1262"/>
      <c r="R35" s="1256"/>
      <c r="S35" s="1247"/>
      <c r="T35" s="1246"/>
      <c r="U35" s="1255"/>
      <c r="V35" s="1256"/>
      <c r="W35" s="1247"/>
      <c r="X35" s="1246"/>
      <c r="Y35" s="1247"/>
      <c r="Z35" s="1249"/>
      <c r="AA35" s="1238"/>
    </row>
    <row r="36" spans="1:28" ht="24">
      <c r="A36" s="1280" t="s">
        <v>65</v>
      </c>
      <c r="B36" s="1096" t="s">
        <v>547</v>
      </c>
      <c r="C36" s="702" t="s">
        <v>548</v>
      </c>
      <c r="D36" s="1272" t="s">
        <v>179</v>
      </c>
      <c r="E36" s="1272" t="s">
        <v>179</v>
      </c>
      <c r="F36" s="1272" t="s">
        <v>179</v>
      </c>
      <c r="G36" s="1272" t="s">
        <v>179</v>
      </c>
      <c r="H36" s="1272">
        <v>100</v>
      </c>
      <c r="I36" s="1272">
        <v>100</v>
      </c>
      <c r="J36" s="1272">
        <v>200</v>
      </c>
      <c r="K36" s="1272">
        <v>10</v>
      </c>
      <c r="L36" s="1272">
        <v>2</v>
      </c>
      <c r="M36" s="1272">
        <v>2</v>
      </c>
      <c r="N36" s="1272">
        <f>+CALIFICACION!AM203</f>
        <v>58.33</v>
      </c>
      <c r="O36" s="1261">
        <f>+(N36*$O$55)/$N$55</f>
        <v>0.12366434871099048</v>
      </c>
      <c r="P36" s="1266">
        <f>+CALIFICACION!AM206</f>
        <v>0.64645385006030598</v>
      </c>
      <c r="Q36" s="1271">
        <f>+(P36*$Q$55)/$P$55</f>
        <v>4.0651793254211528</v>
      </c>
      <c r="R36" s="1272">
        <f>+CALIFICACION!AM211</f>
        <v>35.9</v>
      </c>
      <c r="S36" s="1251">
        <f>+(R36*$S$55)/$R$55</f>
        <v>0.11367234500664937</v>
      </c>
      <c r="T36" s="1266">
        <f>+CALIFICACION!AM214</f>
        <v>0.40081666984066522</v>
      </c>
      <c r="U36" s="1265">
        <f>+(T36*$U$55)/$T$55</f>
        <v>3.149142759031835</v>
      </c>
      <c r="V36" s="1272">
        <f>+CALIFICACION!AM219</f>
        <v>7.99</v>
      </c>
      <c r="W36" s="1251">
        <f>+(V36*$W$55)/$V$55</f>
        <v>0.73034734917733091</v>
      </c>
      <c r="X36" s="1266">
        <f>+CALIFICACION!AM222</f>
        <v>8.9087634101440979E-2</v>
      </c>
      <c r="Y36" s="1251">
        <f>+(X36*$Y$55)/$X$55</f>
        <v>1.3919942828350151</v>
      </c>
      <c r="Z36" s="1287">
        <f>+Y36+W36+U36+S36+Q36+O36+M36+L36+K36+J36+I36+H36</f>
        <v>423.57400041018298</v>
      </c>
      <c r="AA36" s="1239">
        <f>+'oferta economica'!C19</f>
        <v>1694843286</v>
      </c>
    </row>
    <row r="37" spans="1:28" ht="17.25" customHeight="1">
      <c r="A37" s="1280"/>
      <c r="B37" s="1096"/>
      <c r="C37" s="702" t="s">
        <v>587</v>
      </c>
      <c r="D37" s="1272"/>
      <c r="E37" s="1272"/>
      <c r="F37" s="1272"/>
      <c r="G37" s="1272"/>
      <c r="H37" s="1272"/>
      <c r="I37" s="1272"/>
      <c r="J37" s="1272"/>
      <c r="K37" s="1272"/>
      <c r="L37" s="1272"/>
      <c r="M37" s="1272"/>
      <c r="N37" s="1272"/>
      <c r="O37" s="1261"/>
      <c r="P37" s="1266"/>
      <c r="Q37" s="1271"/>
      <c r="R37" s="1272"/>
      <c r="S37" s="1251"/>
      <c r="T37" s="1266"/>
      <c r="U37" s="1265"/>
      <c r="V37" s="1272"/>
      <c r="W37" s="1251"/>
      <c r="X37" s="1266"/>
      <c r="Y37" s="1251"/>
      <c r="Z37" s="1287"/>
      <c r="AA37" s="1239"/>
    </row>
    <row r="38" spans="1:28">
      <c r="A38" s="697" t="s">
        <v>66</v>
      </c>
      <c r="B38" s="1281" t="s">
        <v>896</v>
      </c>
      <c r="C38" s="1281"/>
      <c r="D38" s="711" t="s">
        <v>179</v>
      </c>
      <c r="E38" s="711" t="s">
        <v>179</v>
      </c>
      <c r="F38" s="711" t="s">
        <v>179</v>
      </c>
      <c r="G38" s="711" t="s">
        <v>179</v>
      </c>
      <c r="H38" s="711">
        <v>100</v>
      </c>
      <c r="I38" s="711">
        <v>100</v>
      </c>
      <c r="J38" s="711">
        <v>200</v>
      </c>
      <c r="K38" s="711">
        <v>10</v>
      </c>
      <c r="L38" s="711">
        <v>2</v>
      </c>
      <c r="M38" s="711">
        <v>0</v>
      </c>
      <c r="N38" s="711">
        <f>+CALIFICACION!AO203</f>
        <v>1546</v>
      </c>
      <c r="O38" s="927">
        <f>+(N38*$O$55)/$N$55</f>
        <v>3.2776458616010853</v>
      </c>
      <c r="P38" s="886">
        <f>+CALIFICACION!AO206</f>
        <v>0.23332327195894959</v>
      </c>
      <c r="Q38" s="720">
        <f>+(P38*$Q$55)/$P$55</f>
        <v>1.4672368974500742</v>
      </c>
      <c r="R38" s="711">
        <f>+CALIFICACION!AO211</f>
        <v>937</v>
      </c>
      <c r="S38" s="927">
        <f>+(R38*$S$55)/$R$55</f>
        <v>2.9668798682794</v>
      </c>
      <c r="T38" s="886">
        <f>+CALIFICACION!AO214</f>
        <v>0.14141261696347721</v>
      </c>
      <c r="U38" s="928">
        <f>+(T38*$U$55)/$T$55</f>
        <v>1.1110528884023363</v>
      </c>
      <c r="V38" s="711">
        <f>+CALIFICACION!AO217</f>
        <v>46</v>
      </c>
      <c r="W38" s="927">
        <f>+(V38*$W$55)/$V$55</f>
        <v>4.2047531992687386</v>
      </c>
      <c r="X38" s="886">
        <f>+CALIFICACION!AO222</f>
        <v>6.9423483247811647E-3</v>
      </c>
      <c r="Y38" s="927">
        <f>+(X38*$Y$55)/$X$55</f>
        <v>0.10847419257470567</v>
      </c>
      <c r="Z38" s="721">
        <f>+H38+I38+J38+K38+L38+M38+O38+Q38+S38+U38+W38+Y38</f>
        <v>425.13604290757632</v>
      </c>
      <c r="AA38" s="919">
        <f>+'oferta economica'!C20</f>
        <v>1681995466</v>
      </c>
    </row>
    <row r="39" spans="1:28">
      <c r="A39" s="1280" t="s">
        <v>67</v>
      </c>
      <c r="B39" s="1096" t="s">
        <v>604</v>
      </c>
      <c r="C39" s="702" t="s">
        <v>605</v>
      </c>
      <c r="D39" s="1272" t="s">
        <v>179</v>
      </c>
      <c r="E39" s="1272" t="s">
        <v>179</v>
      </c>
      <c r="F39" s="1272" t="s">
        <v>179</v>
      </c>
      <c r="G39" s="1272" t="s">
        <v>179</v>
      </c>
      <c r="H39" s="1272">
        <v>100</v>
      </c>
      <c r="I39" s="1272">
        <v>100</v>
      </c>
      <c r="J39" s="1272">
        <v>200</v>
      </c>
      <c r="K39" s="1272">
        <v>10</v>
      </c>
      <c r="L39" s="1272">
        <v>2</v>
      </c>
      <c r="M39" s="1272">
        <v>2</v>
      </c>
      <c r="N39" s="1272">
        <v>624.06000000000006</v>
      </c>
      <c r="O39" s="1261">
        <f>+(N39*$O$55)/$N$55</f>
        <v>1.3230580054274084</v>
      </c>
      <c r="P39" s="1266">
        <v>0.29425817160367729</v>
      </c>
      <c r="Q39" s="1271">
        <f>+(P39*$Q$55)/$P$55</f>
        <v>1.850421705165662</v>
      </c>
      <c r="R39" s="1272">
        <v>302.93</v>
      </c>
      <c r="S39" s="1251">
        <f>+(R39*$S$55)/$R$55</f>
        <v>0.95918561205750119</v>
      </c>
      <c r="T39" s="1266">
        <v>0.14334215753035975</v>
      </c>
      <c r="U39" s="1265">
        <f>+(T39*$U$55)/$T$55</f>
        <v>1.1262129332848803</v>
      </c>
      <c r="V39" s="1272">
        <v>13.889999999999999</v>
      </c>
      <c r="W39" s="1251">
        <f>+(V39*$W$55)/$V$55</f>
        <v>1.2696526508226689</v>
      </c>
      <c r="X39" s="1266">
        <v>6.549370105549881E-3</v>
      </c>
      <c r="Y39" s="1251">
        <f>+(X39*$Y$55)/$X$55</f>
        <v>0.10233390789921688</v>
      </c>
      <c r="Z39" s="1248">
        <f>+Y39+W39+U39+S39+Q39+O39+M39+L39+K39+J39+I39+H39</f>
        <v>420.63086481465734</v>
      </c>
      <c r="AA39" s="1240">
        <f>+'oferta economica'!C21</f>
        <v>1675138834</v>
      </c>
    </row>
    <row r="40" spans="1:28">
      <c r="A40" s="1280"/>
      <c r="B40" s="1096"/>
      <c r="C40" s="703" t="s">
        <v>606</v>
      </c>
      <c r="D40" s="1272"/>
      <c r="E40" s="1272"/>
      <c r="F40" s="1272"/>
      <c r="G40" s="1272"/>
      <c r="H40" s="1272"/>
      <c r="I40" s="1272"/>
      <c r="J40" s="1272"/>
      <c r="K40" s="1272"/>
      <c r="L40" s="1272"/>
      <c r="M40" s="1272"/>
      <c r="N40" s="1272"/>
      <c r="O40" s="1261"/>
      <c r="P40" s="1266"/>
      <c r="Q40" s="1271"/>
      <c r="R40" s="1272"/>
      <c r="S40" s="1251"/>
      <c r="T40" s="1266"/>
      <c r="U40" s="1265"/>
      <c r="V40" s="1272"/>
      <c r="W40" s="1251"/>
      <c r="X40" s="1266"/>
      <c r="Y40" s="1251"/>
      <c r="Z40" s="1248"/>
      <c r="AA40" s="1240"/>
    </row>
    <row r="41" spans="1:28">
      <c r="A41" s="1279" t="s">
        <v>69</v>
      </c>
      <c r="B41" s="1279" t="s">
        <v>1557</v>
      </c>
      <c r="C41" s="700" t="s">
        <v>1559</v>
      </c>
      <c r="D41" s="1256" t="s">
        <v>179</v>
      </c>
      <c r="E41" s="1256" t="s">
        <v>179</v>
      </c>
      <c r="F41" s="1256" t="s">
        <v>179</v>
      </c>
      <c r="G41" s="1256" t="s">
        <v>179</v>
      </c>
      <c r="H41" s="1256">
        <v>100</v>
      </c>
      <c r="I41" s="1256">
        <v>100</v>
      </c>
      <c r="J41" s="1256">
        <v>200</v>
      </c>
      <c r="K41" s="1256">
        <v>10</v>
      </c>
      <c r="L41" s="1256">
        <v>2</v>
      </c>
      <c r="M41" s="1256">
        <v>2</v>
      </c>
      <c r="N41" s="1256">
        <f>+CALIFICACION!AR203</f>
        <v>375.1</v>
      </c>
      <c r="O41" s="1247">
        <v>0.19462347354138398</v>
      </c>
      <c r="P41" s="1246">
        <f>+CALIFICACION!AR206</f>
        <v>0.23764406300531948</v>
      </c>
      <c r="Q41" s="1262">
        <v>1.4975831076671635</v>
      </c>
      <c r="R41" s="1256">
        <f>+CALIFICACION!AR211</f>
        <v>349.95</v>
      </c>
      <c r="S41" s="1247">
        <v>0.76150972072699641</v>
      </c>
      <c r="T41" s="1246">
        <f>+CALIFICACION!AR214</f>
        <v>0.23836579454589812</v>
      </c>
      <c r="U41" s="1255">
        <v>1.0944581915748672</v>
      </c>
      <c r="V41" s="1256">
        <f>+CALIFICACION!AR219</f>
        <v>18.850000000000001</v>
      </c>
      <c r="W41" s="1247">
        <v>0.35018790570550051</v>
      </c>
      <c r="X41" s="1246">
        <f>+CALIFICACION!AR222</f>
        <v>5.9051956264880495E-2</v>
      </c>
      <c r="Y41" s="1247">
        <v>0.24764503588516742</v>
      </c>
      <c r="Z41" s="1249">
        <v>421.94911079193014</v>
      </c>
      <c r="AA41" s="1238">
        <f>+'oferta economica'!C22</f>
        <v>1688879396</v>
      </c>
    </row>
    <row r="42" spans="1:28">
      <c r="A42" s="1279"/>
      <c r="B42" s="1279"/>
      <c r="C42" s="700" t="s">
        <v>1560</v>
      </c>
      <c r="D42" s="1256"/>
      <c r="E42" s="1256"/>
      <c r="F42" s="1256"/>
      <c r="G42" s="1256"/>
      <c r="H42" s="1256"/>
      <c r="I42" s="1256"/>
      <c r="J42" s="1256"/>
      <c r="K42" s="1256"/>
      <c r="L42" s="1256"/>
      <c r="M42" s="1256"/>
      <c r="N42" s="1256"/>
      <c r="O42" s="1247"/>
      <c r="P42" s="1246"/>
      <c r="Q42" s="1262"/>
      <c r="R42" s="1256"/>
      <c r="S42" s="1247"/>
      <c r="T42" s="1246"/>
      <c r="U42" s="1255"/>
      <c r="V42" s="1256"/>
      <c r="W42" s="1247"/>
      <c r="X42" s="1246"/>
      <c r="Y42" s="1247"/>
      <c r="Z42" s="1249"/>
      <c r="AA42" s="1238"/>
    </row>
    <row r="43" spans="1:28">
      <c r="A43" s="1279"/>
      <c r="B43" s="1279"/>
      <c r="C43" s="700" t="s">
        <v>1561</v>
      </c>
      <c r="D43" s="1256"/>
      <c r="E43" s="1256"/>
      <c r="F43" s="1256"/>
      <c r="G43" s="1256"/>
      <c r="H43" s="1256"/>
      <c r="I43" s="1256"/>
      <c r="J43" s="1256"/>
      <c r="K43" s="1256"/>
      <c r="L43" s="1256"/>
      <c r="M43" s="1256"/>
      <c r="N43" s="1256"/>
      <c r="O43" s="1247"/>
      <c r="P43" s="1246"/>
      <c r="Q43" s="1262"/>
      <c r="R43" s="1256"/>
      <c r="S43" s="1247"/>
      <c r="T43" s="1246"/>
      <c r="U43" s="1255"/>
      <c r="V43" s="1256"/>
      <c r="W43" s="1247"/>
      <c r="X43" s="1246"/>
      <c r="Y43" s="1247"/>
      <c r="Z43" s="1249"/>
      <c r="AA43" s="1238"/>
    </row>
    <row r="44" spans="1:28">
      <c r="A44" s="1280" t="s">
        <v>71</v>
      </c>
      <c r="B44" s="1280" t="s">
        <v>1558</v>
      </c>
      <c r="C44" s="699" t="s">
        <v>1562</v>
      </c>
      <c r="D44" s="1272" t="s">
        <v>179</v>
      </c>
      <c r="E44" s="1272" t="s">
        <v>179</v>
      </c>
      <c r="F44" s="1272" t="s">
        <v>179</v>
      </c>
      <c r="G44" s="1272" t="s">
        <v>179</v>
      </c>
      <c r="H44" s="1272">
        <v>100</v>
      </c>
      <c r="I44" s="1272">
        <v>100</v>
      </c>
      <c r="J44" s="1272">
        <v>200</v>
      </c>
      <c r="K44" s="1272">
        <v>10</v>
      </c>
      <c r="L44" s="1272">
        <v>2</v>
      </c>
      <c r="M44" s="1272">
        <v>2</v>
      </c>
      <c r="N44" s="1272">
        <v>2358.4</v>
      </c>
      <c r="O44" s="1261">
        <f>+(N44*$O$55)/$N$55</f>
        <v>5</v>
      </c>
      <c r="P44" s="1266">
        <v>0.28973491161991327</v>
      </c>
      <c r="Q44" s="1271">
        <f>+(P44*$Q$55)/$P$55</f>
        <v>1.8219775045969953</v>
      </c>
      <c r="R44" s="1272">
        <v>698</v>
      </c>
      <c r="S44" s="1251">
        <v>0.76150972072699641</v>
      </c>
      <c r="T44" s="1266">
        <v>9.7214652445863137E-2</v>
      </c>
      <c r="U44" s="1265">
        <f>+(T44*$U$55)/$T$55</f>
        <v>0.76379762085091385</v>
      </c>
      <c r="V44" s="1272">
        <v>54.7</v>
      </c>
      <c r="W44" s="1251">
        <f>+(V44*$W$55)/$V$55</f>
        <v>5</v>
      </c>
      <c r="X44" s="1266">
        <v>9.4439209272009182E-3</v>
      </c>
      <c r="Y44" s="1251">
        <f>+(X44*$Y$55)/$X$55</f>
        <v>0.14756126448751433</v>
      </c>
      <c r="Z44" s="1248">
        <f>+Y44+W44+U44+S44+Q44+O44+M44+L44+K44+J44+I44+H44</f>
        <v>427.49484611066242</v>
      </c>
      <c r="AA44" s="1240">
        <f>+'oferta economica'!C23</f>
        <v>1687677708</v>
      </c>
    </row>
    <row r="45" spans="1:28">
      <c r="A45" s="1280"/>
      <c r="B45" s="1280"/>
      <c r="C45" s="699" t="s">
        <v>1563</v>
      </c>
      <c r="D45" s="1272"/>
      <c r="E45" s="1272"/>
      <c r="F45" s="1272"/>
      <c r="G45" s="1272"/>
      <c r="H45" s="1272"/>
      <c r="I45" s="1272"/>
      <c r="J45" s="1272"/>
      <c r="K45" s="1272"/>
      <c r="L45" s="1272"/>
      <c r="M45" s="1272"/>
      <c r="N45" s="1272"/>
      <c r="O45" s="1261"/>
      <c r="P45" s="1266"/>
      <c r="Q45" s="1271"/>
      <c r="R45" s="1272"/>
      <c r="S45" s="1251"/>
      <c r="T45" s="1266"/>
      <c r="U45" s="1265"/>
      <c r="V45" s="1272"/>
      <c r="W45" s="1251"/>
      <c r="X45" s="1266"/>
      <c r="Y45" s="1251"/>
      <c r="Z45" s="1248"/>
      <c r="AA45" s="1240"/>
    </row>
    <row r="46" spans="1:28">
      <c r="A46" s="697" t="s">
        <v>72</v>
      </c>
      <c r="B46" s="1279" t="s">
        <v>788</v>
      </c>
      <c r="C46" s="1279"/>
      <c r="D46" s="711" t="s">
        <v>179</v>
      </c>
      <c r="E46" s="711" t="s">
        <v>179</v>
      </c>
      <c r="F46" s="711" t="s">
        <v>823</v>
      </c>
      <c r="G46" s="711" t="s">
        <v>179</v>
      </c>
      <c r="H46" s="711">
        <v>100</v>
      </c>
      <c r="I46" s="711">
        <v>100</v>
      </c>
      <c r="J46" s="711">
        <v>200</v>
      </c>
      <c r="K46" s="711">
        <v>10</v>
      </c>
      <c r="L46" s="711">
        <v>2</v>
      </c>
      <c r="M46" s="711">
        <v>0</v>
      </c>
      <c r="N46" s="711">
        <v>305</v>
      </c>
      <c r="O46" s="927">
        <f>+(N46*$O$55)/$N$55</f>
        <v>0.64662483039348706</v>
      </c>
      <c r="P46" s="886">
        <v>0.30019685039370081</v>
      </c>
      <c r="Q46" s="720">
        <f>+(P46*$Q$55)/$P$55</f>
        <v>1.8877666668133786</v>
      </c>
      <c r="R46" s="711">
        <v>238</v>
      </c>
      <c r="S46" s="927">
        <f>+(R46*$S$55)/$R$55</f>
        <v>0.75359381926413782</v>
      </c>
      <c r="T46" s="886">
        <v>0.23425196850393701</v>
      </c>
      <c r="U46" s="928">
        <f>+(T46*$U$55)/$T$55</f>
        <v>1.8404745758113759</v>
      </c>
      <c r="V46" s="711">
        <v>4</v>
      </c>
      <c r="W46" s="927">
        <f>+(V46*$W$55)/$V$55</f>
        <v>0.3656307129798903</v>
      </c>
      <c r="X46" s="886">
        <v>3.937007874015748E-3</v>
      </c>
      <c r="Y46" s="927">
        <f>+(X46*$Y$55)/$X$55</f>
        <v>6.1515748031496051E-2</v>
      </c>
      <c r="Z46" s="721">
        <f>+H46+I46+J46+K46+L46+M46+O46+Q46+S46+U46+W46+Y46</f>
        <v>417.55560635329374</v>
      </c>
      <c r="AA46" s="919">
        <f>+'oferta economica'!C24</f>
        <v>1676205638</v>
      </c>
    </row>
    <row r="47" spans="1:28">
      <c r="A47" s="1280" t="s">
        <v>73</v>
      </c>
      <c r="B47" s="1280" t="s">
        <v>1110</v>
      </c>
      <c r="C47" s="699" t="s">
        <v>1111</v>
      </c>
      <c r="D47" s="1272" t="s">
        <v>179</v>
      </c>
      <c r="E47" s="1272" t="s">
        <v>179</v>
      </c>
      <c r="F47" s="1272" t="s">
        <v>179</v>
      </c>
      <c r="G47" s="1272" t="s">
        <v>179</v>
      </c>
      <c r="H47" s="1272">
        <v>100</v>
      </c>
      <c r="I47" s="1272">
        <v>100</v>
      </c>
      <c r="J47" s="1272">
        <v>200</v>
      </c>
      <c r="K47" s="1272">
        <v>10</v>
      </c>
      <c r="L47" s="1272">
        <v>2</v>
      </c>
      <c r="M47" s="1272">
        <v>2</v>
      </c>
      <c r="N47" s="1272">
        <f>+CALIFICACION!AX203</f>
        <v>111.4</v>
      </c>
      <c r="O47" s="1261">
        <f>+(N47*$O$55)/$N$55</f>
        <v>0.23617706919945725</v>
      </c>
      <c r="P47" s="1266">
        <f>+CALIFICACION!AX206</f>
        <v>0.17703013481363999</v>
      </c>
      <c r="Q47" s="1271">
        <f>+(P47*$Q$55)/$P$55</f>
        <v>1.1132414849935439</v>
      </c>
      <c r="R47" s="1272">
        <f>+CALIFICACION!AX211</f>
        <v>213.8</v>
      </c>
      <c r="S47" s="1251">
        <v>0.76150972072699641</v>
      </c>
      <c r="T47" s="1266">
        <f>+CALIFICACION!AX214</f>
        <v>0.49206026962728</v>
      </c>
      <c r="U47" s="1265">
        <f>+(T47*$U$55)/$T$55</f>
        <v>3.8660269187905625</v>
      </c>
      <c r="V47" s="1272">
        <f>+CALIFICACION!AX219</f>
        <v>5.4</v>
      </c>
      <c r="W47" s="1251">
        <f>+(V47*$W$55)/$V$55</f>
        <v>0.49360146252285192</v>
      </c>
      <c r="X47" s="1266">
        <f>+CALIFICACION!AX222</f>
        <v>7.5951625693893729E-2</v>
      </c>
      <c r="Y47" s="1251">
        <f>+(X47*$Y$55)/$X$55</f>
        <v>1.1867441514670893</v>
      </c>
      <c r="Z47" s="1248">
        <f>+Y47+W47+U47+S47+Q47+O47+M47+L47+K47+J47+I47+H47</f>
        <v>421.65730080770049</v>
      </c>
      <c r="AA47" s="1240">
        <f>+'oferta economica'!C25</f>
        <v>1651139329</v>
      </c>
    </row>
    <row r="48" spans="1:28">
      <c r="A48" s="1280"/>
      <c r="B48" s="1280"/>
      <c r="C48" s="699" t="s">
        <v>1112</v>
      </c>
      <c r="D48" s="1272"/>
      <c r="E48" s="1272"/>
      <c r="F48" s="1272"/>
      <c r="G48" s="1272"/>
      <c r="H48" s="1272"/>
      <c r="I48" s="1272"/>
      <c r="J48" s="1272"/>
      <c r="K48" s="1272"/>
      <c r="L48" s="1272"/>
      <c r="M48" s="1272"/>
      <c r="N48" s="1272"/>
      <c r="O48" s="1261"/>
      <c r="P48" s="1266"/>
      <c r="Q48" s="1271"/>
      <c r="R48" s="1272"/>
      <c r="S48" s="1251"/>
      <c r="T48" s="1266"/>
      <c r="U48" s="1265"/>
      <c r="V48" s="1272"/>
      <c r="W48" s="1251"/>
      <c r="X48" s="1266"/>
      <c r="Y48" s="1251"/>
      <c r="Z48" s="1248"/>
      <c r="AA48" s="1240"/>
    </row>
    <row r="49" spans="1:28">
      <c r="A49" s="1279" t="s">
        <v>74</v>
      </c>
      <c r="B49" s="1281" t="s">
        <v>682</v>
      </c>
      <c r="C49" s="704" t="s">
        <v>649</v>
      </c>
      <c r="D49" s="1256" t="s">
        <v>179</v>
      </c>
      <c r="E49" s="1256" t="s">
        <v>179</v>
      </c>
      <c r="F49" s="1256" t="s">
        <v>179</v>
      </c>
      <c r="G49" s="1256" t="s">
        <v>179</v>
      </c>
      <c r="H49" s="1256">
        <v>100</v>
      </c>
      <c r="I49" s="1256">
        <v>100</v>
      </c>
      <c r="J49" s="1256">
        <v>200</v>
      </c>
      <c r="K49" s="1256">
        <v>10</v>
      </c>
      <c r="L49" s="1256">
        <v>0</v>
      </c>
      <c r="M49" s="1256">
        <v>2</v>
      </c>
      <c r="N49" s="1256">
        <v>594.5</v>
      </c>
      <c r="O49" s="1247">
        <f>+(N49*$O$55)/$N$55</f>
        <v>1.2603883989145184</v>
      </c>
      <c r="P49" s="1246">
        <v>0.32419640986837323</v>
      </c>
      <c r="Q49" s="1262">
        <f>+(P49*$Q$55)/$P$55</f>
        <v>2.0386861995635543</v>
      </c>
      <c r="R49" s="1256">
        <v>407.5</v>
      </c>
      <c r="S49" s="1247">
        <v>0.76150972072699641</v>
      </c>
      <c r="T49" s="1246">
        <v>0.19539968963615612</v>
      </c>
      <c r="U49" s="1255">
        <f>+(T49*$U$55)/$T$55</f>
        <v>1.5352193759291066</v>
      </c>
      <c r="V49" s="1256">
        <v>5.5</v>
      </c>
      <c r="W49" s="1247">
        <f>+(V49*$W$55)/$V$55</f>
        <v>0.50274223034734911</v>
      </c>
      <c r="X49" s="1246">
        <v>9.2138731783224116E-3</v>
      </c>
      <c r="Y49" s="1247">
        <f>+(X49*$Y$55)/$X$55</f>
        <v>0.14396676841128764</v>
      </c>
      <c r="Z49" s="1249">
        <f>+Y49+W49+U49+S49+Q49+O49+M49+L49+K49+J49+I49+H49</f>
        <v>418.24251269389282</v>
      </c>
      <c r="AA49" s="1238">
        <f>+'oferta economica'!C26</f>
        <v>1708546803</v>
      </c>
    </row>
    <row r="50" spans="1:28" ht="24">
      <c r="A50" s="1279"/>
      <c r="B50" s="1281"/>
      <c r="C50" s="704" t="s">
        <v>650</v>
      </c>
      <c r="D50" s="1256"/>
      <c r="E50" s="1256"/>
      <c r="F50" s="1256"/>
      <c r="G50" s="1256"/>
      <c r="H50" s="1256"/>
      <c r="I50" s="1256"/>
      <c r="J50" s="1256"/>
      <c r="K50" s="1256"/>
      <c r="L50" s="1256"/>
      <c r="M50" s="1256"/>
      <c r="N50" s="1256"/>
      <c r="O50" s="1247"/>
      <c r="P50" s="1246"/>
      <c r="Q50" s="1262"/>
      <c r="R50" s="1256"/>
      <c r="S50" s="1247"/>
      <c r="T50" s="1246"/>
      <c r="U50" s="1255"/>
      <c r="V50" s="1256"/>
      <c r="W50" s="1247"/>
      <c r="X50" s="1246"/>
      <c r="Y50" s="1247"/>
      <c r="Z50" s="1249"/>
      <c r="AA50" s="1238"/>
    </row>
    <row r="51" spans="1:28" s="893" customFormat="1">
      <c r="A51" s="896" t="s">
        <v>75</v>
      </c>
      <c r="B51" s="896" t="s">
        <v>1005</v>
      </c>
      <c r="C51" s="897" t="s">
        <v>1005</v>
      </c>
      <c r="D51" s="921" t="s">
        <v>999</v>
      </c>
      <c r="E51" s="921" t="s">
        <v>179</v>
      </c>
      <c r="F51" s="921" t="s">
        <v>823</v>
      </c>
      <c r="G51" s="921" t="s">
        <v>179</v>
      </c>
      <c r="H51" s="921">
        <v>100</v>
      </c>
      <c r="I51" s="921">
        <v>100</v>
      </c>
      <c r="J51" s="921">
        <v>200</v>
      </c>
      <c r="K51" s="921">
        <v>10</v>
      </c>
      <c r="L51" s="921">
        <v>2</v>
      </c>
      <c r="M51" s="921">
        <v>0</v>
      </c>
      <c r="N51" s="921">
        <f>+CALIFICACION!BB203</f>
        <v>272</v>
      </c>
      <c r="O51" s="929">
        <f>+(N51*$O$55)/$N$55</f>
        <v>0.57666214382632286</v>
      </c>
      <c r="P51" s="898">
        <f>+CALIFICACION!BB206</f>
        <v>0.2177742193755004</v>
      </c>
      <c r="Q51" s="930">
        <f>+(P51*$Q$55)/$P$55</f>
        <v>1.3694577797509109</v>
      </c>
      <c r="R51" s="921">
        <f>+CALIFICACION!BB211</f>
        <v>263</v>
      </c>
      <c r="S51" s="929">
        <f>+(R51*$S$55)/$R$55</f>
        <v>0.8327528338927237</v>
      </c>
      <c r="T51" s="898">
        <f>+CALIFICACION!BB214</f>
        <v>0.21056845476381106</v>
      </c>
      <c r="U51" s="931">
        <f>+(T51*$U$55)/$T$55</f>
        <v>1.6543975700002227</v>
      </c>
      <c r="V51" s="921">
        <f>+CALIFICACION!BB219</f>
        <v>13</v>
      </c>
      <c r="W51" s="929">
        <f>+(V51*$W$55)/$V$55</f>
        <v>1.1882998171846435</v>
      </c>
      <c r="X51" s="898">
        <v>2.4019215372297837E-3</v>
      </c>
      <c r="Y51" s="929">
        <f>+(X51*$Y$55)/$X$55</f>
        <v>3.7530024019215361E-2</v>
      </c>
      <c r="Z51" s="899">
        <f>+H51+I51+J51+K51+L51+M51+O51+Q51+S51+U51+W51+Y51</f>
        <v>417.659100168674</v>
      </c>
      <c r="AA51" s="920">
        <f>+'oferta economica'!C27</f>
        <v>1437082748</v>
      </c>
      <c r="AB51" s="893" t="s">
        <v>1779</v>
      </c>
    </row>
    <row r="52" spans="1:28">
      <c r="A52" s="1279" t="s">
        <v>96</v>
      </c>
      <c r="B52" s="1281" t="s">
        <v>696</v>
      </c>
      <c r="C52" s="704" t="s">
        <v>697</v>
      </c>
      <c r="D52" s="1256" t="s">
        <v>179</v>
      </c>
      <c r="E52" s="1256" t="s">
        <v>179</v>
      </c>
      <c r="F52" s="1256" t="s">
        <v>179</v>
      </c>
      <c r="G52" s="1256" t="s">
        <v>179</v>
      </c>
      <c r="H52" s="1256">
        <v>100</v>
      </c>
      <c r="I52" s="1256">
        <v>100</v>
      </c>
      <c r="J52" s="1256">
        <v>200</v>
      </c>
      <c r="K52" s="1256">
        <v>10</v>
      </c>
      <c r="L52" s="1256">
        <v>2</v>
      </c>
      <c r="M52" s="1256">
        <v>2</v>
      </c>
      <c r="N52" s="1256">
        <v>54</v>
      </c>
      <c r="O52" s="1247">
        <f>+(N52*$O$55)/$N$55</f>
        <v>0.1144843962008141</v>
      </c>
      <c r="P52" s="1246">
        <v>0.27551020408163268</v>
      </c>
      <c r="Q52" s="1262">
        <f>+(P52*$Q$55)/$P$55</f>
        <v>1.7325264370700768</v>
      </c>
      <c r="R52" s="1256">
        <v>15.3</v>
      </c>
      <c r="S52" s="1247">
        <v>0.76150972072699641</v>
      </c>
      <c r="T52" s="1246">
        <v>7.8061224489795925E-2</v>
      </c>
      <c r="U52" s="1255">
        <f>+(T52*$U$55)/$T$55</f>
        <v>0.61331266476746438</v>
      </c>
      <c r="V52" s="1256">
        <v>4.5</v>
      </c>
      <c r="W52" s="1247">
        <f>+(V52*$W$55)/$V$55</f>
        <v>0.41133455210237657</v>
      </c>
      <c r="X52" s="1246">
        <v>2.2959183673469389E-2</v>
      </c>
      <c r="Y52" s="1247">
        <f>+(X52*$Y$55)/$X$55</f>
        <v>0.35873724489795911</v>
      </c>
      <c r="Z52" s="1249">
        <f>+Y52+W52+U52+S52+Q52+O52+M52+L52+K52+J52+I52+H52</f>
        <v>417.99190501576572</v>
      </c>
      <c r="AA52" s="1238">
        <f>+'oferta economica'!C28</f>
        <v>1684137648</v>
      </c>
    </row>
    <row r="53" spans="1:28">
      <c r="A53" s="1279"/>
      <c r="B53" s="1281"/>
      <c r="C53" s="704" t="s">
        <v>698</v>
      </c>
      <c r="D53" s="1256"/>
      <c r="E53" s="1256"/>
      <c r="F53" s="1256"/>
      <c r="G53" s="1256"/>
      <c r="H53" s="1256"/>
      <c r="I53" s="1256"/>
      <c r="J53" s="1256"/>
      <c r="K53" s="1256"/>
      <c r="L53" s="1256"/>
      <c r="M53" s="1256"/>
      <c r="N53" s="1256"/>
      <c r="O53" s="1247"/>
      <c r="P53" s="1246"/>
      <c r="Q53" s="1262"/>
      <c r="R53" s="1256"/>
      <c r="S53" s="1247"/>
      <c r="T53" s="1246"/>
      <c r="U53" s="1255"/>
      <c r="V53" s="1256"/>
      <c r="W53" s="1247"/>
      <c r="X53" s="1246"/>
      <c r="Y53" s="1247"/>
      <c r="Z53" s="1249"/>
      <c r="AA53" s="1238"/>
    </row>
    <row r="55" spans="1:28">
      <c r="N55">
        <f>+LARGE(N3:N53,1)</f>
        <v>2358.4</v>
      </c>
      <c r="O55" s="706">
        <v>5</v>
      </c>
      <c r="P55" s="887">
        <f>+LARGE(P3:P53,1)</f>
        <v>0.7951111111111111</v>
      </c>
      <c r="Q55" s="705">
        <v>5</v>
      </c>
      <c r="R55">
        <f>+LARGE(R3:R53,1)</f>
        <v>1579.1</v>
      </c>
      <c r="S55" s="706">
        <v>5</v>
      </c>
      <c r="T55" s="887">
        <f>+LARGE(T3:T53,1)</f>
        <v>0.63639012345679014</v>
      </c>
      <c r="U55" s="890">
        <v>5</v>
      </c>
      <c r="V55">
        <f>+LARGE(V3:V53,1)</f>
        <v>54.7</v>
      </c>
      <c r="W55" s="706">
        <v>5</v>
      </c>
      <c r="X55" s="887">
        <f>+LARGE(X3:X53,1)</f>
        <v>0.32000000000000006</v>
      </c>
      <c r="Y55" s="706">
        <v>5</v>
      </c>
    </row>
  </sheetData>
  <sheetProtection password="CC5B" sheet="1" objects="1"/>
  <mergeCells count="572">
    <mergeCell ref="B3:C3"/>
    <mergeCell ref="Z36:Z37"/>
    <mergeCell ref="N1:Q1"/>
    <mergeCell ref="R1:U1"/>
    <mergeCell ref="V1:Y1"/>
    <mergeCell ref="Z1:Z2"/>
    <mergeCell ref="B4:B5"/>
    <mergeCell ref="B6:C6"/>
    <mergeCell ref="K4:K5"/>
    <mergeCell ref="N4:N5"/>
    <mergeCell ref="P4:P5"/>
    <mergeCell ref="Q4:Q5"/>
    <mergeCell ref="R4:R5"/>
    <mergeCell ref="T4:T5"/>
    <mergeCell ref="U4:U5"/>
    <mergeCell ref="B14:B15"/>
    <mergeCell ref="B16:B17"/>
    <mergeCell ref="B7:C7"/>
    <mergeCell ref="A8:A9"/>
    <mergeCell ref="B8:B9"/>
    <mergeCell ref="A10:A11"/>
    <mergeCell ref="B10:B11"/>
    <mergeCell ref="A12:A13"/>
    <mergeCell ref="B12:B13"/>
    <mergeCell ref="AA30:AA31"/>
    <mergeCell ref="V4:V5"/>
    <mergeCell ref="A4:A5"/>
    <mergeCell ref="A14:A15"/>
    <mergeCell ref="A16:A17"/>
    <mergeCell ref="A21:A22"/>
    <mergeCell ref="B21:B22"/>
    <mergeCell ref="B23:C23"/>
    <mergeCell ref="A24:A25"/>
    <mergeCell ref="B24:B25"/>
    <mergeCell ref="A26:A27"/>
    <mergeCell ref="B26:B27"/>
    <mergeCell ref="A18:A20"/>
    <mergeCell ref="B18:B20"/>
    <mergeCell ref="A32:A33"/>
    <mergeCell ref="B32:B33"/>
    <mergeCell ref="A34:A35"/>
    <mergeCell ref="B34:B35"/>
    <mergeCell ref="A36:A37"/>
    <mergeCell ref="B36:B37"/>
    <mergeCell ref="A28:A29"/>
    <mergeCell ref="B28:B29"/>
    <mergeCell ref="A30:A31"/>
    <mergeCell ref="B30:B31"/>
    <mergeCell ref="B46:C46"/>
    <mergeCell ref="A47:A48"/>
    <mergeCell ref="B47:B48"/>
    <mergeCell ref="A49:A50"/>
    <mergeCell ref="B49:B50"/>
    <mergeCell ref="A52:A53"/>
    <mergeCell ref="B52:B53"/>
    <mergeCell ref="B38:C38"/>
    <mergeCell ref="A39:A40"/>
    <mergeCell ref="B39:B40"/>
    <mergeCell ref="A41:A43"/>
    <mergeCell ref="B41:B43"/>
    <mergeCell ref="A44:A45"/>
    <mergeCell ref="B44:B45"/>
    <mergeCell ref="D8:D9"/>
    <mergeCell ref="E8:E9"/>
    <mergeCell ref="G8:G9"/>
    <mergeCell ref="K8:K9"/>
    <mergeCell ref="N8:N9"/>
    <mergeCell ref="D1:D2"/>
    <mergeCell ref="F1:F2"/>
    <mergeCell ref="D4:D5"/>
    <mergeCell ref="E4:E5"/>
    <mergeCell ref="H1:H2"/>
    <mergeCell ref="I1:I2"/>
    <mergeCell ref="J1:J2"/>
    <mergeCell ref="K1:K2"/>
    <mergeCell ref="L1:L2"/>
    <mergeCell ref="L4:L5"/>
    <mergeCell ref="M1:M2"/>
    <mergeCell ref="G1:G2"/>
    <mergeCell ref="D12:D13"/>
    <mergeCell ref="E12:E13"/>
    <mergeCell ref="G12:G13"/>
    <mergeCell ref="K12:K13"/>
    <mergeCell ref="F12:F13"/>
    <mergeCell ref="H12:H13"/>
    <mergeCell ref="I12:I13"/>
    <mergeCell ref="J12:J13"/>
    <mergeCell ref="P10:P11"/>
    <mergeCell ref="F10:F11"/>
    <mergeCell ref="H10:H11"/>
    <mergeCell ref="I10:I11"/>
    <mergeCell ref="J10:J11"/>
    <mergeCell ref="L10:L11"/>
    <mergeCell ref="M10:M11"/>
    <mergeCell ref="L12:L13"/>
    <mergeCell ref="M12:M13"/>
    <mergeCell ref="N12:N13"/>
    <mergeCell ref="D10:D11"/>
    <mergeCell ref="E10:E11"/>
    <mergeCell ref="G10:G11"/>
    <mergeCell ref="K10:K11"/>
    <mergeCell ref="N10:N11"/>
    <mergeCell ref="D16:D17"/>
    <mergeCell ref="E16:E17"/>
    <mergeCell ref="G16:G17"/>
    <mergeCell ref="K16:K17"/>
    <mergeCell ref="F16:F17"/>
    <mergeCell ref="H16:H17"/>
    <mergeCell ref="I16:I17"/>
    <mergeCell ref="J16:J17"/>
    <mergeCell ref="P14:P15"/>
    <mergeCell ref="D14:D15"/>
    <mergeCell ref="E14:E15"/>
    <mergeCell ref="G14:G15"/>
    <mergeCell ref="K14:K15"/>
    <mergeCell ref="N14:N15"/>
    <mergeCell ref="L16:L17"/>
    <mergeCell ref="M16:M17"/>
    <mergeCell ref="F14:F15"/>
    <mergeCell ref="H14:H15"/>
    <mergeCell ref="I14:I15"/>
    <mergeCell ref="J14:J15"/>
    <mergeCell ref="L14:L15"/>
    <mergeCell ref="M14:M15"/>
    <mergeCell ref="N16:N17"/>
    <mergeCell ref="P18:P20"/>
    <mergeCell ref="Q18:Q20"/>
    <mergeCell ref="R18:R20"/>
    <mergeCell ref="S18:S20"/>
    <mergeCell ref="T18:T20"/>
    <mergeCell ref="Q16:Q17"/>
    <mergeCell ref="R16:R17"/>
    <mergeCell ref="T16:T17"/>
    <mergeCell ref="U16:U17"/>
    <mergeCell ref="D21:D22"/>
    <mergeCell ref="E21:E22"/>
    <mergeCell ref="G21:G22"/>
    <mergeCell ref="K21:K22"/>
    <mergeCell ref="F21:F22"/>
    <mergeCell ref="H21:H22"/>
    <mergeCell ref="I21:I22"/>
    <mergeCell ref="J21:J22"/>
    <mergeCell ref="O18:O20"/>
    <mergeCell ref="D18:D20"/>
    <mergeCell ref="E18:E20"/>
    <mergeCell ref="G18:G20"/>
    <mergeCell ref="K18:K20"/>
    <mergeCell ref="N18:N20"/>
    <mergeCell ref="F18:F20"/>
    <mergeCell ref="H18:H20"/>
    <mergeCell ref="I18:I20"/>
    <mergeCell ref="J18:J20"/>
    <mergeCell ref="L18:L20"/>
    <mergeCell ref="M18:M20"/>
    <mergeCell ref="L21:L22"/>
    <mergeCell ref="M21:M22"/>
    <mergeCell ref="N21:N22"/>
    <mergeCell ref="D26:D27"/>
    <mergeCell ref="E26:E27"/>
    <mergeCell ref="G26:G27"/>
    <mergeCell ref="K26:K27"/>
    <mergeCell ref="F26:F27"/>
    <mergeCell ref="H26:H27"/>
    <mergeCell ref="I26:I27"/>
    <mergeCell ref="J26:J27"/>
    <mergeCell ref="P24:P25"/>
    <mergeCell ref="D24:D25"/>
    <mergeCell ref="E24:E25"/>
    <mergeCell ref="G24:G25"/>
    <mergeCell ref="K24:K25"/>
    <mergeCell ref="N24:N25"/>
    <mergeCell ref="L26:L27"/>
    <mergeCell ref="M26:M27"/>
    <mergeCell ref="F24:F25"/>
    <mergeCell ref="H24:H25"/>
    <mergeCell ref="I24:I25"/>
    <mergeCell ref="J24:J25"/>
    <mergeCell ref="L24:L25"/>
    <mergeCell ref="M24:M25"/>
    <mergeCell ref="N26:N27"/>
    <mergeCell ref="P28:P29"/>
    <mergeCell ref="D28:D29"/>
    <mergeCell ref="E28:E29"/>
    <mergeCell ref="G28:G29"/>
    <mergeCell ref="K28:K29"/>
    <mergeCell ref="N28:N29"/>
    <mergeCell ref="F28:F29"/>
    <mergeCell ref="H28:H29"/>
    <mergeCell ref="I28:I29"/>
    <mergeCell ref="J28:J29"/>
    <mergeCell ref="L28:L29"/>
    <mergeCell ref="M28:M29"/>
    <mergeCell ref="D32:D33"/>
    <mergeCell ref="E32:E33"/>
    <mergeCell ref="G32:G33"/>
    <mergeCell ref="K32:K33"/>
    <mergeCell ref="F32:F33"/>
    <mergeCell ref="H32:H33"/>
    <mergeCell ref="I32:I33"/>
    <mergeCell ref="J32:J33"/>
    <mergeCell ref="P30:P31"/>
    <mergeCell ref="D30:D31"/>
    <mergeCell ref="E30:E31"/>
    <mergeCell ref="G30:G31"/>
    <mergeCell ref="K30:K31"/>
    <mergeCell ref="N30:N31"/>
    <mergeCell ref="L32:L33"/>
    <mergeCell ref="M32:M33"/>
    <mergeCell ref="F30:F31"/>
    <mergeCell ref="H30:H31"/>
    <mergeCell ref="I30:I31"/>
    <mergeCell ref="J30:J31"/>
    <mergeCell ref="L30:L31"/>
    <mergeCell ref="M30:M31"/>
    <mergeCell ref="N32:N33"/>
    <mergeCell ref="Q34:Q35"/>
    <mergeCell ref="R34:R35"/>
    <mergeCell ref="T34:T35"/>
    <mergeCell ref="U34:U35"/>
    <mergeCell ref="V34:V35"/>
    <mergeCell ref="Q32:Q33"/>
    <mergeCell ref="R32:R33"/>
    <mergeCell ref="T32:T33"/>
    <mergeCell ref="U32:U33"/>
    <mergeCell ref="V32:V33"/>
    <mergeCell ref="P34:P35"/>
    <mergeCell ref="D34:D35"/>
    <mergeCell ref="E34:E35"/>
    <mergeCell ref="G34:G35"/>
    <mergeCell ref="K34:K35"/>
    <mergeCell ref="N34:N35"/>
    <mergeCell ref="F34:F35"/>
    <mergeCell ref="H34:H35"/>
    <mergeCell ref="I34:I35"/>
    <mergeCell ref="J34:J35"/>
    <mergeCell ref="L34:L35"/>
    <mergeCell ref="M34:M35"/>
    <mergeCell ref="T39:T40"/>
    <mergeCell ref="U39:U40"/>
    <mergeCell ref="V39:V40"/>
    <mergeCell ref="Q36:Q37"/>
    <mergeCell ref="R36:R37"/>
    <mergeCell ref="T36:T37"/>
    <mergeCell ref="U36:U37"/>
    <mergeCell ref="V36:V37"/>
    <mergeCell ref="D36:D37"/>
    <mergeCell ref="E36:E37"/>
    <mergeCell ref="G36:G37"/>
    <mergeCell ref="K36:K37"/>
    <mergeCell ref="F36:F37"/>
    <mergeCell ref="H36:H37"/>
    <mergeCell ref="I36:I37"/>
    <mergeCell ref="J36:J37"/>
    <mergeCell ref="L36:L37"/>
    <mergeCell ref="M36:M37"/>
    <mergeCell ref="N36:N37"/>
    <mergeCell ref="D44:D45"/>
    <mergeCell ref="E44:E45"/>
    <mergeCell ref="G44:G45"/>
    <mergeCell ref="K44:K45"/>
    <mergeCell ref="N44:N45"/>
    <mergeCell ref="D41:D43"/>
    <mergeCell ref="E41:E43"/>
    <mergeCell ref="P39:P40"/>
    <mergeCell ref="Q39:Q40"/>
    <mergeCell ref="D39:D40"/>
    <mergeCell ref="E39:E40"/>
    <mergeCell ref="G39:G40"/>
    <mergeCell ref="K39:K40"/>
    <mergeCell ref="N39:N40"/>
    <mergeCell ref="P44:P45"/>
    <mergeCell ref="Q44:Q45"/>
    <mergeCell ref="L44:L45"/>
    <mergeCell ref="M44:M45"/>
    <mergeCell ref="F41:F43"/>
    <mergeCell ref="G41:G43"/>
    <mergeCell ref="H41:H43"/>
    <mergeCell ref="I41:I43"/>
    <mergeCell ref="J41:J43"/>
    <mergeCell ref="K41:K43"/>
    <mergeCell ref="R44:R45"/>
    <mergeCell ref="T44:T45"/>
    <mergeCell ref="U44:U45"/>
    <mergeCell ref="V44:V45"/>
    <mergeCell ref="S44:S45"/>
    <mergeCell ref="P41:P43"/>
    <mergeCell ref="Q41:Q43"/>
    <mergeCell ref="R41:R43"/>
    <mergeCell ref="S41:S43"/>
    <mergeCell ref="T41:T43"/>
    <mergeCell ref="D49:D50"/>
    <mergeCell ref="E49:E50"/>
    <mergeCell ref="G49:G50"/>
    <mergeCell ref="K49:K50"/>
    <mergeCell ref="N49:N50"/>
    <mergeCell ref="D47:D48"/>
    <mergeCell ref="E47:E48"/>
    <mergeCell ref="G47:G48"/>
    <mergeCell ref="K47:K48"/>
    <mergeCell ref="N47:N48"/>
    <mergeCell ref="P49:P50"/>
    <mergeCell ref="Q49:Q50"/>
    <mergeCell ref="R49:R50"/>
    <mergeCell ref="T49:T50"/>
    <mergeCell ref="U49:U50"/>
    <mergeCell ref="V49:V50"/>
    <mergeCell ref="Q47:Q48"/>
    <mergeCell ref="R47:R48"/>
    <mergeCell ref="T47:T48"/>
    <mergeCell ref="U47:U48"/>
    <mergeCell ref="V47:V48"/>
    <mergeCell ref="P47:P48"/>
    <mergeCell ref="S47:S48"/>
    <mergeCell ref="S49:S50"/>
    <mergeCell ref="D52:D53"/>
    <mergeCell ref="E52:E53"/>
    <mergeCell ref="G52:G53"/>
    <mergeCell ref="K52:K53"/>
    <mergeCell ref="N52:N53"/>
    <mergeCell ref="P52:P53"/>
    <mergeCell ref="F52:F53"/>
    <mergeCell ref="H52:H53"/>
    <mergeCell ref="I52:I53"/>
    <mergeCell ref="J52:J53"/>
    <mergeCell ref="J39:J40"/>
    <mergeCell ref="L39:L40"/>
    <mergeCell ref="M39:M40"/>
    <mergeCell ref="L52:L53"/>
    <mergeCell ref="M52:M53"/>
    <mergeCell ref="E1:E2"/>
    <mergeCell ref="M4:M5"/>
    <mergeCell ref="F8:F9"/>
    <mergeCell ref="H8:H9"/>
    <mergeCell ref="I8:I9"/>
    <mergeCell ref="J8:J9"/>
    <mergeCell ref="L8:L9"/>
    <mergeCell ref="M8:M9"/>
    <mergeCell ref="F4:F5"/>
    <mergeCell ref="G4:G5"/>
    <mergeCell ref="H4:H5"/>
    <mergeCell ref="I4:I5"/>
    <mergeCell ref="J4:J5"/>
    <mergeCell ref="B1:B2"/>
    <mergeCell ref="C1:C2"/>
    <mergeCell ref="A1:A2"/>
    <mergeCell ref="F49:F50"/>
    <mergeCell ref="H49:H50"/>
    <mergeCell ref="I49:I50"/>
    <mergeCell ref="J49:J50"/>
    <mergeCell ref="L49:L50"/>
    <mergeCell ref="M49:M50"/>
    <mergeCell ref="F47:F48"/>
    <mergeCell ref="H47:H48"/>
    <mergeCell ref="I47:I48"/>
    <mergeCell ref="J47:J48"/>
    <mergeCell ref="L47:L48"/>
    <mergeCell ref="M47:M48"/>
    <mergeCell ref="L41:L43"/>
    <mergeCell ref="M41:M43"/>
    <mergeCell ref="F44:F45"/>
    <mergeCell ref="H44:H45"/>
    <mergeCell ref="I44:I45"/>
    <mergeCell ref="J44:J45"/>
    <mergeCell ref="F39:F40"/>
    <mergeCell ref="H39:H40"/>
    <mergeCell ref="I39:I40"/>
    <mergeCell ref="N41:N43"/>
    <mergeCell ref="X10:X11"/>
    <mergeCell ref="Y10:Y11"/>
    <mergeCell ref="P12:P13"/>
    <mergeCell ref="X12:X13"/>
    <mergeCell ref="Y12:Y13"/>
    <mergeCell ref="X14:X15"/>
    <mergeCell ref="Y14:Y15"/>
    <mergeCell ref="X24:X25"/>
    <mergeCell ref="Y24:Y25"/>
    <mergeCell ref="P26:P27"/>
    <mergeCell ref="X26:X27"/>
    <mergeCell ref="Y26:Y27"/>
    <mergeCell ref="X28:X29"/>
    <mergeCell ref="Y28:Y29"/>
    <mergeCell ref="P16:P17"/>
    <mergeCell ref="X16:X17"/>
    <mergeCell ref="Y16:Y17"/>
    <mergeCell ref="P21:P22"/>
    <mergeCell ref="X21:X22"/>
    <mergeCell ref="Y21:Y22"/>
    <mergeCell ref="V18:V20"/>
    <mergeCell ref="W18:W20"/>
    <mergeCell ref="R39:R40"/>
    <mergeCell ref="P8:P9"/>
    <mergeCell ref="X8:X9"/>
    <mergeCell ref="Y8:Y9"/>
    <mergeCell ref="Q14:Q15"/>
    <mergeCell ref="R14:R15"/>
    <mergeCell ref="T14:T15"/>
    <mergeCell ref="U14:U15"/>
    <mergeCell ref="V14:V15"/>
    <mergeCell ref="Q12:Q13"/>
    <mergeCell ref="R12:R13"/>
    <mergeCell ref="T12:T13"/>
    <mergeCell ref="U12:U13"/>
    <mergeCell ref="V12:V13"/>
    <mergeCell ref="Q10:Q11"/>
    <mergeCell ref="R10:R11"/>
    <mergeCell ref="T10:T11"/>
    <mergeCell ref="U10:U11"/>
    <mergeCell ref="V10:V11"/>
    <mergeCell ref="Q8:Q9"/>
    <mergeCell ref="R8:R9"/>
    <mergeCell ref="T8:T9"/>
    <mergeCell ref="U8:U9"/>
    <mergeCell ref="V8:V9"/>
    <mergeCell ref="Q30:Q31"/>
    <mergeCell ref="R30:R31"/>
    <mergeCell ref="T30:T31"/>
    <mergeCell ref="U30:U31"/>
    <mergeCell ref="V30:V31"/>
    <mergeCell ref="X18:X20"/>
    <mergeCell ref="Y18:Y20"/>
    <mergeCell ref="Q28:Q29"/>
    <mergeCell ref="R28:R29"/>
    <mergeCell ref="T28:T29"/>
    <mergeCell ref="U28:U29"/>
    <mergeCell ref="V28:V29"/>
    <mergeCell ref="Q26:Q27"/>
    <mergeCell ref="R26:R27"/>
    <mergeCell ref="Q24:Q25"/>
    <mergeCell ref="R24:R25"/>
    <mergeCell ref="T24:T25"/>
    <mergeCell ref="U24:U25"/>
    <mergeCell ref="V24:V25"/>
    <mergeCell ref="Q21:Q22"/>
    <mergeCell ref="R21:R22"/>
    <mergeCell ref="T21:T22"/>
    <mergeCell ref="U21:U22"/>
    <mergeCell ref="V21:V22"/>
    <mergeCell ref="O10:O11"/>
    <mergeCell ref="O12:O13"/>
    <mergeCell ref="O14:O15"/>
    <mergeCell ref="O16:O17"/>
    <mergeCell ref="U18:U20"/>
    <mergeCell ref="X44:X45"/>
    <mergeCell ref="Y44:Y45"/>
    <mergeCell ref="X47:X48"/>
    <mergeCell ref="Y47:Y48"/>
    <mergeCell ref="X34:X35"/>
    <mergeCell ref="Y34:Y35"/>
    <mergeCell ref="P36:P37"/>
    <mergeCell ref="X36:X37"/>
    <mergeCell ref="Y36:Y37"/>
    <mergeCell ref="X39:X40"/>
    <mergeCell ref="Y39:Y40"/>
    <mergeCell ref="S34:S35"/>
    <mergeCell ref="S36:S37"/>
    <mergeCell ref="S39:S40"/>
    <mergeCell ref="X30:X31"/>
    <mergeCell ref="Y30:Y31"/>
    <mergeCell ref="P32:P33"/>
    <mergeCell ref="X32:X33"/>
    <mergeCell ref="Y32:Y33"/>
    <mergeCell ref="O49:O50"/>
    <mergeCell ref="O52:O53"/>
    <mergeCell ref="S4:S5"/>
    <mergeCell ref="S8:S9"/>
    <mergeCell ref="S10:S11"/>
    <mergeCell ref="S12:S13"/>
    <mergeCell ref="S14:S15"/>
    <mergeCell ref="S16:S17"/>
    <mergeCell ref="O28:O29"/>
    <mergeCell ref="O26:O27"/>
    <mergeCell ref="O24:O25"/>
    <mergeCell ref="O21:O22"/>
    <mergeCell ref="O44:O45"/>
    <mergeCell ref="O47:O48"/>
    <mergeCell ref="O39:O40"/>
    <mergeCell ref="O36:O37"/>
    <mergeCell ref="O34:O35"/>
    <mergeCell ref="O32:O33"/>
    <mergeCell ref="O30:O31"/>
    <mergeCell ref="O41:O43"/>
    <mergeCell ref="Q52:Q53"/>
    <mergeCell ref="R52:R53"/>
    <mergeCell ref="O4:O5"/>
    <mergeCell ref="O8:O9"/>
    <mergeCell ref="S52:S53"/>
    <mergeCell ref="W4:W5"/>
    <mergeCell ref="W8:W9"/>
    <mergeCell ref="W10:W11"/>
    <mergeCell ref="W12:W13"/>
    <mergeCell ref="W14:W15"/>
    <mergeCell ref="S21:S22"/>
    <mergeCell ref="S24:S25"/>
    <mergeCell ref="S26:S27"/>
    <mergeCell ref="S28:S29"/>
    <mergeCell ref="S30:S31"/>
    <mergeCell ref="U41:U43"/>
    <mergeCell ref="V41:V43"/>
    <mergeCell ref="W41:W43"/>
    <mergeCell ref="T52:T53"/>
    <mergeCell ref="U52:U53"/>
    <mergeCell ref="V52:V53"/>
    <mergeCell ref="T26:T27"/>
    <mergeCell ref="U26:U27"/>
    <mergeCell ref="V26:V27"/>
    <mergeCell ref="V16:V17"/>
    <mergeCell ref="W49:W50"/>
    <mergeCell ref="W52:W53"/>
    <mergeCell ref="S32:S33"/>
    <mergeCell ref="Z4:Z5"/>
    <mergeCell ref="Z8:Z9"/>
    <mergeCell ref="Z10:Z11"/>
    <mergeCell ref="Z12:Z13"/>
    <mergeCell ref="Z14:Z15"/>
    <mergeCell ref="Z16:Z17"/>
    <mergeCell ref="Z18:Z20"/>
    <mergeCell ref="W32:W33"/>
    <mergeCell ref="W34:W35"/>
    <mergeCell ref="Z21:Z22"/>
    <mergeCell ref="Z24:Z25"/>
    <mergeCell ref="Z26:Z27"/>
    <mergeCell ref="Z28:Z29"/>
    <mergeCell ref="Z30:Z31"/>
    <mergeCell ref="W30:W31"/>
    <mergeCell ref="X4:X5"/>
    <mergeCell ref="Y4:Y5"/>
    <mergeCell ref="W36:W37"/>
    <mergeCell ref="W39:W40"/>
    <mergeCell ref="W44:W45"/>
    <mergeCell ref="W47:W48"/>
    <mergeCell ref="W16:W17"/>
    <mergeCell ref="W21:W22"/>
    <mergeCell ref="W24:W25"/>
    <mergeCell ref="W26:W27"/>
    <mergeCell ref="W28:W29"/>
    <mergeCell ref="X41:X43"/>
    <mergeCell ref="Y41:Y43"/>
    <mergeCell ref="X52:X53"/>
    <mergeCell ref="Z47:Z48"/>
    <mergeCell ref="Z49:Z50"/>
    <mergeCell ref="Z52:Z53"/>
    <mergeCell ref="Z32:Z33"/>
    <mergeCell ref="Z34:Z35"/>
    <mergeCell ref="Z39:Z40"/>
    <mergeCell ref="Z41:Z43"/>
    <mergeCell ref="Z44:Z45"/>
    <mergeCell ref="Y52:Y53"/>
    <mergeCell ref="X49:X50"/>
    <mergeCell ref="Y49:Y50"/>
    <mergeCell ref="AA4:AA5"/>
    <mergeCell ref="AA8:AA9"/>
    <mergeCell ref="AA10:AA11"/>
    <mergeCell ref="AA12:AA13"/>
    <mergeCell ref="AA14:AA15"/>
    <mergeCell ref="AA16:AA17"/>
    <mergeCell ref="AA18:AA20"/>
    <mergeCell ref="AA21:AA22"/>
    <mergeCell ref="AA24:AA25"/>
    <mergeCell ref="AA34:AA35"/>
    <mergeCell ref="AA36:AA37"/>
    <mergeCell ref="AA39:AA40"/>
    <mergeCell ref="AA41:AA43"/>
    <mergeCell ref="AA44:AA45"/>
    <mergeCell ref="AA47:AA48"/>
    <mergeCell ref="AA49:AA50"/>
    <mergeCell ref="AA52:AA53"/>
    <mergeCell ref="AB24:AB25"/>
    <mergeCell ref="AB26:AB27"/>
    <mergeCell ref="AB32:AB33"/>
    <mergeCell ref="AA26:AA27"/>
    <mergeCell ref="AA28:AA29"/>
    <mergeCell ref="AA32:AA33"/>
  </mergeCells>
  <pageMargins left="0.7" right="0.7" top="0.75" bottom="0.75" header="0.3" footer="0.3"/>
  <pageSetup paperSize="14"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DBFC4-BDF5-452F-9D5C-0E0E011B38CF}">
  <dimension ref="A1:E28"/>
  <sheetViews>
    <sheetView topLeftCell="A10" workbookViewId="0">
      <selection activeCell="G18" sqref="G18"/>
    </sheetView>
  </sheetViews>
  <sheetFormatPr baseColWidth="10" defaultColWidth="33.85546875" defaultRowHeight="18" customHeight="1"/>
  <cols>
    <col min="1" max="1" width="7.28515625" customWidth="1"/>
    <col min="2" max="2" width="33.85546875" style="907"/>
    <col min="3" max="3" width="33.85546875" style="890"/>
    <col min="4" max="4" width="0" style="915" hidden="1" customWidth="1"/>
    <col min="5" max="5" width="0" hidden="1" customWidth="1"/>
  </cols>
  <sheetData>
    <row r="1" spans="1:5" ht="16.5" customHeight="1">
      <c r="A1">
        <v>1</v>
      </c>
      <c r="B1" s="900" t="s">
        <v>836</v>
      </c>
      <c r="C1" s="909">
        <v>1649812599</v>
      </c>
      <c r="D1" s="915">
        <f>+'oferta 1'!F25</f>
        <v>1649812599</v>
      </c>
      <c r="E1" s="908">
        <f>+C1-D1</f>
        <v>0</v>
      </c>
    </row>
    <row r="2" spans="1:5" ht="18" customHeight="1">
      <c r="A2">
        <v>2</v>
      </c>
      <c r="B2" s="901" t="s">
        <v>1780</v>
      </c>
      <c r="C2" s="910">
        <v>1681746615</v>
      </c>
      <c r="D2" s="915">
        <f>+'oferta 2'!F25</f>
        <v>1681746614.6839566</v>
      </c>
      <c r="E2" s="908">
        <f t="shared" ref="E2:E28" si="0">+C2-D2</f>
        <v>0.31604337692260742</v>
      </c>
    </row>
    <row r="3" spans="1:5" ht="18" customHeight="1">
      <c r="A3">
        <v>3</v>
      </c>
      <c r="B3" s="902" t="s">
        <v>837</v>
      </c>
      <c r="C3" s="909">
        <v>1686862162</v>
      </c>
      <c r="D3" s="915">
        <f>+'oferta 3'!F25</f>
        <v>1686862162</v>
      </c>
      <c r="E3" s="908">
        <f t="shared" si="0"/>
        <v>0</v>
      </c>
    </row>
    <row r="4" spans="1:5" ht="18" customHeight="1">
      <c r="A4">
        <v>4</v>
      </c>
      <c r="B4" s="901" t="s">
        <v>1781</v>
      </c>
      <c r="C4" s="910">
        <v>1537532051</v>
      </c>
      <c r="D4" s="915">
        <f>+'oferta 4'!F25</f>
        <v>1537532081</v>
      </c>
      <c r="E4" s="908">
        <f t="shared" si="0"/>
        <v>-30</v>
      </c>
    </row>
    <row r="5" spans="1:5" ht="18" customHeight="1">
      <c r="A5">
        <v>5</v>
      </c>
      <c r="B5" s="901" t="s">
        <v>1782</v>
      </c>
      <c r="C5" s="910">
        <v>1675200172</v>
      </c>
      <c r="D5" s="915">
        <f>+'oferta 5'!F25</f>
        <v>1675200172</v>
      </c>
      <c r="E5" s="908">
        <f t="shared" si="0"/>
        <v>0</v>
      </c>
    </row>
    <row r="6" spans="1:5" ht="18" customHeight="1">
      <c r="A6">
        <v>6</v>
      </c>
      <c r="B6" s="901" t="s">
        <v>1783</v>
      </c>
      <c r="C6" s="910">
        <v>1708546803</v>
      </c>
      <c r="D6" s="915">
        <f>+'oferta 6'!F25</f>
        <v>1708546803</v>
      </c>
      <c r="E6" s="908">
        <f t="shared" si="0"/>
        <v>0</v>
      </c>
    </row>
    <row r="7" spans="1:5" ht="18" customHeight="1">
      <c r="A7">
        <v>7</v>
      </c>
      <c r="B7" s="901" t="s">
        <v>1784</v>
      </c>
      <c r="C7" s="910">
        <v>1689008468</v>
      </c>
      <c r="D7" s="915">
        <f>+'oferta 7'!F25</f>
        <v>1689008467.675348</v>
      </c>
      <c r="E7" s="908">
        <f t="shared" si="0"/>
        <v>0.32465195655822754</v>
      </c>
    </row>
    <row r="8" spans="1:5" ht="18" customHeight="1">
      <c r="A8">
        <v>8</v>
      </c>
      <c r="B8" s="901" t="s">
        <v>1785</v>
      </c>
      <c r="C8" s="910">
        <v>1667468329</v>
      </c>
      <c r="D8" s="915">
        <f>+'oferta 8'!F26</f>
        <v>1667468329.2931838</v>
      </c>
      <c r="E8" s="908">
        <f t="shared" si="0"/>
        <v>-0.29318380355834961</v>
      </c>
    </row>
    <row r="9" spans="1:5" ht="18" customHeight="1">
      <c r="A9">
        <v>9</v>
      </c>
      <c r="B9" s="903" t="s">
        <v>1786</v>
      </c>
      <c r="C9" s="911">
        <v>1708546744</v>
      </c>
      <c r="D9" s="915">
        <f>+'oferta 9'!F25</f>
        <v>1708546744</v>
      </c>
      <c r="E9" s="908">
        <f t="shared" si="0"/>
        <v>0</v>
      </c>
    </row>
    <row r="10" spans="1:5" ht="18" customHeight="1">
      <c r="A10">
        <v>10</v>
      </c>
      <c r="B10" s="903" t="s">
        <v>1787</v>
      </c>
      <c r="C10" s="911">
        <v>1649816449</v>
      </c>
      <c r="D10" s="915">
        <f>+'oferta 10'!F25</f>
        <v>1649816449</v>
      </c>
      <c r="E10" s="908">
        <f t="shared" si="0"/>
        <v>0</v>
      </c>
    </row>
    <row r="11" spans="1:5" ht="18" customHeight="1">
      <c r="A11">
        <v>11</v>
      </c>
      <c r="B11" s="903" t="s">
        <v>1163</v>
      </c>
      <c r="C11" s="911">
        <v>1688450539</v>
      </c>
      <c r="D11" s="915">
        <f>+'oferta 11'!F25</f>
        <v>1688450603</v>
      </c>
      <c r="E11" s="908">
        <f t="shared" si="0"/>
        <v>-64</v>
      </c>
    </row>
    <row r="12" spans="1:5" ht="18" customHeight="1">
      <c r="A12">
        <v>12</v>
      </c>
      <c r="B12" s="902" t="s">
        <v>1788</v>
      </c>
      <c r="C12" s="909">
        <v>1668719638</v>
      </c>
      <c r="D12" s="915">
        <f>+'oferta 12'!F25</f>
        <v>1668719639.3199999</v>
      </c>
      <c r="E12" s="908">
        <f t="shared" si="0"/>
        <v>-1.3199999332427979</v>
      </c>
    </row>
    <row r="13" spans="1:5" ht="18" customHeight="1">
      <c r="A13">
        <v>13</v>
      </c>
      <c r="B13" s="903" t="s">
        <v>1789</v>
      </c>
      <c r="C13" s="911">
        <v>1649760680</v>
      </c>
      <c r="D13" s="915">
        <f>+'oferta 13'!F25</f>
        <v>1649760237</v>
      </c>
      <c r="E13" s="908">
        <f t="shared" si="0"/>
        <v>443</v>
      </c>
    </row>
    <row r="14" spans="1:5" ht="18" customHeight="1">
      <c r="A14">
        <v>14</v>
      </c>
      <c r="B14" s="903" t="s">
        <v>1790</v>
      </c>
      <c r="C14" s="911">
        <v>1649711725</v>
      </c>
      <c r="D14" s="915">
        <f>+'oferta 14'!F25</f>
        <v>1649711725</v>
      </c>
      <c r="E14" s="908">
        <f t="shared" si="0"/>
        <v>0</v>
      </c>
    </row>
    <row r="15" spans="1:5" ht="18" customHeight="1">
      <c r="A15">
        <v>15</v>
      </c>
      <c r="B15" s="903" t="s">
        <v>1791</v>
      </c>
      <c r="C15" s="911">
        <v>1676602649</v>
      </c>
      <c r="D15" s="915">
        <f>+'oferta 15'!F25</f>
        <v>1676602623.4000001</v>
      </c>
      <c r="E15" s="908">
        <f t="shared" si="0"/>
        <v>25.599999904632568</v>
      </c>
    </row>
    <row r="16" spans="1:5" ht="18" customHeight="1">
      <c r="A16">
        <v>17</v>
      </c>
      <c r="B16" s="904" t="s">
        <v>1792</v>
      </c>
      <c r="C16" s="912">
        <v>1708544845</v>
      </c>
      <c r="D16" s="915">
        <f>+'oferta 17'!F25</f>
        <v>1708544898.24</v>
      </c>
      <c r="E16" s="908">
        <f t="shared" si="0"/>
        <v>-53.240000009536743</v>
      </c>
    </row>
    <row r="17" spans="1:5" ht="18" customHeight="1">
      <c r="A17">
        <v>18</v>
      </c>
      <c r="B17" s="904" t="s">
        <v>1793</v>
      </c>
      <c r="C17" s="912">
        <v>1665733115</v>
      </c>
      <c r="D17" s="915">
        <f>+'oferta 18'!F25</f>
        <v>1665733114.870995</v>
      </c>
      <c r="E17" s="908">
        <f t="shared" si="0"/>
        <v>0.12900495529174805</v>
      </c>
    </row>
    <row r="18" spans="1:5" ht="18" customHeight="1">
      <c r="A18">
        <v>19</v>
      </c>
      <c r="B18" s="904" t="s">
        <v>503</v>
      </c>
      <c r="C18" s="912">
        <v>1699259474</v>
      </c>
      <c r="D18" s="915">
        <f>+'oferta 19'!F25</f>
        <v>1699259474.3695002</v>
      </c>
      <c r="E18" s="908">
        <f t="shared" si="0"/>
        <v>-0.36950016021728516</v>
      </c>
    </row>
    <row r="19" spans="1:5" ht="18" customHeight="1">
      <c r="A19">
        <v>20</v>
      </c>
      <c r="B19" s="904" t="s">
        <v>1794</v>
      </c>
      <c r="C19" s="912">
        <v>1694843286</v>
      </c>
      <c r="D19" s="915">
        <f>+'oferta 20'!F25</f>
        <v>1694843286</v>
      </c>
      <c r="E19" s="908">
        <f t="shared" si="0"/>
        <v>0</v>
      </c>
    </row>
    <row r="20" spans="1:5" ht="18" customHeight="1">
      <c r="A20">
        <v>21</v>
      </c>
      <c r="B20" s="904" t="s">
        <v>1795</v>
      </c>
      <c r="C20" s="912">
        <v>1681995466</v>
      </c>
      <c r="D20" s="915">
        <f>+'oferta 21'!F25</f>
        <v>1681995465.96</v>
      </c>
      <c r="E20" s="908">
        <f t="shared" si="0"/>
        <v>3.9999961853027344E-2</v>
      </c>
    </row>
    <row r="21" spans="1:5" ht="18" customHeight="1">
      <c r="A21">
        <v>22</v>
      </c>
      <c r="B21" s="904" t="s">
        <v>604</v>
      </c>
      <c r="C21" s="912">
        <v>1675138834</v>
      </c>
      <c r="D21" s="915">
        <f>+'oferta 22'!F25</f>
        <v>1675138832.8000002</v>
      </c>
      <c r="E21" s="908">
        <f t="shared" si="0"/>
        <v>1.1999998092651367</v>
      </c>
    </row>
    <row r="22" spans="1:5" ht="18" customHeight="1">
      <c r="A22">
        <v>23</v>
      </c>
      <c r="B22" s="901" t="s">
        <v>1796</v>
      </c>
      <c r="C22" s="910">
        <v>1688879396</v>
      </c>
      <c r="D22" s="915">
        <f>+'oferta 23'!F25</f>
        <v>1688879395.8800001</v>
      </c>
      <c r="E22" s="908">
        <f t="shared" si="0"/>
        <v>0.11999988555908203</v>
      </c>
    </row>
    <row r="23" spans="1:5" ht="18" customHeight="1">
      <c r="A23">
        <v>24</v>
      </c>
      <c r="B23" s="901" t="s">
        <v>1558</v>
      </c>
      <c r="C23" s="910">
        <v>1687677708</v>
      </c>
      <c r="D23" s="915">
        <f>+'oferta 24'!E35</f>
        <v>1687677708</v>
      </c>
      <c r="E23" s="908">
        <f t="shared" si="0"/>
        <v>0</v>
      </c>
    </row>
    <row r="24" spans="1:5" ht="18" customHeight="1">
      <c r="A24">
        <v>25</v>
      </c>
      <c r="B24" s="905" t="s">
        <v>1797</v>
      </c>
      <c r="C24" s="913">
        <v>1676205638</v>
      </c>
      <c r="D24" s="915">
        <f>+'oferta 25'!F25</f>
        <v>1676205612.71104</v>
      </c>
      <c r="E24" s="908">
        <f t="shared" si="0"/>
        <v>25.288959980010986</v>
      </c>
    </row>
    <row r="25" spans="1:5" ht="18" customHeight="1">
      <c r="A25">
        <v>26</v>
      </c>
      <c r="B25" s="903" t="s">
        <v>1798</v>
      </c>
      <c r="C25" s="911">
        <v>1651139329</v>
      </c>
      <c r="D25" s="915">
        <f>+'oferta 26'!F25</f>
        <v>1651139328.7268002</v>
      </c>
      <c r="E25" s="908">
        <f t="shared" si="0"/>
        <v>0.27319979667663574</v>
      </c>
    </row>
    <row r="26" spans="1:5" ht="18" customHeight="1">
      <c r="A26">
        <v>27</v>
      </c>
      <c r="B26" s="904" t="s">
        <v>682</v>
      </c>
      <c r="C26" s="912">
        <v>1708546803</v>
      </c>
      <c r="D26" s="915">
        <f>+'oferta 27'!F25</f>
        <v>1708546803.0456002</v>
      </c>
      <c r="E26" s="908">
        <f t="shared" si="0"/>
        <v>-4.5600175857543945E-2</v>
      </c>
    </row>
    <row r="27" spans="1:5" ht="18" customHeight="1">
      <c r="A27">
        <v>28</v>
      </c>
      <c r="B27" s="903" t="s">
        <v>1799</v>
      </c>
      <c r="C27" s="911">
        <v>1437082748</v>
      </c>
      <c r="D27" s="915">
        <f>+'oferta 28 r'!F25</f>
        <v>1466516945.8851204</v>
      </c>
      <c r="E27" s="908">
        <f t="shared" si="0"/>
        <v>-29434197.885120392</v>
      </c>
    </row>
    <row r="28" spans="1:5" ht="18" customHeight="1" thickBot="1">
      <c r="A28">
        <v>29</v>
      </c>
      <c r="B28" s="906" t="s">
        <v>696</v>
      </c>
      <c r="C28" s="914">
        <v>1684137648</v>
      </c>
      <c r="D28" s="915">
        <f>+'oferta 29'!F25</f>
        <v>1684137698.2732799</v>
      </c>
      <c r="E28" s="908">
        <f t="shared" si="0"/>
        <v>-50.273279905319214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8915-FBAC-47AB-8EB7-C3EAA40848E4}">
  <dimension ref="A1:G25"/>
  <sheetViews>
    <sheetView topLeftCell="A19" workbookViewId="0">
      <selection activeCell="F6" sqref="F6"/>
    </sheetView>
  </sheetViews>
  <sheetFormatPr baseColWidth="10" defaultRowHeight="15"/>
  <cols>
    <col min="4" max="4" width="16.28515625" customWidth="1"/>
    <col min="6" max="6" width="24" customWidth="1"/>
    <col min="7" max="7" width="11.8554687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5.75" thickBot="1">
      <c r="A3" s="724">
        <v>1</v>
      </c>
      <c r="B3" s="723" t="s">
        <v>1676</v>
      </c>
      <c r="C3" s="723" t="s">
        <v>1677</v>
      </c>
      <c r="D3" s="723" t="s">
        <v>1678</v>
      </c>
      <c r="E3" s="723" t="s">
        <v>1679</v>
      </c>
      <c r="F3" s="723" t="s">
        <v>1680</v>
      </c>
    </row>
    <row r="4" spans="1:7" ht="90.75" thickBot="1">
      <c r="A4" s="725">
        <v>2</v>
      </c>
      <c r="B4" s="726" t="s">
        <v>1681</v>
      </c>
      <c r="C4" s="727">
        <v>19</v>
      </c>
      <c r="D4" s="728">
        <v>9864633</v>
      </c>
      <c r="E4" s="727">
        <v>1</v>
      </c>
      <c r="F4" s="728">
        <f>C4*D4*E4</f>
        <v>187428027</v>
      </c>
    </row>
    <row r="5" spans="1:7" ht="99.75" thickBot="1">
      <c r="A5" s="725">
        <v>3</v>
      </c>
      <c r="B5" s="726" t="s">
        <v>1682</v>
      </c>
      <c r="C5" s="727">
        <v>12</v>
      </c>
      <c r="D5" s="728">
        <v>2944683</v>
      </c>
      <c r="E5" s="727">
        <v>1</v>
      </c>
      <c r="F5" s="728">
        <f t="shared" ref="F5:F6" si="0">C5*D5*E5</f>
        <v>35336196</v>
      </c>
    </row>
    <row r="6" spans="1:7" ht="99.75" thickBot="1">
      <c r="A6" s="725">
        <v>4</v>
      </c>
      <c r="B6" s="726" t="s">
        <v>1683</v>
      </c>
      <c r="C6" s="727">
        <v>6</v>
      </c>
      <c r="D6" s="728">
        <v>2891148</v>
      </c>
      <c r="E6" s="727">
        <v>1</v>
      </c>
      <c r="F6" s="728">
        <f t="shared" si="0"/>
        <v>17346888</v>
      </c>
    </row>
    <row r="7" spans="1:7" ht="15.75" thickBot="1">
      <c r="A7" s="729">
        <v>5</v>
      </c>
      <c r="B7" s="1293" t="s">
        <v>1684</v>
      </c>
      <c r="C7" s="1294"/>
      <c r="D7" s="1294"/>
      <c r="E7" s="1295"/>
      <c r="F7" s="730">
        <f>SUM(F4:F6)</f>
        <v>240111111</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02">
        <v>7350000</v>
      </c>
      <c r="D10" s="1303"/>
      <c r="E10" s="727">
        <v>1</v>
      </c>
      <c r="F10" s="728">
        <f>C10*E10</f>
        <v>7350000</v>
      </c>
    </row>
    <row r="11" spans="1:7" ht="15.75" thickBot="1">
      <c r="A11" s="729">
        <v>9</v>
      </c>
      <c r="B11" s="1293" t="s">
        <v>1694</v>
      </c>
      <c r="C11" s="1294"/>
      <c r="D11" s="1294"/>
      <c r="E11" s="1295"/>
      <c r="F11" s="730">
        <v>7350000</v>
      </c>
      <c r="G11" t="str">
        <f>+IF(GESTEP(F11,7350000),"cumple","no cumple")</f>
        <v>cumple</v>
      </c>
    </row>
    <row r="12" spans="1:7" ht="15.75" thickBot="1">
      <c r="A12" s="729">
        <v>10</v>
      </c>
      <c r="B12" s="1293" t="s">
        <v>1695</v>
      </c>
      <c r="C12" s="1294"/>
      <c r="D12" s="1294"/>
      <c r="E12" s="1295"/>
      <c r="F12" s="730">
        <f>F7+F11</f>
        <v>247461111</v>
      </c>
      <c r="G12" t="str">
        <f>+IF(F12&lt;256580747,"cumple","no cumple")</f>
        <v>cumple</v>
      </c>
    </row>
    <row r="13" spans="1:7" ht="15.75" thickBot="1">
      <c r="A13" s="1299" t="s">
        <v>1696</v>
      </c>
      <c r="B13" s="1300"/>
      <c r="C13" s="1300"/>
      <c r="D13" s="1300"/>
      <c r="E13" s="1300"/>
      <c r="F13" s="1301"/>
    </row>
    <row r="14" spans="1:7" ht="63.75" thickBot="1">
      <c r="A14" s="724">
        <v>11</v>
      </c>
      <c r="B14" s="723" t="s">
        <v>1671</v>
      </c>
      <c r="C14" s="723" t="s">
        <v>1672</v>
      </c>
      <c r="D14" s="723" t="s">
        <v>1697</v>
      </c>
      <c r="E14" s="723" t="s">
        <v>1698</v>
      </c>
      <c r="F14" s="723" t="s">
        <v>1699</v>
      </c>
    </row>
    <row r="15" spans="1:7" ht="15.75" thickBot="1">
      <c r="A15" s="724">
        <v>12</v>
      </c>
      <c r="B15" s="723" t="s">
        <v>1700</v>
      </c>
      <c r="C15" s="723" t="s">
        <v>1701</v>
      </c>
      <c r="D15" s="723" t="s">
        <v>1702</v>
      </c>
      <c r="E15" s="723" t="s">
        <v>1703</v>
      </c>
      <c r="F15" s="723" t="s">
        <v>1704</v>
      </c>
    </row>
    <row r="16" spans="1:7" ht="90.75" thickBot="1">
      <c r="A16" s="725">
        <v>13</v>
      </c>
      <c r="B16" s="726" t="s">
        <v>1681</v>
      </c>
      <c r="C16" s="727">
        <v>19</v>
      </c>
      <c r="D16" s="728">
        <v>10288800</v>
      </c>
      <c r="E16" s="727">
        <v>5.44</v>
      </c>
      <c r="F16" s="728">
        <f>C16*D16*E16</f>
        <v>1063450368.0000001</v>
      </c>
    </row>
    <row r="17" spans="1:7" ht="99.75" thickBot="1">
      <c r="A17" s="725">
        <v>14</v>
      </c>
      <c r="B17" s="726" t="s">
        <v>1682</v>
      </c>
      <c r="C17" s="727">
        <v>12</v>
      </c>
      <c r="D17" s="728">
        <v>3071300</v>
      </c>
      <c r="E17" s="727">
        <v>5.44</v>
      </c>
      <c r="F17" s="728">
        <f t="shared" ref="F17:F18" si="1">C17*D17*E17</f>
        <v>200494464</v>
      </c>
    </row>
    <row r="18" spans="1:7" ht="99.75" thickBot="1">
      <c r="A18" s="725">
        <v>15</v>
      </c>
      <c r="B18" s="726" t="s">
        <v>1683</v>
      </c>
      <c r="C18" s="727">
        <v>6</v>
      </c>
      <c r="D18" s="728">
        <v>3015400</v>
      </c>
      <c r="E18" s="727">
        <v>5.44</v>
      </c>
      <c r="F18" s="728">
        <f t="shared" si="1"/>
        <v>98422656</v>
      </c>
    </row>
    <row r="19" spans="1:7" ht="15.75" thickBot="1">
      <c r="A19" s="729">
        <v>16</v>
      </c>
      <c r="B19" s="1293" t="s">
        <v>1705</v>
      </c>
      <c r="C19" s="1294"/>
      <c r="D19" s="1294"/>
      <c r="E19" s="1295"/>
      <c r="F19" s="730">
        <f>SUM(F16:F18)</f>
        <v>1362367488</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2">
        <v>7350000</v>
      </c>
      <c r="D22" s="1303"/>
      <c r="E22" s="727">
        <v>5.44</v>
      </c>
      <c r="F22" s="728">
        <f>C22*E22</f>
        <v>39984000</v>
      </c>
      <c r="G22" t="str">
        <f>+IF(GESTEP(F22,39984000),"cumple","no cumple")</f>
        <v>cumple</v>
      </c>
    </row>
    <row r="23" spans="1:7" ht="15.75" thickBot="1">
      <c r="A23" s="729">
        <v>20</v>
      </c>
      <c r="B23" s="1293" t="s">
        <v>1714</v>
      </c>
      <c r="C23" s="1294"/>
      <c r="D23" s="1294"/>
      <c r="E23" s="1295"/>
      <c r="F23" s="730">
        <f>F22</f>
        <v>39984000</v>
      </c>
    </row>
    <row r="24" spans="1:7" ht="15.75" thickBot="1">
      <c r="A24" s="729">
        <v>21</v>
      </c>
      <c r="B24" s="1293" t="s">
        <v>1715</v>
      </c>
      <c r="C24" s="1294"/>
      <c r="D24" s="1294"/>
      <c r="E24" s="1295"/>
      <c r="F24" s="730">
        <f>F19+F23</f>
        <v>1402351488</v>
      </c>
    </row>
    <row r="25" spans="1:7" ht="16.5" thickBot="1">
      <c r="A25" s="729">
        <v>22</v>
      </c>
      <c r="B25" s="1296" t="s">
        <v>1716</v>
      </c>
      <c r="C25" s="1297"/>
      <c r="D25" s="1297"/>
      <c r="E25" s="1298"/>
      <c r="F25" s="731">
        <f>F12+F24</f>
        <v>1649812599</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B8521-C6EF-4650-8855-68534354B707}">
  <dimension ref="A1:G25"/>
  <sheetViews>
    <sheetView topLeftCell="A17" workbookViewId="0">
      <selection activeCell="F22" sqref="F22"/>
    </sheetView>
  </sheetViews>
  <sheetFormatPr baseColWidth="10" defaultRowHeight="15"/>
  <cols>
    <col min="4" max="4" width="16.28515625" customWidth="1"/>
    <col min="6" max="6" width="24"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5.75" thickBot="1">
      <c r="A3" s="724">
        <v>1</v>
      </c>
      <c r="B3" s="723" t="s">
        <v>1676</v>
      </c>
      <c r="C3" s="723" t="s">
        <v>1677</v>
      </c>
      <c r="D3" s="723" t="s">
        <v>1678</v>
      </c>
      <c r="E3" s="723" t="s">
        <v>1679</v>
      </c>
      <c r="F3" s="723" t="s">
        <v>1680</v>
      </c>
    </row>
    <row r="4" spans="1:7" ht="90.75" thickBot="1">
      <c r="A4" s="725">
        <v>2</v>
      </c>
      <c r="B4" s="726" t="s">
        <v>1681</v>
      </c>
      <c r="C4" s="727">
        <v>19</v>
      </c>
      <c r="D4" s="728">
        <f>((8800000*1.1)*1.019)+700</f>
        <v>9864620</v>
      </c>
      <c r="E4" s="727">
        <v>1</v>
      </c>
      <c r="F4" s="728">
        <f>C4*D4*E4</f>
        <v>187427780</v>
      </c>
    </row>
    <row r="5" spans="1:7" ht="99.75" thickBot="1">
      <c r="A5" s="725">
        <v>3</v>
      </c>
      <c r="B5" s="726" t="s">
        <v>1682</v>
      </c>
      <c r="C5" s="727">
        <v>12</v>
      </c>
      <c r="D5" s="728">
        <f>(((((((8800000*1.1)*1.019)+700)*55.97%)/15)*12)/30)*20</f>
        <v>2944654.8341333331</v>
      </c>
      <c r="E5" s="727">
        <v>1</v>
      </c>
      <c r="F5" s="728">
        <f t="shared" ref="F5:F6" si="0">C5*D5*E5</f>
        <v>35335858.009599999</v>
      </c>
    </row>
    <row r="6" spans="1:7" ht="99.75" thickBot="1">
      <c r="A6" s="725">
        <v>4</v>
      </c>
      <c r="B6" s="726" t="s">
        <v>1683</v>
      </c>
      <c r="C6" s="727">
        <v>6</v>
      </c>
      <c r="D6" s="728">
        <f>(((((((8800000*1.08)*1.019)+700)*55.97%)/15)*12)/30)*20</f>
        <v>2891119.4545066664</v>
      </c>
      <c r="E6" s="727">
        <v>1</v>
      </c>
      <c r="F6" s="728">
        <f t="shared" si="0"/>
        <v>17346716.72704</v>
      </c>
    </row>
    <row r="7" spans="1:7" ht="15.75" thickBot="1">
      <c r="A7" s="729">
        <v>5</v>
      </c>
      <c r="B7" s="1293" t="s">
        <v>1684</v>
      </c>
      <c r="C7" s="1294"/>
      <c r="D7" s="1294"/>
      <c r="E7" s="1295"/>
      <c r="F7" s="730">
        <f>SUM(F4:F6)</f>
        <v>240110354.73663998</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02">
        <f>'[1]ANEXO 3,1,'!E17</f>
        <v>12308900</v>
      </c>
      <c r="D10" s="1303"/>
      <c r="E10" s="727">
        <v>1</v>
      </c>
      <c r="F10" s="728">
        <f>C10*E10</f>
        <v>12308900</v>
      </c>
      <c r="G10" t="str">
        <f>+IF(GESTEP(F10,7350000),"cumple","no cumple")</f>
        <v>cumple</v>
      </c>
    </row>
    <row r="11" spans="1:7" ht="15.75" thickBot="1">
      <c r="A11" s="729">
        <v>9</v>
      </c>
      <c r="B11" s="1293" t="s">
        <v>1694</v>
      </c>
      <c r="C11" s="1294"/>
      <c r="D11" s="1294"/>
      <c r="E11" s="1295"/>
      <c r="F11" s="730">
        <f>F10</f>
        <v>12308900</v>
      </c>
    </row>
    <row r="12" spans="1:7" ht="15.75" thickBot="1">
      <c r="A12" s="729">
        <v>10</v>
      </c>
      <c r="B12" s="1293" t="s">
        <v>1695</v>
      </c>
      <c r="C12" s="1294"/>
      <c r="D12" s="1294"/>
      <c r="E12" s="1295"/>
      <c r="F12" s="730">
        <f>F7+F11</f>
        <v>252419254.73663998</v>
      </c>
      <c r="G12" t="str">
        <f>+IF(F12&lt;256580747,"cumple","no cumple")</f>
        <v>cumple</v>
      </c>
    </row>
    <row r="13" spans="1:7" ht="15.75" thickBot="1">
      <c r="A13" s="1299" t="s">
        <v>1696</v>
      </c>
      <c r="B13" s="1300"/>
      <c r="C13" s="1300"/>
      <c r="D13" s="1300"/>
      <c r="E13" s="1300"/>
      <c r="F13" s="1301"/>
    </row>
    <row r="14" spans="1:7" ht="63.75" thickBot="1">
      <c r="A14" s="724">
        <v>11</v>
      </c>
      <c r="B14" s="723" t="s">
        <v>1671</v>
      </c>
      <c r="C14" s="723" t="s">
        <v>1672</v>
      </c>
      <c r="D14" s="723" t="s">
        <v>1697</v>
      </c>
      <c r="E14" s="723" t="s">
        <v>1698</v>
      </c>
      <c r="F14" s="723" t="s">
        <v>1699</v>
      </c>
    </row>
    <row r="15" spans="1:7" ht="15.75" thickBot="1">
      <c r="A15" s="724">
        <v>12</v>
      </c>
      <c r="B15" s="723" t="s">
        <v>1700</v>
      </c>
      <c r="C15" s="723" t="s">
        <v>1701</v>
      </c>
      <c r="D15" s="723" t="s">
        <v>1702</v>
      </c>
      <c r="E15" s="723" t="s">
        <v>1703</v>
      </c>
      <c r="F15" s="723" t="s">
        <v>1704</v>
      </c>
    </row>
    <row r="16" spans="1:7" ht="90.75" thickBot="1">
      <c r="A16" s="725">
        <v>13</v>
      </c>
      <c r="B16" s="726" t="s">
        <v>1681</v>
      </c>
      <c r="C16" s="727">
        <v>19</v>
      </c>
      <c r="D16" s="728">
        <f>(((8800000*1.1)*1.019)+700)*1.043</f>
        <v>10288798.66</v>
      </c>
      <c r="E16" s="727">
        <v>5.44</v>
      </c>
      <c r="F16" s="728">
        <f>C16*D16*E16</f>
        <v>1063450229.4976001</v>
      </c>
    </row>
    <row r="17" spans="1:7" ht="99.75" thickBot="1">
      <c r="A17" s="725">
        <v>14</v>
      </c>
      <c r="B17" s="726" t="s">
        <v>1682</v>
      </c>
      <c r="C17" s="727">
        <v>12</v>
      </c>
      <c r="D17" s="728">
        <f>((((((((8800000*1.1)*1.019)+700)*55.97%)/15)*12)/30)*20)*1.043</f>
        <v>3071274.992001066</v>
      </c>
      <c r="E17" s="727">
        <v>5.44</v>
      </c>
      <c r="F17" s="728">
        <f t="shared" ref="F17:F18" si="1">C17*D17*E17</f>
        <v>200492831.47782961</v>
      </c>
    </row>
    <row r="18" spans="1:7" ht="99.75" thickBot="1">
      <c r="A18" s="725">
        <v>15</v>
      </c>
      <c r="B18" s="726" t="s">
        <v>1683</v>
      </c>
      <c r="C18" s="727">
        <v>6</v>
      </c>
      <c r="D18" s="728">
        <f>((((((((8800000*1.08)*1.019)+700)*55.97%)/15)*12)/30)*20)*1.043</f>
        <v>3015437.591050453</v>
      </c>
      <c r="E18" s="727">
        <v>5.44</v>
      </c>
      <c r="F18" s="728">
        <f t="shared" si="1"/>
        <v>98423882.971886784</v>
      </c>
    </row>
    <row r="19" spans="1:7" ht="15.75" thickBot="1">
      <c r="A19" s="729">
        <v>16</v>
      </c>
      <c r="B19" s="1293" t="s">
        <v>1705</v>
      </c>
      <c r="C19" s="1294"/>
      <c r="D19" s="1294"/>
      <c r="E19" s="1295"/>
      <c r="F19" s="730">
        <f>SUM(F16:F18)</f>
        <v>1362366943.9473166</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2">
        <f>'[1]ANEXO 3,1,'!I17/5.44</f>
        <v>12308899.999999998</v>
      </c>
      <c r="D22" s="1303"/>
      <c r="E22" s="727">
        <v>5.44</v>
      </c>
      <c r="F22" s="728">
        <f>C22*E22</f>
        <v>66960415.999999993</v>
      </c>
      <c r="G22" t="str">
        <f>+IF(GESTEP(F22,39984000),"cumple","no cumple")</f>
        <v>cumple</v>
      </c>
    </row>
    <row r="23" spans="1:7" ht="15.75" thickBot="1">
      <c r="A23" s="729">
        <v>20</v>
      </c>
      <c r="B23" s="1293" t="s">
        <v>1714</v>
      </c>
      <c r="C23" s="1294"/>
      <c r="D23" s="1294"/>
      <c r="E23" s="1295"/>
      <c r="F23" s="730">
        <f>F22</f>
        <v>66960415.999999993</v>
      </c>
    </row>
    <row r="24" spans="1:7" ht="15.75" thickBot="1">
      <c r="A24" s="729">
        <v>21</v>
      </c>
      <c r="B24" s="1293" t="s">
        <v>1715</v>
      </c>
      <c r="C24" s="1294"/>
      <c r="D24" s="1294"/>
      <c r="E24" s="1295"/>
      <c r="F24" s="730">
        <f>F19+F23</f>
        <v>1429327359.9473166</v>
      </c>
    </row>
    <row r="25" spans="1:7" ht="16.5" thickBot="1">
      <c r="A25" s="729">
        <v>22</v>
      </c>
      <c r="B25" s="1296" t="s">
        <v>1716</v>
      </c>
      <c r="C25" s="1297"/>
      <c r="D25" s="1297"/>
      <c r="E25" s="1298"/>
      <c r="F25" s="731">
        <f>F12+F24</f>
        <v>1681746614.6839566</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D7256-27BA-45C8-9289-AEE3EF1527A4}">
  <dimension ref="A1:G25"/>
  <sheetViews>
    <sheetView topLeftCell="A19" workbookViewId="0">
      <selection activeCell="F22" sqref="F22"/>
    </sheetView>
  </sheetViews>
  <sheetFormatPr baseColWidth="10" defaultRowHeight="15"/>
  <cols>
    <col min="4" max="4" width="19.85546875" customWidth="1"/>
    <col min="6" max="6" width="18.140625"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2">
        <v>9864200</v>
      </c>
      <c r="E4" s="727">
        <v>1</v>
      </c>
      <c r="F4" s="732">
        <f>D4*C4</f>
        <v>187419800</v>
      </c>
    </row>
    <row r="5" spans="1:7" ht="99.75" thickBot="1">
      <c r="A5" s="725">
        <v>3</v>
      </c>
      <c r="B5" s="726" t="s">
        <v>1682</v>
      </c>
      <c r="C5" s="727">
        <v>12</v>
      </c>
      <c r="D5" s="732">
        <f>2944684</f>
        <v>2944684</v>
      </c>
      <c r="E5" s="727">
        <v>1</v>
      </c>
      <c r="F5" s="732">
        <f t="shared" ref="F5:F6" si="0">D5*C5</f>
        <v>35336208</v>
      </c>
    </row>
    <row r="6" spans="1:7" ht="99.75" thickBot="1">
      <c r="A6" s="725">
        <v>4</v>
      </c>
      <c r="B6" s="726" t="s">
        <v>1683</v>
      </c>
      <c r="C6" s="727">
        <v>6</v>
      </c>
      <c r="D6" s="732">
        <v>2891149</v>
      </c>
      <c r="E6" s="727">
        <v>1</v>
      </c>
      <c r="F6" s="732">
        <f t="shared" si="0"/>
        <v>17346894</v>
      </c>
    </row>
    <row r="7" spans="1:7" ht="15.75" thickBot="1">
      <c r="A7" s="729">
        <v>5</v>
      </c>
      <c r="B7" s="1293" t="s">
        <v>1684</v>
      </c>
      <c r="C7" s="1294"/>
      <c r="D7" s="1294"/>
      <c r="E7" s="1295"/>
      <c r="F7" s="733">
        <f>SUM(F4:F6)</f>
        <v>240102902</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04">
        <f>'[2]ANEXO 3,1,'!E17</f>
        <v>13110963</v>
      </c>
      <c r="D10" s="1303"/>
      <c r="E10" s="727">
        <v>1</v>
      </c>
      <c r="F10" s="734">
        <f>C10*E10</f>
        <v>13110963</v>
      </c>
      <c r="G10" t="str">
        <f>+IF(GESTEP(F10,7350000),"cumple","no cumple")</f>
        <v>cumple</v>
      </c>
    </row>
    <row r="11" spans="1:7" ht="15.75" thickBot="1">
      <c r="A11" s="729">
        <v>9</v>
      </c>
      <c r="B11" s="1293" t="s">
        <v>1694</v>
      </c>
      <c r="C11" s="1294"/>
      <c r="D11" s="1294"/>
      <c r="E11" s="1295"/>
      <c r="F11" s="733">
        <f>F10</f>
        <v>13110963</v>
      </c>
    </row>
    <row r="12" spans="1:7" ht="15.75" thickBot="1">
      <c r="A12" s="729">
        <v>10</v>
      </c>
      <c r="B12" s="1293" t="s">
        <v>1695</v>
      </c>
      <c r="C12" s="1294"/>
      <c r="D12" s="1294"/>
      <c r="E12" s="1295"/>
      <c r="F12" s="733">
        <f>F11+F7</f>
        <v>253213865</v>
      </c>
      <c r="G12" t="str">
        <f>+IF(F12&lt;256580747,"cumple","no cumple")</f>
        <v>cumple</v>
      </c>
    </row>
    <row r="13" spans="1:7" ht="15.75" thickBot="1">
      <c r="A13" s="1299" t="s">
        <v>1696</v>
      </c>
      <c r="B13" s="1300"/>
      <c r="C13" s="1300"/>
      <c r="D13" s="1300"/>
      <c r="E13" s="1300"/>
      <c r="F13" s="1301"/>
    </row>
    <row r="14" spans="1:7" ht="45.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4">
        <f>D4*1.043</f>
        <v>10288360.6</v>
      </c>
      <c r="E16" s="727">
        <v>5.44</v>
      </c>
      <c r="F16" s="735">
        <f>ROUND((C16*D16*E16),0)</f>
        <v>1063404952</v>
      </c>
    </row>
    <row r="17" spans="1:7" ht="99.75" thickBot="1">
      <c r="A17" s="725">
        <v>14</v>
      </c>
      <c r="B17" s="726" t="s">
        <v>1682</v>
      </c>
      <c r="C17" s="727">
        <v>12</v>
      </c>
      <c r="D17" s="734">
        <f t="shared" ref="D17:D18" si="1">D5*1.043</f>
        <v>3071305.412</v>
      </c>
      <c r="E17" s="727">
        <v>5.44</v>
      </c>
      <c r="F17" s="735">
        <f t="shared" ref="F17:F18" si="2">ROUND((C17*D17*E17),0)</f>
        <v>200494817</v>
      </c>
    </row>
    <row r="18" spans="1:7" ht="99.75" thickBot="1">
      <c r="A18" s="725">
        <v>15</v>
      </c>
      <c r="B18" s="726" t="s">
        <v>1683</v>
      </c>
      <c r="C18" s="727">
        <v>6</v>
      </c>
      <c r="D18" s="734">
        <f t="shared" si="1"/>
        <v>3015468.4069999997</v>
      </c>
      <c r="E18" s="727">
        <v>5.44</v>
      </c>
      <c r="F18" s="735">
        <f t="shared" si="2"/>
        <v>98424889</v>
      </c>
    </row>
    <row r="19" spans="1:7" ht="15.75" thickBot="1">
      <c r="A19" s="729">
        <v>16</v>
      </c>
      <c r="B19" s="1293" t="s">
        <v>1705</v>
      </c>
      <c r="C19" s="1294"/>
      <c r="D19" s="1294"/>
      <c r="E19" s="1295"/>
      <c r="F19" s="733">
        <f>SUM(F16:F18)</f>
        <v>1362324658</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13110963</v>
      </c>
      <c r="D22" s="1303"/>
      <c r="E22" s="727">
        <v>5.44</v>
      </c>
      <c r="F22" s="734">
        <f>ROUND((C22*E22),0)</f>
        <v>71323639</v>
      </c>
      <c r="G22" t="str">
        <f>+IF(GESTEP(F22,39984000),"cumple","no cumple")</f>
        <v>cumple</v>
      </c>
    </row>
    <row r="23" spans="1:7" ht="15.75" thickBot="1">
      <c r="A23" s="729">
        <v>20</v>
      </c>
      <c r="B23" s="1293" t="s">
        <v>1714</v>
      </c>
      <c r="C23" s="1294"/>
      <c r="D23" s="1294"/>
      <c r="E23" s="1295"/>
      <c r="F23" s="733">
        <f>F22</f>
        <v>71323639</v>
      </c>
    </row>
    <row r="24" spans="1:7" ht="15.75" thickBot="1">
      <c r="A24" s="729">
        <v>21</v>
      </c>
      <c r="B24" s="1293" t="s">
        <v>1715</v>
      </c>
      <c r="C24" s="1294"/>
      <c r="D24" s="1294"/>
      <c r="E24" s="1295"/>
      <c r="F24" s="733">
        <f>F23+F19</f>
        <v>1433648297</v>
      </c>
    </row>
    <row r="25" spans="1:7" ht="16.5" thickBot="1">
      <c r="A25" s="729">
        <v>22</v>
      </c>
      <c r="B25" s="1296" t="s">
        <v>1716</v>
      </c>
      <c r="C25" s="1297"/>
      <c r="D25" s="1297"/>
      <c r="E25" s="1298"/>
      <c r="F25" s="736">
        <f>F24+F12</f>
        <v>1686862162</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BF55F-28A9-43DF-B31C-BC1E76C71A13}">
  <sheetPr>
    <tabColor rgb="FFFFFF00"/>
  </sheetPr>
  <dimension ref="A1:G25"/>
  <sheetViews>
    <sheetView topLeftCell="A19" workbookViewId="0">
      <selection activeCell="G26" sqref="G26"/>
    </sheetView>
  </sheetViews>
  <sheetFormatPr baseColWidth="10" defaultRowHeight="15"/>
  <cols>
    <col min="4" max="4" width="19.85546875" customWidth="1"/>
    <col min="6" max="6" width="18.140625"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2">
        <v>9173446</v>
      </c>
      <c r="E4" s="727">
        <v>1</v>
      </c>
      <c r="F4" s="732">
        <f>D4*C4</f>
        <v>174295474</v>
      </c>
    </row>
    <row r="5" spans="1:7" ht="99.75" thickBot="1">
      <c r="A5" s="725">
        <v>3</v>
      </c>
      <c r="B5" s="726" t="s">
        <v>1682</v>
      </c>
      <c r="C5" s="727">
        <v>12</v>
      </c>
      <c r="D5" s="732">
        <v>2738335</v>
      </c>
      <c r="E5" s="727">
        <v>1</v>
      </c>
      <c r="F5" s="732">
        <f t="shared" ref="F5:F6" si="0">D5*C5</f>
        <v>32860020</v>
      </c>
    </row>
    <row r="6" spans="1:7" ht="99.75" thickBot="1">
      <c r="A6" s="725">
        <v>4</v>
      </c>
      <c r="B6" s="726" t="s">
        <v>1683</v>
      </c>
      <c r="C6" s="727">
        <v>6</v>
      </c>
      <c r="D6" s="732">
        <v>2688547</v>
      </c>
      <c r="E6" s="727">
        <v>1</v>
      </c>
      <c r="F6" s="732">
        <f t="shared" si="0"/>
        <v>16131282</v>
      </c>
    </row>
    <row r="7" spans="1:7" ht="15.75" thickBot="1">
      <c r="A7" s="729">
        <v>5</v>
      </c>
      <c r="B7" s="1293" t="s">
        <v>1684</v>
      </c>
      <c r="C7" s="1294"/>
      <c r="D7" s="1294"/>
      <c r="E7" s="1295"/>
      <c r="F7" s="733">
        <f>SUM(F4:F6)</f>
        <v>223286776</v>
      </c>
      <c r="G7" t="str">
        <f>+IF(GESTEP(F7,240102770),"cumple","no cumple")</f>
        <v>no 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04">
        <v>7350000</v>
      </c>
      <c r="D10" s="1303"/>
      <c r="E10" s="727">
        <v>1</v>
      </c>
      <c r="F10" s="734">
        <f>C10*E10</f>
        <v>7350000</v>
      </c>
      <c r="G10" t="str">
        <f>+IF(GESTEP(F10,7350000),"cumple","no cumple")</f>
        <v>cumple</v>
      </c>
    </row>
    <row r="11" spans="1:7" ht="15.75" thickBot="1">
      <c r="A11" s="729">
        <v>9</v>
      </c>
      <c r="B11" s="1293" t="s">
        <v>1694</v>
      </c>
      <c r="C11" s="1294"/>
      <c r="D11" s="1294"/>
      <c r="E11" s="1295"/>
      <c r="F11" s="733">
        <f>F10</f>
        <v>7350000</v>
      </c>
    </row>
    <row r="12" spans="1:7" ht="15.75" thickBot="1">
      <c r="A12" s="729">
        <v>10</v>
      </c>
      <c r="B12" s="1293" t="s">
        <v>1695</v>
      </c>
      <c r="C12" s="1294"/>
      <c r="D12" s="1294"/>
      <c r="E12" s="1295"/>
      <c r="F12" s="733">
        <f>F11+F7</f>
        <v>230636776</v>
      </c>
      <c r="G12" t="str">
        <f>+IF(F12&lt;256580747,"cumple","no cumple")</f>
        <v>cumple</v>
      </c>
    </row>
    <row r="13" spans="1:7" ht="15.75" thickBot="1">
      <c r="A13" s="1299" t="s">
        <v>1696</v>
      </c>
      <c r="B13" s="1300"/>
      <c r="C13" s="1300"/>
      <c r="D13" s="1300"/>
      <c r="E13" s="1300"/>
      <c r="F13" s="1301"/>
    </row>
    <row r="14" spans="1:7" ht="45.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4">
        <f>D4*1.043</f>
        <v>9567904.1779999994</v>
      </c>
      <c r="E16" s="727">
        <v>5.44</v>
      </c>
      <c r="F16" s="735">
        <f>ROUND((C16*D16*E16),0)</f>
        <v>988938576</v>
      </c>
    </row>
    <row r="17" spans="1:7" ht="99.75" thickBot="1">
      <c r="A17" s="725">
        <v>14</v>
      </c>
      <c r="B17" s="726" t="s">
        <v>1682</v>
      </c>
      <c r="C17" s="727">
        <v>12</v>
      </c>
      <c r="D17" s="734">
        <f t="shared" ref="D17:D18" si="1">D5*1.043</f>
        <v>2856083.4049999998</v>
      </c>
      <c r="E17" s="727">
        <v>5.44</v>
      </c>
      <c r="F17" s="735">
        <f t="shared" ref="F17:F18" si="2">ROUND((C17*D17*E17),0)</f>
        <v>186445125</v>
      </c>
    </row>
    <row r="18" spans="1:7" ht="99.75" thickBot="1">
      <c r="A18" s="725">
        <v>15</v>
      </c>
      <c r="B18" s="726" t="s">
        <v>1683</v>
      </c>
      <c r="C18" s="727">
        <v>6</v>
      </c>
      <c r="D18" s="734">
        <f t="shared" si="1"/>
        <v>2804154.5209999997</v>
      </c>
      <c r="E18" s="727">
        <v>5.44</v>
      </c>
      <c r="F18" s="735">
        <f t="shared" si="2"/>
        <v>91527604</v>
      </c>
    </row>
    <row r="19" spans="1:7" ht="15.75" thickBot="1">
      <c r="A19" s="729">
        <v>16</v>
      </c>
      <c r="B19" s="1293" t="s">
        <v>1705</v>
      </c>
      <c r="C19" s="1294"/>
      <c r="D19" s="1294"/>
      <c r="E19" s="1295"/>
      <c r="F19" s="733">
        <f>SUM(F16:F18)</f>
        <v>1266911305</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7350000</v>
      </c>
      <c r="D22" s="1303"/>
      <c r="E22" s="727">
        <v>5.44</v>
      </c>
      <c r="F22" s="734">
        <f>ROUND((C22*E22),0)</f>
        <v>39984000</v>
      </c>
      <c r="G22" t="str">
        <f>+IF(GESTEP(F22,39984000),"cumple","no cumple")</f>
        <v>cumple</v>
      </c>
    </row>
    <row r="23" spans="1:7" ht="15.75" thickBot="1">
      <c r="A23" s="729">
        <v>20</v>
      </c>
      <c r="B23" s="1293" t="s">
        <v>1714</v>
      </c>
      <c r="C23" s="1294"/>
      <c r="D23" s="1294"/>
      <c r="E23" s="1295"/>
      <c r="F23" s="733">
        <f>F22</f>
        <v>39984000</v>
      </c>
    </row>
    <row r="24" spans="1:7" ht="15.75" thickBot="1">
      <c r="A24" s="729">
        <v>21</v>
      </c>
      <c r="B24" s="1293" t="s">
        <v>1715</v>
      </c>
      <c r="C24" s="1294"/>
      <c r="D24" s="1294"/>
      <c r="E24" s="1295"/>
      <c r="F24" s="733">
        <f>F23+F19</f>
        <v>1306895305</v>
      </c>
    </row>
    <row r="25" spans="1:7" ht="16.5" thickBot="1">
      <c r="A25" s="729">
        <v>22</v>
      </c>
      <c r="B25" s="1296" t="s">
        <v>1716</v>
      </c>
      <c r="C25" s="1297"/>
      <c r="D25" s="1297"/>
      <c r="E25" s="1298"/>
      <c r="F25" s="736">
        <f>F24+F12</f>
        <v>1537532081</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F40ED-7AB6-4DA8-83F3-6AD9A58350B5}">
  <dimension ref="A1:G25"/>
  <sheetViews>
    <sheetView topLeftCell="A19" workbookViewId="0">
      <selection activeCell="G7" sqref="G7"/>
    </sheetView>
  </sheetViews>
  <sheetFormatPr baseColWidth="10" defaultRowHeight="15"/>
  <cols>
    <col min="4" max="4" width="14" bestFit="1" customWidth="1"/>
    <col min="6" max="6" width="18.28515625" customWidth="1"/>
  </cols>
  <sheetData>
    <row r="1" spans="1:7" ht="15.75" thickBot="1">
      <c r="A1" s="1299" t="s">
        <v>1669</v>
      </c>
      <c r="B1" s="1300"/>
      <c r="C1" s="1300"/>
      <c r="D1" s="1300"/>
      <c r="E1" s="1300"/>
      <c r="F1" s="1301"/>
    </row>
    <row r="2" spans="1:7" ht="45.75" thickBot="1">
      <c r="A2" s="722" t="s">
        <v>1670</v>
      </c>
      <c r="B2" s="723" t="s">
        <v>1671</v>
      </c>
      <c r="C2" s="723" t="s">
        <v>1672</v>
      </c>
      <c r="D2" s="723" t="s">
        <v>1673</v>
      </c>
      <c r="E2" s="723" t="s">
        <v>1674</v>
      </c>
      <c r="F2" s="723" t="s">
        <v>1675</v>
      </c>
    </row>
    <row r="3" spans="1:7" ht="15.75" thickBot="1">
      <c r="A3" s="724">
        <v>1</v>
      </c>
      <c r="B3" s="723" t="s">
        <v>1676</v>
      </c>
      <c r="C3" s="723" t="s">
        <v>1677</v>
      </c>
      <c r="D3" s="723" t="s">
        <v>1678</v>
      </c>
      <c r="E3" s="723" t="s">
        <v>1679</v>
      </c>
      <c r="F3" s="723" t="s">
        <v>1680</v>
      </c>
    </row>
    <row r="4" spans="1:7" ht="90.75" thickBot="1">
      <c r="A4" s="725">
        <v>2</v>
      </c>
      <c r="B4" s="726" t="s">
        <v>1681</v>
      </c>
      <c r="C4" s="727">
        <v>19</v>
      </c>
      <c r="D4" s="737">
        <f>ROUND(9864633.3,0)</f>
        <v>9864633</v>
      </c>
      <c r="E4" s="727">
        <v>1</v>
      </c>
      <c r="F4" s="737">
        <f>(C4*D4)*E4</f>
        <v>187428027</v>
      </c>
    </row>
    <row r="5" spans="1:7" ht="99.75" thickBot="1">
      <c r="A5" s="725">
        <v>3</v>
      </c>
      <c r="B5" s="726" t="s">
        <v>1682</v>
      </c>
      <c r="C5" s="727">
        <v>12</v>
      </c>
      <c r="D5" s="737">
        <f>ROUND(2944684.67,0)</f>
        <v>2944685</v>
      </c>
      <c r="E5" s="727">
        <v>1</v>
      </c>
      <c r="F5" s="737">
        <f t="shared" ref="F5:F6" si="0">(C5*D5)*E5</f>
        <v>35336220</v>
      </c>
    </row>
    <row r="6" spans="1:7" ht="99.75" thickBot="1">
      <c r="A6" s="725">
        <v>4</v>
      </c>
      <c r="B6" s="726" t="s">
        <v>1683</v>
      </c>
      <c r="C6" s="727">
        <v>6</v>
      </c>
      <c r="D6" s="737">
        <f>ROUND(2891148.27,0)</f>
        <v>2891148</v>
      </c>
      <c r="E6" s="727">
        <v>1</v>
      </c>
      <c r="F6" s="737">
        <f t="shared" si="0"/>
        <v>17346888</v>
      </c>
    </row>
    <row r="7" spans="1:7" ht="15.75" thickBot="1">
      <c r="A7" s="729">
        <v>5</v>
      </c>
      <c r="B7" s="1293" t="s">
        <v>1684</v>
      </c>
      <c r="C7" s="1294"/>
      <c r="D7" s="1294"/>
      <c r="E7" s="1295"/>
      <c r="F7" s="738">
        <f>SUM(F4:F6)</f>
        <v>240111135</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06">
        <f>'[3]ANEXO 3,1,'!E17</f>
        <v>11291573</v>
      </c>
      <c r="D10" s="1307"/>
      <c r="E10" s="727">
        <v>1</v>
      </c>
      <c r="F10" s="737">
        <f>C10*E10</f>
        <v>11291573</v>
      </c>
      <c r="G10" t="str">
        <f>+IF(GESTEP(F10,7350000),"cumple","no cumple")</f>
        <v>cumple</v>
      </c>
    </row>
    <row r="11" spans="1:7" ht="15.75" thickBot="1">
      <c r="A11" s="729">
        <v>9</v>
      </c>
      <c r="B11" s="1293" t="s">
        <v>1694</v>
      </c>
      <c r="C11" s="1294"/>
      <c r="D11" s="1294"/>
      <c r="E11" s="1295"/>
      <c r="F11" s="739">
        <f>SUM(F10)</f>
        <v>11291573</v>
      </c>
    </row>
    <row r="12" spans="1:7" ht="15.75" thickBot="1">
      <c r="A12" s="729">
        <v>10</v>
      </c>
      <c r="B12" s="1293" t="s">
        <v>1695</v>
      </c>
      <c r="C12" s="1294"/>
      <c r="D12" s="1294"/>
      <c r="E12" s="1295"/>
      <c r="F12" s="739">
        <f>F7+F11</f>
        <v>251402708</v>
      </c>
      <c r="G12" t="str">
        <f>+IF(F12&lt;256580747,"cumple","no cumple")</f>
        <v>cumple</v>
      </c>
    </row>
    <row r="13" spans="1:7" ht="15.75" thickBot="1">
      <c r="A13" s="1299" t="s">
        <v>1696</v>
      </c>
      <c r="B13" s="1300"/>
      <c r="C13" s="1300"/>
      <c r="D13" s="1300"/>
      <c r="E13" s="1300"/>
      <c r="F13" s="1301"/>
    </row>
    <row r="14" spans="1:7" ht="81.75" thickBot="1">
      <c r="A14" s="724">
        <v>11</v>
      </c>
      <c r="B14" s="723" t="s">
        <v>1671</v>
      </c>
      <c r="C14" s="723" t="s">
        <v>1672</v>
      </c>
      <c r="D14" s="723" t="s">
        <v>1697</v>
      </c>
      <c r="E14" s="723" t="s">
        <v>1698</v>
      </c>
      <c r="F14" s="723" t="s">
        <v>1699</v>
      </c>
    </row>
    <row r="15" spans="1:7" ht="15.75" thickBot="1">
      <c r="A15" s="724">
        <v>12</v>
      </c>
      <c r="B15" s="723" t="s">
        <v>1700</v>
      </c>
      <c r="C15" s="723" t="s">
        <v>1701</v>
      </c>
      <c r="D15" s="723" t="s">
        <v>1702</v>
      </c>
      <c r="E15" s="723" t="s">
        <v>1703</v>
      </c>
      <c r="F15" s="723" t="s">
        <v>1704</v>
      </c>
    </row>
    <row r="16" spans="1:7" ht="90.75" thickBot="1">
      <c r="A16" s="725">
        <v>13</v>
      </c>
      <c r="B16" s="726" t="s">
        <v>1681</v>
      </c>
      <c r="C16" s="727">
        <v>19</v>
      </c>
      <c r="D16" s="737">
        <f>ROUND(D4*4.3%+D4,0)</f>
        <v>10288812</v>
      </c>
      <c r="E16" s="727">
        <v>5.44</v>
      </c>
      <c r="F16" s="737">
        <f>ROUND((C16*D16)*E16,0)</f>
        <v>1063451608</v>
      </c>
    </row>
    <row r="17" spans="1:7" ht="99.75" thickBot="1">
      <c r="A17" s="725">
        <v>14</v>
      </c>
      <c r="B17" s="726" t="s">
        <v>1682</v>
      </c>
      <c r="C17" s="727">
        <v>12</v>
      </c>
      <c r="D17" s="737">
        <f t="shared" ref="D17:D18" si="1">ROUND(D5*4.3%+D5,0)</f>
        <v>3071306</v>
      </c>
      <c r="E17" s="727">
        <v>5.44</v>
      </c>
      <c r="F17" s="737">
        <f t="shared" ref="F17:F18" si="2">ROUND((C17*D17)*E17,0)</f>
        <v>200494856</v>
      </c>
    </row>
    <row r="18" spans="1:7" ht="99.75" thickBot="1">
      <c r="A18" s="725">
        <v>15</v>
      </c>
      <c r="B18" s="726" t="s">
        <v>1683</v>
      </c>
      <c r="C18" s="727">
        <v>6</v>
      </c>
      <c r="D18" s="737">
        <f t="shared" si="1"/>
        <v>3015467</v>
      </c>
      <c r="E18" s="727">
        <v>5.44</v>
      </c>
      <c r="F18" s="737">
        <f t="shared" si="2"/>
        <v>98424843</v>
      </c>
    </row>
    <row r="19" spans="1:7" ht="15.75" thickBot="1">
      <c r="A19" s="729">
        <v>16</v>
      </c>
      <c r="B19" s="1293" t="s">
        <v>1705</v>
      </c>
      <c r="C19" s="1294"/>
      <c r="D19" s="1294"/>
      <c r="E19" s="1295"/>
      <c r="F19" s="738">
        <f>SUM(F16:F18)</f>
        <v>1362371307</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5">
        <f>C10</f>
        <v>11291573</v>
      </c>
      <c r="D22" s="1303"/>
      <c r="E22" s="727">
        <v>5.44</v>
      </c>
      <c r="F22" s="740">
        <f>ROUND(C22*E22,0)</f>
        <v>61426157</v>
      </c>
      <c r="G22" t="str">
        <f>+IF(GESTEP(F22,39984000),"cumple","no cumple")</f>
        <v>cumple</v>
      </c>
    </row>
    <row r="23" spans="1:7" ht="15.75" thickBot="1">
      <c r="A23" s="729">
        <v>20</v>
      </c>
      <c r="B23" s="1293" t="s">
        <v>1714</v>
      </c>
      <c r="C23" s="1294"/>
      <c r="D23" s="1294"/>
      <c r="E23" s="1295"/>
      <c r="F23" s="741">
        <f>F22</f>
        <v>61426157</v>
      </c>
    </row>
    <row r="24" spans="1:7" ht="15.75" thickBot="1">
      <c r="A24" s="729">
        <v>21</v>
      </c>
      <c r="B24" s="1293" t="s">
        <v>1715</v>
      </c>
      <c r="C24" s="1294"/>
      <c r="D24" s="1294"/>
      <c r="E24" s="1295"/>
      <c r="F24" s="739">
        <f>F19+F23</f>
        <v>1423797464</v>
      </c>
    </row>
    <row r="25" spans="1:7" ht="16.5" thickBot="1">
      <c r="A25" s="729">
        <v>22</v>
      </c>
      <c r="B25" s="1296" t="s">
        <v>1716</v>
      </c>
      <c r="C25" s="1297"/>
      <c r="D25" s="1297"/>
      <c r="E25" s="1298"/>
      <c r="F25" s="742">
        <f>F12+F24</f>
        <v>1675200172</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98BD2-1280-4715-A110-999D6EDEA91D}">
  <dimension ref="A1:G39"/>
  <sheetViews>
    <sheetView topLeftCell="A19" workbookViewId="0">
      <selection activeCell="G7" sqref="G7"/>
    </sheetView>
  </sheetViews>
  <sheetFormatPr baseColWidth="10" defaultRowHeight="15"/>
  <cols>
    <col min="4" max="4" width="14.5703125" customWidth="1"/>
    <col min="6" max="6" width="17.85546875"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43">
        <v>9864633.3000000007</v>
      </c>
      <c r="E4" s="727">
        <v>1</v>
      </c>
      <c r="F4" s="743">
        <f>C4*D4*E4</f>
        <v>187428032.70000002</v>
      </c>
    </row>
    <row r="5" spans="1:7" ht="99.75" thickBot="1">
      <c r="A5" s="725">
        <v>3</v>
      </c>
      <c r="B5" s="726" t="s">
        <v>1682</v>
      </c>
      <c r="C5" s="727">
        <v>12</v>
      </c>
      <c r="D5" s="743">
        <v>2944683.6710000001</v>
      </c>
      <c r="E5" s="727">
        <v>1</v>
      </c>
      <c r="F5" s="743">
        <f t="shared" ref="F5:F6" si="0">C5*D5*E5</f>
        <v>35336204.052000001</v>
      </c>
    </row>
    <row r="6" spans="1:7" ht="99.75" thickBot="1">
      <c r="A6" s="725">
        <v>4</v>
      </c>
      <c r="B6" s="726" t="s">
        <v>1683</v>
      </c>
      <c r="C6" s="727">
        <v>6</v>
      </c>
      <c r="D6" s="743">
        <v>2891148.2667999999</v>
      </c>
      <c r="E6" s="727">
        <v>1</v>
      </c>
      <c r="F6" s="743">
        <f t="shared" si="0"/>
        <v>17346889.6008</v>
      </c>
    </row>
    <row r="7" spans="1:7" ht="15.75" thickBot="1">
      <c r="A7" s="729">
        <v>5</v>
      </c>
      <c r="B7" s="1293" t="s">
        <v>1684</v>
      </c>
      <c r="C7" s="1294"/>
      <c r="D7" s="1294"/>
      <c r="E7" s="1295"/>
      <c r="F7" s="744">
        <f>SUM(F4:F6)</f>
        <v>240111126.35280004</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08">
        <v>16469620.332</v>
      </c>
      <c r="D10" s="1309"/>
      <c r="E10" s="727">
        <v>1</v>
      </c>
      <c r="F10" s="743">
        <f>E10*C10</f>
        <v>16469620.332</v>
      </c>
      <c r="G10" t="str">
        <f>+IF(GESTEP(F10,7350000),"cumple","no cumple")</f>
        <v>cumple</v>
      </c>
    </row>
    <row r="11" spans="1:7" ht="15.75" thickBot="1">
      <c r="A11" s="729">
        <v>9</v>
      </c>
      <c r="B11" s="1293" t="s">
        <v>1694</v>
      </c>
      <c r="C11" s="1294"/>
      <c r="D11" s="1294"/>
      <c r="E11" s="1295"/>
      <c r="F11" s="744">
        <f>F10</f>
        <v>16469620.332</v>
      </c>
    </row>
    <row r="12" spans="1:7" ht="15.75" thickBot="1">
      <c r="A12" s="729">
        <v>10</v>
      </c>
      <c r="B12" s="1293" t="s">
        <v>1695</v>
      </c>
      <c r="C12" s="1294"/>
      <c r="D12" s="1294"/>
      <c r="E12" s="1295"/>
      <c r="F12" s="744">
        <f>F11+F7</f>
        <v>256580746.68480003</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43">
        <f>D4*104.3%</f>
        <v>10288812.5319</v>
      </c>
      <c r="E16" s="727" t="s">
        <v>1717</v>
      </c>
      <c r="F16" s="743">
        <f>C16*D16*5.44</f>
        <v>1063451663.297184</v>
      </c>
    </row>
    <row r="17" spans="1:7" ht="99.75" thickBot="1">
      <c r="A17" s="725">
        <v>14</v>
      </c>
      <c r="B17" s="726" t="s">
        <v>1682</v>
      </c>
      <c r="C17" s="727">
        <v>12</v>
      </c>
      <c r="D17" s="743">
        <f t="shared" ref="D17:D18" si="1">D5*104.3%</f>
        <v>3071305.0688529997</v>
      </c>
      <c r="E17" s="727" t="s">
        <v>1717</v>
      </c>
      <c r="F17" s="743">
        <f t="shared" ref="F17:F18" si="2">C17*D17*5.44</f>
        <v>200494794.89472383</v>
      </c>
    </row>
    <row r="18" spans="1:7" ht="99.75" thickBot="1">
      <c r="A18" s="725">
        <v>15</v>
      </c>
      <c r="B18" s="726" t="s">
        <v>1683</v>
      </c>
      <c r="C18" s="727">
        <v>6</v>
      </c>
      <c r="D18" s="743">
        <f t="shared" si="1"/>
        <v>3015467.6422723997</v>
      </c>
      <c r="E18" s="727" t="s">
        <v>1717</v>
      </c>
      <c r="F18" s="743">
        <f t="shared" si="2"/>
        <v>98424863.84377113</v>
      </c>
    </row>
    <row r="19" spans="1:7" ht="15.75" thickBot="1">
      <c r="A19" s="729">
        <v>16</v>
      </c>
      <c r="B19" s="1293" t="s">
        <v>1705</v>
      </c>
      <c r="C19" s="1294"/>
      <c r="D19" s="1294"/>
      <c r="E19" s="1295"/>
      <c r="F19" s="744">
        <f>SUM(F16:F18)</f>
        <v>1362371322.0356791</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8">
        <f>C10</f>
        <v>16469620.332</v>
      </c>
      <c r="D22" s="1303"/>
      <c r="E22" s="727" t="s">
        <v>1717</v>
      </c>
      <c r="F22" s="743">
        <f>C22*5.44</f>
        <v>89594734.606080011</v>
      </c>
      <c r="G22" t="str">
        <f>+IF(GESTEP(F22,39984000),"cumple","no cumple")</f>
        <v>cumple</v>
      </c>
    </row>
    <row r="23" spans="1:7" ht="15.75" thickBot="1">
      <c r="A23" s="729">
        <v>20</v>
      </c>
      <c r="B23" s="1293" t="s">
        <v>1714</v>
      </c>
      <c r="C23" s="1294"/>
      <c r="D23" s="1294"/>
      <c r="E23" s="1295"/>
      <c r="F23" s="744">
        <f>F22</f>
        <v>89594734.606080011</v>
      </c>
    </row>
    <row r="24" spans="1:7" ht="15.75" thickBot="1">
      <c r="A24" s="729">
        <v>21</v>
      </c>
      <c r="B24" s="1293" t="s">
        <v>1715</v>
      </c>
      <c r="C24" s="1294"/>
      <c r="D24" s="1294"/>
      <c r="E24" s="1295"/>
      <c r="F24" s="744">
        <f>F23+F19</f>
        <v>1451966056.6417592</v>
      </c>
    </row>
    <row r="25" spans="1:7" ht="16.5" thickBot="1">
      <c r="A25" s="729">
        <v>22</v>
      </c>
      <c r="B25" s="1296" t="s">
        <v>1716</v>
      </c>
      <c r="C25" s="1297"/>
      <c r="D25" s="1297"/>
      <c r="E25" s="1298"/>
      <c r="F25" s="745">
        <f>ROUND(1708546803.32,0)</f>
        <v>1708546803</v>
      </c>
    </row>
    <row r="37" spans="7:7">
      <c r="G37">
        <v>30000</v>
      </c>
    </row>
    <row r="38" spans="7:7">
      <c r="G38">
        <v>11758</v>
      </c>
    </row>
    <row r="39" spans="7:7">
      <c r="G39">
        <f>+G37*G38</f>
        <v>352740000</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A9260-AB10-40EB-8613-D85E9C7FF763}">
  <dimension ref="A1:G25"/>
  <sheetViews>
    <sheetView topLeftCell="A19" workbookViewId="0">
      <selection activeCell="F22" sqref="F22"/>
    </sheetView>
  </sheetViews>
  <sheetFormatPr baseColWidth="10" defaultRowHeight="15"/>
  <cols>
    <col min="6" max="6" width="15.5703125" customWidth="1"/>
  </cols>
  <sheetData>
    <row r="1" spans="1:7" ht="15.75" thickBot="1">
      <c r="A1" s="1316" t="s">
        <v>1669</v>
      </c>
      <c r="B1" s="1317"/>
      <c r="C1" s="1317"/>
      <c r="D1" s="1317"/>
      <c r="E1" s="1317"/>
      <c r="F1" s="1318"/>
    </row>
    <row r="2" spans="1:7" ht="54.75" thickBot="1">
      <c r="A2" s="746" t="s">
        <v>1670</v>
      </c>
      <c r="B2" s="747" t="s">
        <v>1671</v>
      </c>
      <c r="C2" s="747" t="s">
        <v>1672</v>
      </c>
      <c r="D2" s="747" t="s">
        <v>1673</v>
      </c>
      <c r="E2" s="747" t="s">
        <v>1674</v>
      </c>
      <c r="F2" s="747" t="s">
        <v>1675</v>
      </c>
    </row>
    <row r="3" spans="1:7" ht="18.75" thickBot="1">
      <c r="A3" s="748">
        <v>1</v>
      </c>
      <c r="B3" s="747" t="s">
        <v>1676</v>
      </c>
      <c r="C3" s="747" t="s">
        <v>1677</v>
      </c>
      <c r="D3" s="747" t="s">
        <v>1678</v>
      </c>
      <c r="E3" s="747" t="s">
        <v>1679</v>
      </c>
      <c r="F3" s="747" t="s">
        <v>1680</v>
      </c>
    </row>
    <row r="4" spans="1:7" ht="90.75" thickBot="1">
      <c r="A4" s="749">
        <v>2</v>
      </c>
      <c r="B4" s="750" t="s">
        <v>1681</v>
      </c>
      <c r="C4" s="751">
        <v>19</v>
      </c>
      <c r="D4" s="752">
        <v>9864310</v>
      </c>
      <c r="E4" s="751">
        <v>1</v>
      </c>
      <c r="F4" s="752">
        <v>187421890</v>
      </c>
    </row>
    <row r="5" spans="1:7" ht="99.75" thickBot="1">
      <c r="A5" s="749">
        <v>3</v>
      </c>
      <c r="B5" s="750" t="s">
        <v>1682</v>
      </c>
      <c r="C5" s="751">
        <v>12</v>
      </c>
      <c r="D5" s="752">
        <v>2944562</v>
      </c>
      <c r="E5" s="751">
        <v>1</v>
      </c>
      <c r="F5" s="752">
        <v>35334744</v>
      </c>
    </row>
    <row r="6" spans="1:7" ht="99.75" thickBot="1">
      <c r="A6" s="749">
        <v>4</v>
      </c>
      <c r="B6" s="750" t="s">
        <v>1683</v>
      </c>
      <c r="C6" s="751">
        <v>6</v>
      </c>
      <c r="D6" s="752">
        <v>2891025</v>
      </c>
      <c r="E6" s="751">
        <v>1</v>
      </c>
      <c r="F6" s="752">
        <v>17346150</v>
      </c>
    </row>
    <row r="7" spans="1:7" ht="15.75" thickBot="1">
      <c r="A7" s="753">
        <v>5</v>
      </c>
      <c r="B7" s="1310" t="s">
        <v>1684</v>
      </c>
      <c r="C7" s="1311"/>
      <c r="D7" s="1311"/>
      <c r="E7" s="1312"/>
      <c r="F7" s="754">
        <v>240102784</v>
      </c>
      <c r="G7" t="str">
        <f>+IF(GESTEP(F7,240102770),"cumple","no cumple")</f>
        <v>cumple</v>
      </c>
    </row>
    <row r="8" spans="1:7" ht="45.75" thickBot="1">
      <c r="A8" s="748">
        <v>6</v>
      </c>
      <c r="B8" s="747" t="s">
        <v>1685</v>
      </c>
      <c r="C8" s="1316" t="s">
        <v>1686</v>
      </c>
      <c r="D8" s="1318"/>
      <c r="E8" s="747" t="s">
        <v>1687</v>
      </c>
      <c r="F8" s="747" t="s">
        <v>1688</v>
      </c>
    </row>
    <row r="9" spans="1:7" ht="15.75" thickBot="1">
      <c r="A9" s="748">
        <v>7</v>
      </c>
      <c r="B9" s="747" t="s">
        <v>1689</v>
      </c>
      <c r="C9" s="1316" t="s">
        <v>1690</v>
      </c>
      <c r="D9" s="1318"/>
      <c r="E9" s="747" t="s">
        <v>1691</v>
      </c>
      <c r="F9" s="747" t="s">
        <v>1692</v>
      </c>
    </row>
    <row r="10" spans="1:7" ht="45.75" thickBot="1">
      <c r="A10" s="749">
        <v>8</v>
      </c>
      <c r="B10" s="750" t="s">
        <v>1693</v>
      </c>
      <c r="C10" s="1321">
        <v>13444370.011699999</v>
      </c>
      <c r="D10" s="1322"/>
      <c r="E10" s="751">
        <v>1</v>
      </c>
      <c r="F10" s="755">
        <v>13444370.011699999</v>
      </c>
      <c r="G10" t="str">
        <f>+IF(GESTEP(F10,7350000),"cumple","no cumple")</f>
        <v>cumple</v>
      </c>
    </row>
    <row r="11" spans="1:7" ht="15.75" thickBot="1">
      <c r="A11" s="753">
        <v>9</v>
      </c>
      <c r="B11" s="1310" t="s">
        <v>1694</v>
      </c>
      <c r="C11" s="1311"/>
      <c r="D11" s="1311"/>
      <c r="E11" s="1312"/>
      <c r="F11" s="756">
        <v>13444370.011699999</v>
      </c>
    </row>
    <row r="12" spans="1:7" ht="15.75" thickBot="1">
      <c r="A12" s="753">
        <v>10</v>
      </c>
      <c r="B12" s="1310" t="s">
        <v>1695</v>
      </c>
      <c r="C12" s="1311"/>
      <c r="D12" s="1311"/>
      <c r="E12" s="1312"/>
      <c r="F12" s="756">
        <v>253547154.0117</v>
      </c>
    </row>
    <row r="13" spans="1:7" ht="15.75" thickBot="1">
      <c r="A13" s="1316" t="s">
        <v>1696</v>
      </c>
      <c r="B13" s="1317"/>
      <c r="C13" s="1317"/>
      <c r="D13" s="1317"/>
      <c r="E13" s="1317"/>
      <c r="F13" s="1318"/>
    </row>
    <row r="14" spans="1:7" ht="99.75" thickBot="1">
      <c r="A14" s="748">
        <v>11</v>
      </c>
      <c r="B14" s="747" t="s">
        <v>1671</v>
      </c>
      <c r="C14" s="747" t="s">
        <v>1672</v>
      </c>
      <c r="D14" s="747" t="s">
        <v>1697</v>
      </c>
      <c r="E14" s="747" t="s">
        <v>1698</v>
      </c>
      <c r="F14" s="747" t="s">
        <v>1699</v>
      </c>
    </row>
    <row r="15" spans="1:7" ht="18.75" thickBot="1">
      <c r="A15" s="748">
        <v>12</v>
      </c>
      <c r="B15" s="747" t="s">
        <v>1700</v>
      </c>
      <c r="C15" s="747" t="s">
        <v>1701</v>
      </c>
      <c r="D15" s="747" t="s">
        <v>1702</v>
      </c>
      <c r="E15" s="747" t="s">
        <v>1703</v>
      </c>
      <c r="F15" s="747" t="s">
        <v>1704</v>
      </c>
    </row>
    <row r="16" spans="1:7" ht="90.75" thickBot="1">
      <c r="A16" s="749">
        <v>13</v>
      </c>
      <c r="B16" s="750" t="s">
        <v>1681</v>
      </c>
      <c r="C16" s="751">
        <v>19</v>
      </c>
      <c r="D16" s="752">
        <v>10288475</v>
      </c>
      <c r="E16" s="751">
        <v>5.44</v>
      </c>
      <c r="F16" s="757">
        <v>1063416776.0000001</v>
      </c>
    </row>
    <row r="17" spans="1:7" ht="99.75" thickBot="1">
      <c r="A17" s="749">
        <v>14</v>
      </c>
      <c r="B17" s="750" t="s">
        <v>1682</v>
      </c>
      <c r="C17" s="751">
        <v>12</v>
      </c>
      <c r="D17" s="752">
        <v>3071178</v>
      </c>
      <c r="E17" s="751">
        <v>5.44</v>
      </c>
      <c r="F17" s="757">
        <v>200486499.84</v>
      </c>
    </row>
    <row r="18" spans="1:7" ht="99.75" thickBot="1">
      <c r="A18" s="749">
        <v>15</v>
      </c>
      <c r="B18" s="750" t="s">
        <v>1683</v>
      </c>
      <c r="C18" s="751">
        <v>6</v>
      </c>
      <c r="D18" s="752">
        <v>3015339</v>
      </c>
      <c r="E18" s="751">
        <v>5.44</v>
      </c>
      <c r="F18" s="757">
        <v>98420664.960000008</v>
      </c>
    </row>
    <row r="19" spans="1:7" ht="15.75" thickBot="1">
      <c r="A19" s="753">
        <v>16</v>
      </c>
      <c r="B19" s="1310" t="s">
        <v>1705</v>
      </c>
      <c r="C19" s="1311"/>
      <c r="D19" s="1311"/>
      <c r="E19" s="1312"/>
      <c r="F19" s="758">
        <v>1362323940.8000002</v>
      </c>
      <c r="G19" t="str">
        <f>+IF(F19&lt;1451966056,"cumple","no cumple")</f>
        <v>cumple</v>
      </c>
    </row>
    <row r="20" spans="1:7" ht="45.75" thickBot="1">
      <c r="A20" s="748">
        <v>17</v>
      </c>
      <c r="B20" s="747" t="s">
        <v>1706</v>
      </c>
      <c r="C20" s="1316" t="s">
        <v>1707</v>
      </c>
      <c r="D20" s="1318"/>
      <c r="E20" s="747" t="s">
        <v>1698</v>
      </c>
      <c r="F20" s="747" t="s">
        <v>1708</v>
      </c>
    </row>
    <row r="21" spans="1:7" ht="15.75" thickBot="1">
      <c r="A21" s="748">
        <v>18</v>
      </c>
      <c r="B21" s="747" t="s">
        <v>1709</v>
      </c>
      <c r="C21" s="1316" t="s">
        <v>1710</v>
      </c>
      <c r="D21" s="1318"/>
      <c r="E21" s="747" t="s">
        <v>1711</v>
      </c>
      <c r="F21" s="747" t="s">
        <v>1712</v>
      </c>
    </row>
    <row r="22" spans="1:7" ht="36.75" thickBot="1">
      <c r="A22" s="749">
        <v>19</v>
      </c>
      <c r="B22" s="750" t="s">
        <v>1713</v>
      </c>
      <c r="C22" s="1319">
        <v>13444370.011699999</v>
      </c>
      <c r="D22" s="1320"/>
      <c r="E22" s="751">
        <v>5.44</v>
      </c>
      <c r="F22" s="755">
        <v>73137372.863647997</v>
      </c>
      <c r="G22" t="str">
        <f>+IF(GESTEP(F22,39984000),"cumple","no cumple")</f>
        <v>cumple</v>
      </c>
    </row>
    <row r="23" spans="1:7" ht="15.75" thickBot="1">
      <c r="A23" s="753">
        <v>20</v>
      </c>
      <c r="B23" s="1310" t="s">
        <v>1714</v>
      </c>
      <c r="C23" s="1311"/>
      <c r="D23" s="1311"/>
      <c r="E23" s="1312"/>
      <c r="F23" s="756">
        <v>73137372.863647997</v>
      </c>
    </row>
    <row r="24" spans="1:7" ht="15.75" thickBot="1">
      <c r="A24" s="753">
        <v>21</v>
      </c>
      <c r="B24" s="1310" t="s">
        <v>1715</v>
      </c>
      <c r="C24" s="1311"/>
      <c r="D24" s="1311"/>
      <c r="E24" s="1312"/>
      <c r="F24" s="759">
        <v>1435461313.6636481</v>
      </c>
    </row>
    <row r="25" spans="1:7" ht="16.5" thickBot="1">
      <c r="A25" s="753">
        <v>22</v>
      </c>
      <c r="B25" s="1313" t="s">
        <v>1716</v>
      </c>
      <c r="C25" s="1314"/>
      <c r="D25" s="1314"/>
      <c r="E25" s="1315"/>
      <c r="F25" s="760">
        <v>1689008467.675348</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B136-0A2A-4A04-ACEE-A9945AFB9BD4}">
  <dimension ref="A1:G26"/>
  <sheetViews>
    <sheetView topLeftCell="A22" workbookViewId="0">
      <selection activeCell="F28" sqref="F28"/>
    </sheetView>
  </sheetViews>
  <sheetFormatPr baseColWidth="10" defaultRowHeight="15"/>
  <cols>
    <col min="6" max="6" width="18.42578125" customWidth="1"/>
  </cols>
  <sheetData>
    <row r="1" spans="1:7" ht="15.75" thickBot="1">
      <c r="A1" s="1299" t="s">
        <v>1718</v>
      </c>
      <c r="B1" s="1300"/>
      <c r="C1" s="1300"/>
      <c r="D1" s="1300"/>
      <c r="E1" s="1300"/>
      <c r="F1" s="1301"/>
    </row>
    <row r="2" spans="1:7" ht="15.75" thickBot="1">
      <c r="A2" s="1299" t="s">
        <v>1719</v>
      </c>
      <c r="B2" s="1300"/>
      <c r="C2" s="1300"/>
      <c r="D2" s="1300"/>
      <c r="E2" s="1300"/>
      <c r="F2" s="1301"/>
    </row>
    <row r="3" spans="1:7" ht="54.75" thickBot="1">
      <c r="A3" s="724" t="s">
        <v>1720</v>
      </c>
      <c r="B3" s="723" t="s">
        <v>1721</v>
      </c>
      <c r="C3" s="723" t="s">
        <v>1722</v>
      </c>
      <c r="D3" s="723" t="s">
        <v>1723</v>
      </c>
      <c r="E3" s="723" t="s">
        <v>1724</v>
      </c>
      <c r="F3" s="723" t="s">
        <v>1725</v>
      </c>
    </row>
    <row r="4" spans="1:7" ht="15.75" thickBot="1">
      <c r="A4" s="761">
        <v>1</v>
      </c>
      <c r="B4" s="762" t="s">
        <v>1726</v>
      </c>
      <c r="C4" s="763" t="s">
        <v>1727</v>
      </c>
      <c r="D4" s="762" t="s">
        <v>1728</v>
      </c>
      <c r="E4" s="762" t="s">
        <v>1729</v>
      </c>
      <c r="F4" s="764" t="s">
        <v>1730</v>
      </c>
    </row>
    <row r="5" spans="1:7" ht="90">
      <c r="A5" s="765">
        <v>2</v>
      </c>
      <c r="B5" s="766" t="s">
        <v>1731</v>
      </c>
      <c r="C5" s="767">
        <v>19</v>
      </c>
      <c r="D5" s="768">
        <v>9864289</v>
      </c>
      <c r="E5" s="769" t="s">
        <v>1732</v>
      </c>
      <c r="F5" s="770">
        <f>+ROUND((C5*D5)*1,0)</f>
        <v>187421491</v>
      </c>
    </row>
    <row r="6" spans="1:7" ht="99">
      <c r="A6" s="765">
        <v>3</v>
      </c>
      <c r="B6" s="771" t="s">
        <v>1733</v>
      </c>
      <c r="C6" s="767">
        <v>12</v>
      </c>
      <c r="D6" s="768">
        <v>2944585</v>
      </c>
      <c r="E6" s="769" t="s">
        <v>1732</v>
      </c>
      <c r="F6" s="770">
        <f>+ROUND((C6*D6)*1,0)</f>
        <v>35335020</v>
      </c>
    </row>
    <row r="7" spans="1:7" ht="99">
      <c r="A7" s="765">
        <v>4</v>
      </c>
      <c r="B7" s="771" t="s">
        <v>1734</v>
      </c>
      <c r="C7" s="767">
        <v>6</v>
      </c>
      <c r="D7" s="768">
        <v>2891043.2</v>
      </c>
      <c r="E7" s="769" t="s">
        <v>1732</v>
      </c>
      <c r="F7" s="770">
        <f>+ROUND((C7*D7)*1,0)</f>
        <v>17346259</v>
      </c>
    </row>
    <row r="8" spans="1:7" ht="15.75" thickBot="1">
      <c r="A8" s="772">
        <v>5</v>
      </c>
      <c r="B8" s="1334" t="s">
        <v>1684</v>
      </c>
      <c r="C8" s="1335"/>
      <c r="D8" s="1335"/>
      <c r="E8" s="1336"/>
      <c r="F8" s="773">
        <f>SUM(F5:F7)</f>
        <v>240102770</v>
      </c>
      <c r="G8" t="str">
        <f>+IF(GESTEP(F8,240102770),"cumple","no cumple")</f>
        <v>cumple</v>
      </c>
    </row>
    <row r="9" spans="1:7" ht="45.75" thickBot="1">
      <c r="A9" s="724">
        <v>6</v>
      </c>
      <c r="B9" s="723" t="s">
        <v>1685</v>
      </c>
      <c r="C9" s="1299" t="s">
        <v>1686</v>
      </c>
      <c r="D9" s="1301"/>
      <c r="E9" s="723" t="s">
        <v>1687</v>
      </c>
      <c r="F9" s="723" t="s">
        <v>1688</v>
      </c>
    </row>
    <row r="10" spans="1:7" ht="15.75" thickBot="1">
      <c r="A10" s="724">
        <v>7</v>
      </c>
      <c r="B10" s="723" t="s">
        <v>1689</v>
      </c>
      <c r="C10" s="1299" t="s">
        <v>1690</v>
      </c>
      <c r="D10" s="1301"/>
      <c r="E10" s="723" t="s">
        <v>1691</v>
      </c>
      <c r="F10" s="723" t="s">
        <v>1692</v>
      </c>
    </row>
    <row r="11" spans="1:7" ht="45">
      <c r="A11" s="765">
        <v>8</v>
      </c>
      <c r="B11" s="774" t="s">
        <v>1735</v>
      </c>
      <c r="C11" s="1342">
        <v>10099635.000000002</v>
      </c>
      <c r="D11" s="1343"/>
      <c r="E11" s="775" t="s">
        <v>1732</v>
      </c>
      <c r="F11" s="776">
        <f>+C11*1</f>
        <v>10099635.000000002</v>
      </c>
      <c r="G11" t="str">
        <f>+IF(GESTEP(F11,7350000),"cumple","no cumple")</f>
        <v>cumple</v>
      </c>
    </row>
    <row r="12" spans="1:7">
      <c r="A12" s="777">
        <v>9</v>
      </c>
      <c r="B12" s="1334" t="s">
        <v>1694</v>
      </c>
      <c r="C12" s="1335"/>
      <c r="D12" s="1335"/>
      <c r="E12" s="1336"/>
      <c r="F12" s="778">
        <f>+F11</f>
        <v>10099635.000000002</v>
      </c>
    </row>
    <row r="13" spans="1:7" ht="15.75" thickBot="1">
      <c r="A13" s="777">
        <v>10</v>
      </c>
      <c r="B13" s="1334" t="s">
        <v>1695</v>
      </c>
      <c r="C13" s="1335"/>
      <c r="D13" s="1335"/>
      <c r="E13" s="1336"/>
      <c r="F13" s="778">
        <f>+F8+F12</f>
        <v>250202405</v>
      </c>
      <c r="G13" t="str">
        <f>+IF(F13&lt;256580747,"cumple","no cumple")</f>
        <v>cumple</v>
      </c>
    </row>
    <row r="14" spans="1:7" ht="15.75" thickBot="1">
      <c r="A14" s="1299" t="s">
        <v>1696</v>
      </c>
      <c r="B14" s="1300"/>
      <c r="C14" s="1300"/>
      <c r="D14" s="1300"/>
      <c r="E14" s="1300"/>
      <c r="F14" s="1301"/>
    </row>
    <row r="15" spans="1:7" ht="99.75" thickBot="1">
      <c r="A15" s="724">
        <v>11</v>
      </c>
      <c r="B15" s="723" t="s">
        <v>1671</v>
      </c>
      <c r="C15" s="723" t="s">
        <v>1672</v>
      </c>
      <c r="D15" s="723" t="s">
        <v>1697</v>
      </c>
      <c r="E15" s="723" t="s">
        <v>1698</v>
      </c>
      <c r="F15" s="723" t="s">
        <v>1699</v>
      </c>
    </row>
    <row r="16" spans="1:7" ht="15.75" thickBot="1">
      <c r="A16" s="724">
        <v>12</v>
      </c>
      <c r="B16" s="723" t="s">
        <v>1700</v>
      </c>
      <c r="C16" s="723" t="s">
        <v>1701</v>
      </c>
      <c r="D16" s="723" t="s">
        <v>1702</v>
      </c>
      <c r="E16" s="723" t="s">
        <v>1703</v>
      </c>
      <c r="F16" s="723" t="s">
        <v>1704</v>
      </c>
    </row>
    <row r="17" spans="1:7" ht="90">
      <c r="A17" s="765">
        <v>13</v>
      </c>
      <c r="B17" s="766" t="s">
        <v>1731</v>
      </c>
      <c r="C17" s="767">
        <v>19</v>
      </c>
      <c r="D17" s="779">
        <f>(D5*4.3%)+(D5)</f>
        <v>10288453.426999999</v>
      </c>
      <c r="E17" s="780">
        <v>5.44</v>
      </c>
      <c r="F17" s="770">
        <f>+D17*19*E17</f>
        <v>1063414546.2147199</v>
      </c>
    </row>
    <row r="18" spans="1:7" ht="99">
      <c r="A18" s="765">
        <v>14</v>
      </c>
      <c r="B18" s="766" t="s">
        <v>1733</v>
      </c>
      <c r="C18" s="767">
        <v>12</v>
      </c>
      <c r="D18" s="779">
        <f>(D6*4.3%)+(D6)</f>
        <v>3071202.1549999998</v>
      </c>
      <c r="E18" s="780">
        <v>5.44</v>
      </c>
      <c r="F18" s="770">
        <f>+D18*C18*E18</f>
        <v>200488076.67840001</v>
      </c>
    </row>
    <row r="19" spans="1:7" ht="99.75" thickBot="1">
      <c r="A19" s="781">
        <v>15</v>
      </c>
      <c r="B19" s="782" t="s">
        <v>1734</v>
      </c>
      <c r="C19" s="783">
        <v>6</v>
      </c>
      <c r="D19" s="784">
        <f>(D7*4.3%)+(D7)</f>
        <v>3015358.0576000004</v>
      </c>
      <c r="E19" s="785">
        <v>5.44</v>
      </c>
      <c r="F19" s="786">
        <f>+C19*D19*E19</f>
        <v>98421287.000064015</v>
      </c>
    </row>
    <row r="20" spans="1:7" ht="15.75" thickBot="1">
      <c r="A20" s="787">
        <v>16</v>
      </c>
      <c r="B20" s="1337" t="s">
        <v>1705</v>
      </c>
      <c r="C20" s="1338"/>
      <c r="D20" s="1338"/>
      <c r="E20" s="1339"/>
      <c r="F20" s="788">
        <f>SUM(F17:F19)</f>
        <v>1362323909.8931837</v>
      </c>
      <c r="G20" t="str">
        <f>+IF(F20&lt;1451966056,"cumple","no cumple")</f>
        <v>cumple</v>
      </c>
    </row>
    <row r="21" spans="1:7" ht="45.75" thickBot="1">
      <c r="A21" s="724">
        <v>17</v>
      </c>
      <c r="B21" s="723" t="s">
        <v>1706</v>
      </c>
      <c r="C21" s="1340" t="s">
        <v>1707</v>
      </c>
      <c r="D21" s="1341"/>
      <c r="E21" s="723" t="s">
        <v>1698</v>
      </c>
      <c r="F21" s="723" t="s">
        <v>1708</v>
      </c>
    </row>
    <row r="22" spans="1:7" ht="15.75" thickBot="1">
      <c r="A22" s="724">
        <v>18</v>
      </c>
      <c r="B22" s="723" t="s">
        <v>1709</v>
      </c>
      <c r="C22" s="1299" t="s">
        <v>1710</v>
      </c>
      <c r="D22" s="1301"/>
      <c r="E22" s="723" t="s">
        <v>1711</v>
      </c>
      <c r="F22" s="723" t="s">
        <v>1712</v>
      </c>
    </row>
    <row r="23" spans="1:7" ht="36.75" thickBot="1">
      <c r="A23" s="789">
        <v>19</v>
      </c>
      <c r="B23" s="790" t="s">
        <v>1736</v>
      </c>
      <c r="C23" s="1323">
        <f>+C11</f>
        <v>10099635.000000002</v>
      </c>
      <c r="D23" s="1324"/>
      <c r="E23" s="791">
        <v>5.44</v>
      </c>
      <c r="F23" s="792">
        <f>+C23*E23</f>
        <v>54942014.400000013</v>
      </c>
      <c r="G23" t="str">
        <f>+IF(GESTEP(F23,39984000),"cumple","no cumple")</f>
        <v>cumple</v>
      </c>
    </row>
    <row r="24" spans="1:7">
      <c r="A24" s="793">
        <v>20</v>
      </c>
      <c r="B24" s="1325" t="s">
        <v>1714</v>
      </c>
      <c r="C24" s="1326"/>
      <c r="D24" s="1326"/>
      <c r="E24" s="1327"/>
      <c r="F24" s="794">
        <f>+F23</f>
        <v>54942014.400000013</v>
      </c>
    </row>
    <row r="25" spans="1:7">
      <c r="A25" s="795">
        <v>21</v>
      </c>
      <c r="B25" s="1328" t="s">
        <v>1715</v>
      </c>
      <c r="C25" s="1329"/>
      <c r="D25" s="1329"/>
      <c r="E25" s="1330"/>
      <c r="F25" s="796">
        <f>+F20+F24</f>
        <v>1417265924.2931838</v>
      </c>
    </row>
    <row r="26" spans="1:7">
      <c r="A26" s="797">
        <v>22</v>
      </c>
      <c r="B26" s="1331" t="s">
        <v>1737</v>
      </c>
      <c r="C26" s="1332"/>
      <c r="D26" s="1332"/>
      <c r="E26" s="1333"/>
      <c r="F26" s="798">
        <f>+F13+F25</f>
        <v>1667468329.2931838</v>
      </c>
    </row>
  </sheetData>
  <mergeCells count="16">
    <mergeCell ref="C11:D11"/>
    <mergeCell ref="A1:F1"/>
    <mergeCell ref="A2:F2"/>
    <mergeCell ref="B8:E8"/>
    <mergeCell ref="C9:D9"/>
    <mergeCell ref="C10:D10"/>
    <mergeCell ref="C23:D23"/>
    <mergeCell ref="B24:E24"/>
    <mergeCell ref="B25:E25"/>
    <mergeCell ref="B26:E26"/>
    <mergeCell ref="B12:E12"/>
    <mergeCell ref="B13:E13"/>
    <mergeCell ref="A14:F14"/>
    <mergeCell ref="B20:E20"/>
    <mergeCell ref="C21:D21"/>
    <mergeCell ref="C22:D2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1DD10-B09C-4A1B-A3A0-16ECAC072E03}">
  <dimension ref="A1:G25"/>
  <sheetViews>
    <sheetView topLeftCell="A19" workbookViewId="0">
      <selection activeCell="F36" sqref="F36"/>
    </sheetView>
  </sheetViews>
  <sheetFormatPr baseColWidth="10" defaultRowHeight="15"/>
  <cols>
    <col min="4" max="4" width="25.140625" customWidth="1"/>
    <col min="5" max="5" width="23.7109375" customWidth="1"/>
    <col min="6" max="6" width="21.5703125"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5.75" thickBot="1">
      <c r="A3" s="724">
        <v>1</v>
      </c>
      <c r="B3" s="723" t="s">
        <v>1676</v>
      </c>
      <c r="C3" s="723" t="s">
        <v>1677</v>
      </c>
      <c r="D3" s="723" t="s">
        <v>1678</v>
      </c>
      <c r="E3" s="723" t="s">
        <v>1679</v>
      </c>
      <c r="F3" s="723" t="s">
        <v>1680</v>
      </c>
    </row>
    <row r="4" spans="1:7" ht="90.75" thickBot="1">
      <c r="A4" s="725">
        <v>2</v>
      </c>
      <c r="B4" s="726" t="s">
        <v>1681</v>
      </c>
      <c r="C4" s="727">
        <v>19</v>
      </c>
      <c r="D4" s="734">
        <v>9864633</v>
      </c>
      <c r="E4" s="727">
        <v>1</v>
      </c>
      <c r="F4" s="734">
        <f>ROUND(C4*D4*E4,0)</f>
        <v>187428027</v>
      </c>
    </row>
    <row r="5" spans="1:7" ht="99.75" thickBot="1">
      <c r="A5" s="725">
        <v>3</v>
      </c>
      <c r="B5" s="726" t="s">
        <v>1682</v>
      </c>
      <c r="C5" s="727">
        <v>12</v>
      </c>
      <c r="D5" s="734">
        <v>2944685</v>
      </c>
      <c r="E5" s="727">
        <v>1</v>
      </c>
      <c r="F5" s="734">
        <f t="shared" ref="F5:F6" si="0">ROUND(C5*D5*E5,0)</f>
        <v>35336220</v>
      </c>
    </row>
    <row r="6" spans="1:7" ht="99.75" thickBot="1">
      <c r="A6" s="725">
        <v>4</v>
      </c>
      <c r="B6" s="726" t="s">
        <v>1683</v>
      </c>
      <c r="C6" s="727">
        <v>6</v>
      </c>
      <c r="D6" s="734">
        <v>2891146</v>
      </c>
      <c r="E6" s="727">
        <v>1</v>
      </c>
      <c r="F6" s="734">
        <f t="shared" si="0"/>
        <v>17346876</v>
      </c>
    </row>
    <row r="7" spans="1:7" ht="15.75" thickBot="1">
      <c r="A7" s="729">
        <v>5</v>
      </c>
      <c r="B7" s="1293" t="s">
        <v>1684</v>
      </c>
      <c r="C7" s="1294"/>
      <c r="D7" s="1294"/>
      <c r="E7" s="1295"/>
      <c r="F7" s="799">
        <f>F4+F5+F6</f>
        <v>240111123</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f>'[4]ANEXO 3,1,'!E17</f>
        <v>16469624</v>
      </c>
      <c r="D10" s="1345"/>
      <c r="E10" s="727">
        <v>1</v>
      </c>
      <c r="F10" s="734">
        <f>C10*E10</f>
        <v>16469624</v>
      </c>
      <c r="G10" t="str">
        <f>+IF(GESTEP(F10,7350000),"cumple","no cumple")</f>
        <v>cumple</v>
      </c>
    </row>
    <row r="11" spans="1:7" ht="15.75" thickBot="1">
      <c r="A11" s="729">
        <v>9</v>
      </c>
      <c r="B11" s="1293" t="s">
        <v>1694</v>
      </c>
      <c r="C11" s="1294"/>
      <c r="D11" s="1294"/>
      <c r="E11" s="1295"/>
      <c r="F11" s="799">
        <f>F10</f>
        <v>16469624</v>
      </c>
    </row>
    <row r="12" spans="1:7" ht="15.75" thickBot="1">
      <c r="A12" s="729">
        <v>10</v>
      </c>
      <c r="B12" s="1293" t="s">
        <v>1695</v>
      </c>
      <c r="C12" s="1294"/>
      <c r="D12" s="1294"/>
      <c r="E12" s="1295"/>
      <c r="F12" s="799">
        <f>F7+F11</f>
        <v>256580747</v>
      </c>
      <c r="G12" t="s">
        <v>823</v>
      </c>
    </row>
    <row r="13" spans="1:7" ht="15.75" thickBot="1">
      <c r="A13" s="1299" t="s">
        <v>1696</v>
      </c>
      <c r="B13" s="1300"/>
      <c r="C13" s="1300"/>
      <c r="D13" s="1300"/>
      <c r="E13" s="1300"/>
      <c r="F13" s="1301"/>
    </row>
    <row r="14" spans="1:7" ht="36.75" thickBot="1">
      <c r="A14" s="724">
        <v>11</v>
      </c>
      <c r="B14" s="723" t="s">
        <v>1671</v>
      </c>
      <c r="C14" s="723" t="s">
        <v>1672</v>
      </c>
      <c r="D14" s="723" t="s">
        <v>1697</v>
      </c>
      <c r="E14" s="723" t="s">
        <v>1698</v>
      </c>
      <c r="F14" s="723" t="s">
        <v>1699</v>
      </c>
    </row>
    <row r="15" spans="1:7" ht="15.75" thickBot="1">
      <c r="A15" s="724">
        <v>12</v>
      </c>
      <c r="B15" s="723" t="s">
        <v>1700</v>
      </c>
      <c r="C15" s="723" t="s">
        <v>1701</v>
      </c>
      <c r="D15" s="723" t="s">
        <v>1702</v>
      </c>
      <c r="E15" s="723" t="s">
        <v>1703</v>
      </c>
      <c r="F15" s="723" t="s">
        <v>1704</v>
      </c>
    </row>
    <row r="16" spans="1:7" ht="90.75" thickBot="1">
      <c r="A16" s="725">
        <v>13</v>
      </c>
      <c r="B16" s="726" t="s">
        <v>1681</v>
      </c>
      <c r="C16" s="727">
        <v>19</v>
      </c>
      <c r="D16" s="735">
        <f>ROUND(D4*1.043,0)</f>
        <v>10288812</v>
      </c>
      <c r="E16" s="727">
        <v>5.44</v>
      </c>
      <c r="F16" s="735">
        <f>ROUND(C16*D16*E16,0)</f>
        <v>1063451608</v>
      </c>
    </row>
    <row r="17" spans="1:7" ht="99.75" thickBot="1">
      <c r="A17" s="725">
        <v>14</v>
      </c>
      <c r="B17" s="726" t="s">
        <v>1682</v>
      </c>
      <c r="C17" s="727">
        <v>12</v>
      </c>
      <c r="D17" s="735">
        <f t="shared" ref="D17:D18" si="1">ROUND(D5*1.043,0)</f>
        <v>3071306</v>
      </c>
      <c r="E17" s="727">
        <v>5.44</v>
      </c>
      <c r="F17" s="735">
        <f t="shared" ref="F17:F18" si="2">ROUND(C17*D17*E17,0)</f>
        <v>200494856</v>
      </c>
    </row>
    <row r="18" spans="1:7" ht="99.75" thickBot="1">
      <c r="A18" s="725">
        <v>15</v>
      </c>
      <c r="B18" s="726" t="s">
        <v>1683</v>
      </c>
      <c r="C18" s="727">
        <v>6</v>
      </c>
      <c r="D18" s="735">
        <f t="shared" si="1"/>
        <v>3015465</v>
      </c>
      <c r="E18" s="727">
        <v>5.44</v>
      </c>
      <c r="F18" s="735">
        <f t="shared" si="2"/>
        <v>98424778</v>
      </c>
    </row>
    <row r="19" spans="1:7" ht="15.75" thickBot="1">
      <c r="A19" s="729">
        <v>16</v>
      </c>
      <c r="B19" s="1293" t="s">
        <v>1705</v>
      </c>
      <c r="C19" s="1294"/>
      <c r="D19" s="1294"/>
      <c r="E19" s="1295"/>
      <c r="F19" s="799">
        <f>F16+F17+F18</f>
        <v>1362371242</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16469624</v>
      </c>
      <c r="D22" s="1303"/>
      <c r="E22" s="727">
        <v>5.44</v>
      </c>
      <c r="F22" s="734">
        <f>ROUND(C22*E22,0)</f>
        <v>89594755</v>
      </c>
      <c r="G22" t="str">
        <f>+IF(GESTEP(F22,39984000),"cumple","no cumple")</f>
        <v>cumple</v>
      </c>
    </row>
    <row r="23" spans="1:7" ht="15.75" thickBot="1">
      <c r="A23" s="729">
        <v>20</v>
      </c>
      <c r="B23" s="1293" t="s">
        <v>1714</v>
      </c>
      <c r="C23" s="1294"/>
      <c r="D23" s="1294"/>
      <c r="E23" s="1295"/>
      <c r="F23" s="799">
        <f>F22</f>
        <v>89594755</v>
      </c>
    </row>
    <row r="24" spans="1:7" ht="15.75" thickBot="1">
      <c r="A24" s="729">
        <v>21</v>
      </c>
      <c r="B24" s="1293" t="s">
        <v>1715</v>
      </c>
      <c r="C24" s="1294"/>
      <c r="D24" s="1294"/>
      <c r="E24" s="1295"/>
      <c r="F24" s="799">
        <f>F19+F23</f>
        <v>1451965997</v>
      </c>
    </row>
    <row r="25" spans="1:7" ht="16.5" thickBot="1">
      <c r="A25" s="729">
        <v>22</v>
      </c>
      <c r="B25" s="1296" t="s">
        <v>1716</v>
      </c>
      <c r="C25" s="1297"/>
      <c r="D25" s="1297"/>
      <c r="E25" s="1298"/>
      <c r="F25" s="736">
        <f>F12+F24</f>
        <v>1708546744</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629D2-7833-455C-AF8B-648D9CB68422}">
  <dimension ref="A1:G25"/>
  <sheetViews>
    <sheetView topLeftCell="A19" workbookViewId="0">
      <selection activeCell="G7" sqref="G7"/>
    </sheetView>
  </sheetViews>
  <sheetFormatPr baseColWidth="10" defaultRowHeight="15"/>
  <cols>
    <col min="4" max="4" width="14.5703125" bestFit="1" customWidth="1"/>
    <col min="6" max="6" width="17.14062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9864633.3000000007</v>
      </c>
      <c r="E4" s="727">
        <v>1</v>
      </c>
      <c r="F4" s="735">
        <f>ROUND(C4*D4*E4,0)</f>
        <v>187428033</v>
      </c>
    </row>
    <row r="5" spans="1:7" ht="99.75" thickBot="1">
      <c r="A5" s="725">
        <v>3</v>
      </c>
      <c r="B5" s="726" t="s">
        <v>1682</v>
      </c>
      <c r="C5" s="727">
        <v>12</v>
      </c>
      <c r="D5" s="735">
        <v>2944683.67</v>
      </c>
      <c r="E5" s="727">
        <v>1</v>
      </c>
      <c r="F5" s="735">
        <f>ROUND(C5*D5*E5,0)</f>
        <v>35336204</v>
      </c>
    </row>
    <row r="6" spans="1:7" ht="99.75" thickBot="1">
      <c r="A6" s="725">
        <v>4</v>
      </c>
      <c r="B6" s="726" t="s">
        <v>1683</v>
      </c>
      <c r="C6" s="727">
        <v>6</v>
      </c>
      <c r="D6" s="735">
        <v>2891148.27</v>
      </c>
      <c r="E6" s="727">
        <v>1</v>
      </c>
      <c r="F6" s="735">
        <f>ROUND(C6*D6*E6,0)</f>
        <v>17346890</v>
      </c>
    </row>
    <row r="7" spans="1:7" ht="15.75" thickBot="1">
      <c r="A7" s="729">
        <v>5</v>
      </c>
      <c r="B7" s="1293" t="s">
        <v>1684</v>
      </c>
      <c r="C7" s="1294"/>
      <c r="D7" s="1294"/>
      <c r="E7" s="1295"/>
      <c r="F7" s="733">
        <f>SUM(F4:F6)</f>
        <v>240111127</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7350000</v>
      </c>
      <c r="D10" s="1345"/>
      <c r="E10" s="727">
        <v>1</v>
      </c>
      <c r="F10" s="735">
        <f>C10*E10</f>
        <v>7350000</v>
      </c>
      <c r="G10" t="str">
        <f>+IF(GESTEP(F10,7350000),"cumple","no cumple")</f>
        <v>cumple</v>
      </c>
    </row>
    <row r="11" spans="1:7" ht="15.75" thickBot="1">
      <c r="A11" s="729">
        <v>9</v>
      </c>
      <c r="B11" s="1293" t="s">
        <v>1694</v>
      </c>
      <c r="C11" s="1294"/>
      <c r="D11" s="1294"/>
      <c r="E11" s="1295"/>
      <c r="F11" s="733">
        <f>F10</f>
        <v>7350000</v>
      </c>
    </row>
    <row r="12" spans="1:7" ht="15.75" thickBot="1">
      <c r="A12" s="729">
        <v>10</v>
      </c>
      <c r="B12" s="1293" t="s">
        <v>1695</v>
      </c>
      <c r="C12" s="1294"/>
      <c r="D12" s="1294"/>
      <c r="E12" s="1295"/>
      <c r="F12" s="733">
        <f>F11+F7</f>
        <v>247461127</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v>10288812.529999999</v>
      </c>
      <c r="E16" s="727">
        <v>5.44</v>
      </c>
      <c r="F16" s="735">
        <f>ROUND(C16*D16*E16,0)</f>
        <v>1063451663</v>
      </c>
    </row>
    <row r="17" spans="1:7" ht="99.75" thickBot="1">
      <c r="A17" s="725">
        <v>14</v>
      </c>
      <c r="B17" s="726" t="s">
        <v>1682</v>
      </c>
      <c r="C17" s="727">
        <v>12</v>
      </c>
      <c r="D17" s="735">
        <v>3071305.07</v>
      </c>
      <c r="E17" s="727">
        <v>5.44</v>
      </c>
      <c r="F17" s="735">
        <f>ROUND(C17*D17*E17,0)</f>
        <v>200494795</v>
      </c>
    </row>
    <row r="18" spans="1:7" ht="99.75" thickBot="1">
      <c r="A18" s="725">
        <v>15</v>
      </c>
      <c r="B18" s="726" t="s">
        <v>1683</v>
      </c>
      <c r="C18" s="727">
        <v>6</v>
      </c>
      <c r="D18" s="735">
        <v>3015467.64</v>
      </c>
      <c r="E18" s="727">
        <v>5.44</v>
      </c>
      <c r="F18" s="735">
        <f>ROUND(C18*D18*E18,0)</f>
        <v>98424864</v>
      </c>
    </row>
    <row r="19" spans="1:7" ht="15.75" thickBot="1">
      <c r="A19" s="729">
        <v>16</v>
      </c>
      <c r="B19" s="1293" t="s">
        <v>1705</v>
      </c>
      <c r="C19" s="1294"/>
      <c r="D19" s="1294"/>
      <c r="E19" s="1295"/>
      <c r="F19" s="733">
        <f>SUM(F16:F18)</f>
        <v>1362371322</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7350000</v>
      </c>
      <c r="D22" s="1303"/>
      <c r="E22" s="727">
        <v>5.44</v>
      </c>
      <c r="F22" s="734">
        <f>C22*E22</f>
        <v>39984000</v>
      </c>
      <c r="G22" t="str">
        <f>+IF(GESTEP(F22,39984000),"cumple","no cumple")</f>
        <v>cumple</v>
      </c>
    </row>
    <row r="23" spans="1:7" ht="15.75" thickBot="1">
      <c r="A23" s="729">
        <v>20</v>
      </c>
      <c r="B23" s="1293" t="s">
        <v>1714</v>
      </c>
      <c r="C23" s="1294"/>
      <c r="D23" s="1294"/>
      <c r="E23" s="1295"/>
      <c r="F23" s="733">
        <f>F22</f>
        <v>39984000</v>
      </c>
    </row>
    <row r="24" spans="1:7" ht="15.75" thickBot="1">
      <c r="A24" s="729">
        <v>21</v>
      </c>
      <c r="B24" s="1293" t="s">
        <v>1715</v>
      </c>
      <c r="C24" s="1294"/>
      <c r="D24" s="1294"/>
      <c r="E24" s="1295"/>
      <c r="F24" s="733">
        <f>F23+F19</f>
        <v>1402355322</v>
      </c>
    </row>
    <row r="25" spans="1:7" ht="16.5" thickBot="1">
      <c r="A25" s="729">
        <v>22</v>
      </c>
      <c r="B25" s="1296" t="s">
        <v>1716</v>
      </c>
      <c r="C25" s="1297"/>
      <c r="D25" s="1297"/>
      <c r="E25" s="1298"/>
      <c r="F25" s="736">
        <f>F12+F24</f>
        <v>1649816449</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38408-D469-4B74-88A8-C6B053B64EAF}">
  <dimension ref="A1:G25"/>
  <sheetViews>
    <sheetView topLeftCell="A19" workbookViewId="0">
      <selection activeCell="G7" sqref="G7"/>
    </sheetView>
  </sheetViews>
  <sheetFormatPr baseColWidth="10" defaultRowHeight="15"/>
  <cols>
    <col min="4" max="4" width="14.5703125" bestFit="1" customWidth="1"/>
    <col min="6" max="6" width="17.14062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10062920</v>
      </c>
      <c r="E4" s="727">
        <v>1</v>
      </c>
      <c r="F4" s="735">
        <f>ROUND(C4*D4*E4,0)</f>
        <v>191195480</v>
      </c>
    </row>
    <row r="5" spans="1:7" ht="99.75" thickBot="1">
      <c r="A5" s="725">
        <v>3</v>
      </c>
      <c r="B5" s="726" t="s">
        <v>1682</v>
      </c>
      <c r="C5" s="727">
        <v>12</v>
      </c>
      <c r="D5" s="735">
        <v>3003849</v>
      </c>
      <c r="E5" s="727">
        <v>1</v>
      </c>
      <c r="F5" s="735">
        <f>ROUND(C5*D5*E5,0)</f>
        <v>36046188</v>
      </c>
    </row>
    <row r="6" spans="1:7" ht="99.75" thickBot="1">
      <c r="A6" s="725">
        <v>4</v>
      </c>
      <c r="B6" s="726" t="s">
        <v>1683</v>
      </c>
      <c r="C6" s="727">
        <v>6</v>
      </c>
      <c r="D6" s="735">
        <v>2940846</v>
      </c>
      <c r="E6" s="727">
        <v>1</v>
      </c>
      <c r="F6" s="735">
        <f>ROUND(C6*D6*E6,0)</f>
        <v>17645076</v>
      </c>
    </row>
    <row r="7" spans="1:7" ht="15.75" thickBot="1">
      <c r="A7" s="729">
        <v>5</v>
      </c>
      <c r="B7" s="1293" t="s">
        <v>1684</v>
      </c>
      <c r="C7" s="1294"/>
      <c r="D7" s="1294"/>
      <c r="E7" s="1295"/>
      <c r="F7" s="733">
        <f>SUM(F4:F6)</f>
        <v>244886744</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8400000</v>
      </c>
      <c r="D10" s="1345"/>
      <c r="E10" s="727">
        <v>1</v>
      </c>
      <c r="F10" s="735">
        <f>C10*E10</f>
        <v>8400000</v>
      </c>
      <c r="G10" t="str">
        <f>+IF(GESTEP(F10,7350000),"cumple","no cumple")</f>
        <v>cumple</v>
      </c>
    </row>
    <row r="11" spans="1:7" ht="15.75" thickBot="1">
      <c r="A11" s="729">
        <v>9</v>
      </c>
      <c r="B11" s="1293" t="s">
        <v>1694</v>
      </c>
      <c r="C11" s="1294"/>
      <c r="D11" s="1294"/>
      <c r="E11" s="1295"/>
      <c r="F11" s="733">
        <f>F10</f>
        <v>8400000</v>
      </c>
    </row>
    <row r="12" spans="1:7" ht="15.75" thickBot="1">
      <c r="A12" s="729">
        <v>10</v>
      </c>
      <c r="B12" s="1293" t="s">
        <v>1695</v>
      </c>
      <c r="C12" s="1294"/>
      <c r="D12" s="1294"/>
      <c r="E12" s="1295"/>
      <c r="F12" s="733">
        <f>F11+F7</f>
        <v>253286744</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v>10495626</v>
      </c>
      <c r="E16" s="727">
        <v>5.44</v>
      </c>
      <c r="F16" s="735">
        <f>ROUND(C16*D16*E16,0)</f>
        <v>1084827903</v>
      </c>
    </row>
    <row r="17" spans="1:7" ht="99.75" thickBot="1">
      <c r="A17" s="725">
        <v>14</v>
      </c>
      <c r="B17" s="726" t="s">
        <v>1682</v>
      </c>
      <c r="C17" s="727">
        <v>12</v>
      </c>
      <c r="D17" s="735">
        <v>3133015</v>
      </c>
      <c r="E17" s="727">
        <v>5.44</v>
      </c>
      <c r="F17" s="735">
        <f>ROUND(C17*D17*E17,0)</f>
        <v>204523219</v>
      </c>
    </row>
    <row r="18" spans="1:7" ht="99.75" thickBot="1">
      <c r="A18" s="725">
        <v>15</v>
      </c>
      <c r="B18" s="726" t="s">
        <v>1683</v>
      </c>
      <c r="C18" s="727">
        <v>6</v>
      </c>
      <c r="D18" s="735">
        <v>3067302</v>
      </c>
      <c r="E18" s="727">
        <v>5.44</v>
      </c>
      <c r="F18" s="735">
        <f>ROUND(C18*D18*E18,0)</f>
        <v>100116737</v>
      </c>
    </row>
    <row r="19" spans="1:7" ht="15.75" thickBot="1">
      <c r="A19" s="729">
        <v>16</v>
      </c>
      <c r="B19" s="1293" t="s">
        <v>1705</v>
      </c>
      <c r="C19" s="1294"/>
      <c r="D19" s="1294"/>
      <c r="E19" s="1295"/>
      <c r="F19" s="733">
        <f>SUM(F16:F18)</f>
        <v>1389467859</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8400000</v>
      </c>
      <c r="D22" s="1303"/>
      <c r="E22" s="727">
        <v>5.44</v>
      </c>
      <c r="F22" s="734">
        <f>C22*E22</f>
        <v>45696000</v>
      </c>
      <c r="G22" t="str">
        <f>+IF(GESTEP(F22,39984000),"cumple","no cumple")</f>
        <v>cumple</v>
      </c>
    </row>
    <row r="23" spans="1:7" ht="15.75" thickBot="1">
      <c r="A23" s="729">
        <v>20</v>
      </c>
      <c r="B23" s="1293" t="s">
        <v>1714</v>
      </c>
      <c r="C23" s="1294"/>
      <c r="D23" s="1294"/>
      <c r="E23" s="1295"/>
      <c r="F23" s="733">
        <f>F22</f>
        <v>45696000</v>
      </c>
    </row>
    <row r="24" spans="1:7" ht="15.75" thickBot="1">
      <c r="A24" s="729">
        <v>21</v>
      </c>
      <c r="B24" s="1293" t="s">
        <v>1715</v>
      </c>
      <c r="C24" s="1294"/>
      <c r="D24" s="1294"/>
      <c r="E24" s="1295"/>
      <c r="F24" s="733">
        <f>F23+F19</f>
        <v>1435163859</v>
      </c>
    </row>
    <row r="25" spans="1:7" ht="16.5" thickBot="1">
      <c r="A25" s="729">
        <v>22</v>
      </c>
      <c r="B25" s="1296" t="s">
        <v>1716</v>
      </c>
      <c r="C25" s="1297"/>
      <c r="D25" s="1297"/>
      <c r="E25" s="1298"/>
      <c r="F25" s="736">
        <f>F12+F24</f>
        <v>1688450603</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44F55-937D-4CA8-85E5-5B2E015C02FE}">
  <dimension ref="A1:G25"/>
  <sheetViews>
    <sheetView topLeftCell="A19" workbookViewId="0">
      <selection activeCell="G7" sqref="G7"/>
    </sheetView>
  </sheetViews>
  <sheetFormatPr baseColWidth="10" defaultRowHeight="15"/>
  <cols>
    <col min="4" max="4" width="14.5703125" bestFit="1" customWidth="1"/>
    <col min="6" max="6" width="17.14062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9864633.3000000007</v>
      </c>
      <c r="E4" s="727">
        <v>1</v>
      </c>
      <c r="F4" s="735">
        <f>ROUND(C4*D4*E4,0)</f>
        <v>187428033</v>
      </c>
    </row>
    <row r="5" spans="1:7" ht="99.75" thickBot="1">
      <c r="A5" s="725">
        <v>3</v>
      </c>
      <c r="B5" s="726" t="s">
        <v>1682</v>
      </c>
      <c r="C5" s="727">
        <v>12</v>
      </c>
      <c r="D5" s="735">
        <v>2944683.67</v>
      </c>
      <c r="E5" s="727">
        <v>1</v>
      </c>
      <c r="F5" s="735">
        <f>ROUND(C5*D5*E5,0)</f>
        <v>35336204</v>
      </c>
    </row>
    <row r="6" spans="1:7" ht="99.75" thickBot="1">
      <c r="A6" s="725">
        <v>4</v>
      </c>
      <c r="B6" s="726" t="s">
        <v>1683</v>
      </c>
      <c r="C6" s="727">
        <v>6</v>
      </c>
      <c r="D6" s="735">
        <v>2891148.27</v>
      </c>
      <c r="E6" s="727">
        <v>1</v>
      </c>
      <c r="F6" s="735">
        <f>ROUND(C6*D6*E6,0)</f>
        <v>17346890</v>
      </c>
    </row>
    <row r="7" spans="1:7" ht="15.75" thickBot="1">
      <c r="A7" s="729">
        <v>5</v>
      </c>
      <c r="B7" s="1293" t="s">
        <v>1684</v>
      </c>
      <c r="C7" s="1294"/>
      <c r="D7" s="1294"/>
      <c r="E7" s="1295"/>
      <c r="F7" s="733">
        <f>SUM(F4:F6)</f>
        <v>240111127</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10285278</v>
      </c>
      <c r="D10" s="1345"/>
      <c r="E10" s="727">
        <v>1</v>
      </c>
      <c r="F10" s="735">
        <f>C10*E10</f>
        <v>10285278</v>
      </c>
      <c r="G10" t="str">
        <f>+IF(GESTEP(F10,7350000),"cumple","no cumple")</f>
        <v>cumple</v>
      </c>
    </row>
    <row r="11" spans="1:7" ht="15.75" thickBot="1">
      <c r="A11" s="729">
        <v>9</v>
      </c>
      <c r="B11" s="1293" t="s">
        <v>1694</v>
      </c>
      <c r="C11" s="1294"/>
      <c r="D11" s="1294"/>
      <c r="E11" s="1295"/>
      <c r="F11" s="733">
        <f>F10</f>
        <v>10285278</v>
      </c>
    </row>
    <row r="12" spans="1:7" ht="15.75" thickBot="1">
      <c r="A12" s="729">
        <v>10</v>
      </c>
      <c r="B12" s="1293" t="s">
        <v>1695</v>
      </c>
      <c r="C12" s="1294"/>
      <c r="D12" s="1294"/>
      <c r="E12" s="1295"/>
      <c r="F12" s="733">
        <f>F11+F7</f>
        <v>250396405</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v>10288812.529999999</v>
      </c>
      <c r="E16" s="727">
        <v>5.44</v>
      </c>
      <c r="F16" s="735">
        <f>ROUND(C16*D16*E16,0)</f>
        <v>1063451663</v>
      </c>
    </row>
    <row r="17" spans="1:7" ht="99.75" thickBot="1">
      <c r="A17" s="725">
        <v>14</v>
      </c>
      <c r="B17" s="726" t="s">
        <v>1682</v>
      </c>
      <c r="C17" s="727">
        <v>12</v>
      </c>
      <c r="D17" s="735">
        <v>3071305.07</v>
      </c>
      <c r="E17" s="727">
        <v>5.44</v>
      </c>
      <c r="F17" s="735">
        <f>ROUND(C17*D17*E17,0)</f>
        <v>200494795</v>
      </c>
    </row>
    <row r="18" spans="1:7" ht="99.75" thickBot="1">
      <c r="A18" s="725">
        <v>15</v>
      </c>
      <c r="B18" s="726" t="s">
        <v>1683</v>
      </c>
      <c r="C18" s="727">
        <v>6</v>
      </c>
      <c r="D18" s="735">
        <v>3015467.65</v>
      </c>
      <c r="E18" s="727">
        <v>5.44</v>
      </c>
      <c r="F18" s="735">
        <f>ROUND(C18*D18*E18,0)</f>
        <v>98424864</v>
      </c>
    </row>
    <row r="19" spans="1:7" ht="15.75" thickBot="1">
      <c r="A19" s="729">
        <v>16</v>
      </c>
      <c r="B19" s="1293" t="s">
        <v>1705</v>
      </c>
      <c r="C19" s="1294"/>
      <c r="D19" s="1294"/>
      <c r="E19" s="1295"/>
      <c r="F19" s="733">
        <f>SUM(F16:F18)</f>
        <v>1362371322</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10285278</v>
      </c>
      <c r="D22" s="1303"/>
      <c r="E22" s="727">
        <v>5.44</v>
      </c>
      <c r="F22" s="734">
        <f>C22*E22</f>
        <v>55951912.32</v>
      </c>
      <c r="G22" t="str">
        <f>+IF(GESTEP(F22,39984000),"cumple","no cumple")</f>
        <v>cumple</v>
      </c>
    </row>
    <row r="23" spans="1:7" ht="15.75" thickBot="1">
      <c r="A23" s="729">
        <v>20</v>
      </c>
      <c r="B23" s="1293" t="s">
        <v>1714</v>
      </c>
      <c r="C23" s="1294"/>
      <c r="D23" s="1294"/>
      <c r="E23" s="1295"/>
      <c r="F23" s="733">
        <f>F22</f>
        <v>55951912.32</v>
      </c>
    </row>
    <row r="24" spans="1:7" ht="15.75" thickBot="1">
      <c r="A24" s="729">
        <v>21</v>
      </c>
      <c r="B24" s="1293" t="s">
        <v>1715</v>
      </c>
      <c r="C24" s="1294"/>
      <c r="D24" s="1294"/>
      <c r="E24" s="1295"/>
      <c r="F24" s="733">
        <f>F23+F19</f>
        <v>1418323234.3199999</v>
      </c>
    </row>
    <row r="25" spans="1:7" ht="16.5" thickBot="1">
      <c r="A25" s="729">
        <v>22</v>
      </c>
      <c r="B25" s="1296" t="s">
        <v>1716</v>
      </c>
      <c r="C25" s="1297"/>
      <c r="D25" s="1297"/>
      <c r="E25" s="1298"/>
      <c r="F25" s="736">
        <f>F12+F24</f>
        <v>1668719639.3199999</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152C1-3528-4C02-A40D-F8CFF42CDC3B}">
  <sheetPr>
    <tabColor rgb="FFFF0000"/>
  </sheetPr>
  <dimension ref="A1:G25"/>
  <sheetViews>
    <sheetView topLeftCell="A19" workbookViewId="0">
      <selection activeCell="H37" sqref="H37"/>
    </sheetView>
  </sheetViews>
  <sheetFormatPr baseColWidth="10" defaultRowHeight="15"/>
  <cols>
    <col min="4" max="4" width="14.5703125" bestFit="1" customWidth="1"/>
    <col min="6" max="6" width="17.14062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9863963</v>
      </c>
      <c r="E4" s="727">
        <v>1</v>
      </c>
      <c r="F4" s="735">
        <f>ROUND(C4*D4*E4,0)</f>
        <v>187415297</v>
      </c>
    </row>
    <row r="5" spans="1:7" ht="99.75" thickBot="1">
      <c r="A5" s="725">
        <v>3</v>
      </c>
      <c r="B5" s="726" t="s">
        <v>1682</v>
      </c>
      <c r="C5" s="727">
        <v>12</v>
      </c>
      <c r="D5" s="735">
        <v>2944961</v>
      </c>
      <c r="E5" s="727">
        <v>1</v>
      </c>
      <c r="F5" s="735">
        <f>ROUND(C5*D5*E5,0)</f>
        <v>35339532</v>
      </c>
    </row>
    <row r="6" spans="1:7" ht="99.75" thickBot="1">
      <c r="A6" s="725">
        <v>4</v>
      </c>
      <c r="B6" s="726" t="s">
        <v>1683</v>
      </c>
      <c r="C6" s="727">
        <v>6</v>
      </c>
      <c r="D6" s="735">
        <v>2891260</v>
      </c>
      <c r="E6" s="727">
        <v>1</v>
      </c>
      <c r="F6" s="735">
        <f>ROUND(C6*D6*E6,0)</f>
        <v>17347560</v>
      </c>
    </row>
    <row r="7" spans="1:7" ht="15.75" thickBot="1">
      <c r="A7" s="729">
        <v>5</v>
      </c>
      <c r="B7" s="1293" t="s">
        <v>1684</v>
      </c>
      <c r="C7" s="1294"/>
      <c r="D7" s="1294"/>
      <c r="E7" s="1295"/>
      <c r="F7" s="733">
        <f>SUM(F4:F6)</f>
        <v>240102389</v>
      </c>
      <c r="G7" t="str">
        <f>+IF(GESTEP(F7,240102770),"cumple","no cumple")</f>
        <v>no 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7350000</v>
      </c>
      <c r="D10" s="1345"/>
      <c r="E10" s="727">
        <v>1</v>
      </c>
      <c r="F10" s="735">
        <f>C10*E10</f>
        <v>7350000</v>
      </c>
      <c r="G10" t="str">
        <f>+IF(GESTEP(F10,7350000),"cumple","no cumple")</f>
        <v>cumple</v>
      </c>
    </row>
    <row r="11" spans="1:7" ht="15.75" thickBot="1">
      <c r="A11" s="729">
        <v>9</v>
      </c>
      <c r="B11" s="1293" t="s">
        <v>1694</v>
      </c>
      <c r="C11" s="1294"/>
      <c r="D11" s="1294"/>
      <c r="E11" s="1295"/>
      <c r="F11" s="733">
        <f>F10</f>
        <v>7350000</v>
      </c>
    </row>
    <row r="12" spans="1:7" ht="15.75" thickBot="1">
      <c r="A12" s="729">
        <v>10</v>
      </c>
      <c r="B12" s="1293" t="s">
        <v>1695</v>
      </c>
      <c r="C12" s="1294"/>
      <c r="D12" s="1294"/>
      <c r="E12" s="1295"/>
      <c r="F12" s="733">
        <f>F11+F7</f>
        <v>247452389</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v>10288134</v>
      </c>
      <c r="E16" s="727">
        <v>5.44</v>
      </c>
      <c r="F16" s="735">
        <f>ROUND(C16*D16*E16,0)</f>
        <v>1063381530</v>
      </c>
    </row>
    <row r="17" spans="1:7" ht="99.75" thickBot="1">
      <c r="A17" s="725">
        <v>14</v>
      </c>
      <c r="B17" s="726" t="s">
        <v>1682</v>
      </c>
      <c r="C17" s="727">
        <v>12</v>
      </c>
      <c r="D17" s="735">
        <v>3071594</v>
      </c>
      <c r="E17" s="727">
        <v>5.44</v>
      </c>
      <c r="F17" s="735">
        <f>ROUND(C17*D17*E17,0)</f>
        <v>200513656</v>
      </c>
    </row>
    <row r="18" spans="1:7" ht="99.75" thickBot="1">
      <c r="A18" s="725">
        <v>15</v>
      </c>
      <c r="B18" s="726" t="s">
        <v>1683</v>
      </c>
      <c r="C18" s="727">
        <v>6</v>
      </c>
      <c r="D18" s="735">
        <v>3015584</v>
      </c>
      <c r="E18" s="727">
        <v>5.44</v>
      </c>
      <c r="F18" s="735">
        <f>ROUND(C18*D18*E18,0)</f>
        <v>98428662</v>
      </c>
    </row>
    <row r="19" spans="1:7" ht="15.75" thickBot="1">
      <c r="A19" s="729">
        <v>16</v>
      </c>
      <c r="B19" s="1293" t="s">
        <v>1705</v>
      </c>
      <c r="C19" s="1294"/>
      <c r="D19" s="1294"/>
      <c r="E19" s="1295"/>
      <c r="F19" s="733">
        <f>SUM(F16:F18)</f>
        <v>1362323848</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7350000</v>
      </c>
      <c r="D22" s="1303"/>
      <c r="E22" s="727">
        <v>5.44</v>
      </c>
      <c r="F22" s="734">
        <f>C22*E22</f>
        <v>39984000</v>
      </c>
      <c r="G22" t="str">
        <f>+IF(GESTEP(F22,39984000),"cumple","no cumple")</f>
        <v>cumple</v>
      </c>
    </row>
    <row r="23" spans="1:7" ht="15.75" thickBot="1">
      <c r="A23" s="729">
        <v>20</v>
      </c>
      <c r="B23" s="1293" t="s">
        <v>1714</v>
      </c>
      <c r="C23" s="1294"/>
      <c r="D23" s="1294"/>
      <c r="E23" s="1295"/>
      <c r="F23" s="733">
        <f>F22</f>
        <v>39984000</v>
      </c>
    </row>
    <row r="24" spans="1:7" ht="15.75" thickBot="1">
      <c r="A24" s="729">
        <v>21</v>
      </c>
      <c r="B24" s="1293" t="s">
        <v>1715</v>
      </c>
      <c r="C24" s="1294"/>
      <c r="D24" s="1294"/>
      <c r="E24" s="1295"/>
      <c r="F24" s="733">
        <f>F23+F19</f>
        <v>1402307848</v>
      </c>
    </row>
    <row r="25" spans="1:7" ht="16.5" thickBot="1">
      <c r="A25" s="729">
        <v>22</v>
      </c>
      <c r="B25" s="1296" t="s">
        <v>1716</v>
      </c>
      <c r="C25" s="1297"/>
      <c r="D25" s="1297"/>
      <c r="E25" s="1298"/>
      <c r="F25" s="736">
        <f>F12+F24</f>
        <v>1649760237</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D66B-8E24-427B-BBD4-749719CD2E24}">
  <sheetPr>
    <tabColor rgb="FFFF0000"/>
  </sheetPr>
  <dimension ref="A1:H28"/>
  <sheetViews>
    <sheetView topLeftCell="A4" workbookViewId="0">
      <selection activeCell="G7" sqref="G7"/>
    </sheetView>
  </sheetViews>
  <sheetFormatPr baseColWidth="10" defaultRowHeight="15"/>
  <cols>
    <col min="4" max="4" width="14.5703125" bestFit="1" customWidth="1"/>
    <col min="6" max="6" width="17.140625" bestFit="1" customWidth="1"/>
    <col min="8" max="8" width="24"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9864310</v>
      </c>
      <c r="E4" s="727">
        <v>1</v>
      </c>
      <c r="F4" s="735">
        <f>ROUND(C4*D4*E4,0)</f>
        <v>187421890</v>
      </c>
    </row>
    <row r="5" spans="1:7" ht="99.75" thickBot="1">
      <c r="A5" s="725">
        <v>3</v>
      </c>
      <c r="B5" s="726" t="s">
        <v>1682</v>
      </c>
      <c r="C5" s="727">
        <v>12</v>
      </c>
      <c r="D5" s="735">
        <v>2944562</v>
      </c>
      <c r="E5" s="727">
        <v>1</v>
      </c>
      <c r="F5" s="735">
        <f>ROUND(C5*D5*E5,0)</f>
        <v>35334744</v>
      </c>
    </row>
    <row r="6" spans="1:7" ht="99.75" thickBot="1">
      <c r="A6" s="725">
        <v>4</v>
      </c>
      <c r="B6" s="726" t="s">
        <v>1683</v>
      </c>
      <c r="C6" s="727">
        <v>6</v>
      </c>
      <c r="D6" s="735">
        <v>2891025</v>
      </c>
      <c r="E6" s="727">
        <v>1</v>
      </c>
      <c r="F6" s="735">
        <f>ROUND(C6*D6*E6,0)</f>
        <v>17346150</v>
      </c>
    </row>
    <row r="7" spans="1:7" ht="15.75" thickBot="1">
      <c r="A7" s="729">
        <v>5</v>
      </c>
      <c r="B7" s="1293" t="s">
        <v>1684</v>
      </c>
      <c r="C7" s="1294"/>
      <c r="D7" s="1294"/>
      <c r="E7" s="1295"/>
      <c r="F7" s="733">
        <f>SUM(F4:F6)</f>
        <v>240102784</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7350000</v>
      </c>
      <c r="D10" s="1345"/>
      <c r="E10" s="727">
        <v>1</v>
      </c>
      <c r="F10" s="735">
        <f>C10*E10</f>
        <v>7350000</v>
      </c>
      <c r="G10" t="str">
        <f>+IF(GESTEP(F10,7350000),"cumple","no cumple")</f>
        <v>cumple</v>
      </c>
    </row>
    <row r="11" spans="1:7" ht="15.75" thickBot="1">
      <c r="A11" s="729">
        <v>9</v>
      </c>
      <c r="B11" s="1293" t="s">
        <v>1694</v>
      </c>
      <c r="C11" s="1294"/>
      <c r="D11" s="1294"/>
      <c r="E11" s="1295"/>
      <c r="F11" s="733">
        <f>F10</f>
        <v>7350000</v>
      </c>
    </row>
    <row r="12" spans="1:7" ht="15.75" thickBot="1">
      <c r="A12" s="729">
        <v>10</v>
      </c>
      <c r="B12" s="1293" t="s">
        <v>1695</v>
      </c>
      <c r="C12" s="1294"/>
      <c r="D12" s="1294"/>
      <c r="E12" s="1295"/>
      <c r="F12" s="733">
        <f>F11+F7</f>
        <v>247452784</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v>10288475</v>
      </c>
      <c r="E16" s="727">
        <v>5.44</v>
      </c>
      <c r="F16" s="735">
        <f>ROUND(C16*D16*E16,0)</f>
        <v>1063416776</v>
      </c>
    </row>
    <row r="17" spans="1:8" ht="99.75" thickBot="1">
      <c r="A17" s="725">
        <v>14</v>
      </c>
      <c r="B17" s="726" t="s">
        <v>1682</v>
      </c>
      <c r="C17" s="727">
        <v>12</v>
      </c>
      <c r="D17" s="735">
        <v>3071178</v>
      </c>
      <c r="E17" s="727">
        <v>5.44</v>
      </c>
      <c r="F17" s="735">
        <f>ROUND(C17*D17*E17,0)</f>
        <v>200486500</v>
      </c>
    </row>
    <row r="18" spans="1:8" ht="99.75" thickBot="1">
      <c r="A18" s="725">
        <v>15</v>
      </c>
      <c r="B18" s="726" t="s">
        <v>1683</v>
      </c>
      <c r="C18" s="727">
        <v>6</v>
      </c>
      <c r="D18" s="735">
        <v>3015339</v>
      </c>
      <c r="E18" s="727">
        <v>5.44</v>
      </c>
      <c r="F18" s="735">
        <f>ROUND(C18*D18*E18,0)</f>
        <v>98420665</v>
      </c>
    </row>
    <row r="19" spans="1:8" ht="15.75" thickBot="1">
      <c r="A19" s="729">
        <v>16</v>
      </c>
      <c r="B19" s="1293" t="s">
        <v>1705</v>
      </c>
      <c r="C19" s="1294"/>
      <c r="D19" s="1294"/>
      <c r="E19" s="1295"/>
      <c r="F19" s="733">
        <f>SUM(F16:F18)</f>
        <v>1362323941</v>
      </c>
      <c r="G19" t="str">
        <f>+IF(F19&lt;1451966056,"cumple","no cumple")</f>
        <v>cumple</v>
      </c>
    </row>
    <row r="20" spans="1:8" ht="45.75" thickBot="1">
      <c r="A20" s="724">
        <v>17</v>
      </c>
      <c r="B20" s="723" t="s">
        <v>1706</v>
      </c>
      <c r="C20" s="1299" t="s">
        <v>1707</v>
      </c>
      <c r="D20" s="1301"/>
      <c r="E20" s="723" t="s">
        <v>1698</v>
      </c>
      <c r="F20" s="723" t="s">
        <v>1708</v>
      </c>
    </row>
    <row r="21" spans="1:8" ht="15.75" thickBot="1">
      <c r="A21" s="724">
        <v>18</v>
      </c>
      <c r="B21" s="723" t="s">
        <v>1709</v>
      </c>
      <c r="C21" s="1299" t="s">
        <v>1710</v>
      </c>
      <c r="D21" s="1301"/>
      <c r="E21" s="723" t="s">
        <v>1711</v>
      </c>
      <c r="F21" s="723" t="s">
        <v>1712</v>
      </c>
    </row>
    <row r="22" spans="1:8" s="707" customFormat="1" ht="36.75" thickBot="1">
      <c r="A22" s="800">
        <v>19</v>
      </c>
      <c r="B22" s="801" t="s">
        <v>1713</v>
      </c>
      <c r="C22" s="1346">
        <f>C10</f>
        <v>7350000</v>
      </c>
      <c r="D22" s="1347"/>
      <c r="E22" s="802">
        <v>5.44</v>
      </c>
      <c r="F22" s="803">
        <v>39935000</v>
      </c>
      <c r="G22" t="str">
        <f>+IF(GESTEP(F22,39984000),"cumple","no cumple")</f>
        <v>no cumple</v>
      </c>
    </row>
    <row r="23" spans="1:8" ht="15.75" thickBot="1">
      <c r="A23" s="729">
        <v>20</v>
      </c>
      <c r="B23" s="1293" t="s">
        <v>1714</v>
      </c>
      <c r="C23" s="1294"/>
      <c r="D23" s="1294"/>
      <c r="E23" s="1295"/>
      <c r="F23" s="733">
        <f>F22</f>
        <v>39935000</v>
      </c>
      <c r="H23">
        <v>7350000</v>
      </c>
    </row>
    <row r="24" spans="1:8" ht="15.75" thickBot="1">
      <c r="A24" s="729">
        <v>21</v>
      </c>
      <c r="B24" s="1293" t="s">
        <v>1715</v>
      </c>
      <c r="C24" s="1294"/>
      <c r="D24" s="1294"/>
      <c r="E24" s="1295"/>
      <c r="F24" s="733">
        <f>F23+F19</f>
        <v>1402258941</v>
      </c>
      <c r="H24">
        <f>+H23*E22</f>
        <v>39984000</v>
      </c>
    </row>
    <row r="25" spans="1:8" ht="16.5" thickBot="1">
      <c r="A25" s="729">
        <v>22</v>
      </c>
      <c r="B25" s="1296" t="s">
        <v>1716</v>
      </c>
      <c r="C25" s="1297"/>
      <c r="D25" s="1297"/>
      <c r="E25" s="1298"/>
      <c r="F25" s="736">
        <f>F12+F24</f>
        <v>1649711725</v>
      </c>
    </row>
    <row r="28" spans="1:8">
      <c r="H28" s="804"/>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2A184-FA47-4852-BA81-9985967FB06A}">
  <dimension ref="A1:G25"/>
  <sheetViews>
    <sheetView topLeftCell="A19" workbookViewId="0">
      <selection activeCell="G7" sqref="G7"/>
    </sheetView>
  </sheetViews>
  <sheetFormatPr baseColWidth="10" defaultRowHeight="15"/>
  <cols>
    <col min="4" max="4" width="14.5703125" bestFit="1" customWidth="1"/>
    <col min="6" max="6" width="17.14062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9864630</v>
      </c>
      <c r="E4" s="727">
        <v>1</v>
      </c>
      <c r="F4" s="735">
        <f>ROUND(C4*D4*E4,0)</f>
        <v>187427970</v>
      </c>
    </row>
    <row r="5" spans="1:7" ht="99.75" thickBot="1">
      <c r="A5" s="725">
        <v>3</v>
      </c>
      <c r="B5" s="726" t="s">
        <v>1682</v>
      </c>
      <c r="C5" s="727">
        <v>12</v>
      </c>
      <c r="D5" s="735">
        <v>2944680</v>
      </c>
      <c r="E5" s="727">
        <v>1</v>
      </c>
      <c r="F5" s="735">
        <f>ROUND(C5*D5*E5,0)</f>
        <v>35336160</v>
      </c>
    </row>
    <row r="6" spans="1:7" ht="99.75" thickBot="1">
      <c r="A6" s="725">
        <v>4</v>
      </c>
      <c r="B6" s="726" t="s">
        <v>1683</v>
      </c>
      <c r="C6" s="727">
        <v>6</v>
      </c>
      <c r="D6" s="735">
        <v>2891140</v>
      </c>
      <c r="E6" s="727">
        <v>1</v>
      </c>
      <c r="F6" s="735">
        <f>ROUND(C6*D6*E6,0)</f>
        <v>17346840</v>
      </c>
    </row>
    <row r="7" spans="1:7" ht="15.75" thickBot="1">
      <c r="A7" s="729">
        <v>5</v>
      </c>
      <c r="B7" s="1293" t="s">
        <v>1684</v>
      </c>
      <c r="C7" s="1294"/>
      <c r="D7" s="1294"/>
      <c r="E7" s="1295"/>
      <c r="F7" s="733">
        <f>SUM(F4:F6)</f>
        <v>240110970</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11509510</v>
      </c>
      <c r="D10" s="1345"/>
      <c r="E10" s="727">
        <v>1</v>
      </c>
      <c r="F10" s="735">
        <f>C10*E10</f>
        <v>11509510</v>
      </c>
      <c r="G10" t="str">
        <f>+IF(GESTEP(F10,7350000),"cumple","no cumple")</f>
        <v>cumple</v>
      </c>
    </row>
    <row r="11" spans="1:7" ht="15.75" thickBot="1">
      <c r="A11" s="729">
        <v>9</v>
      </c>
      <c r="B11" s="1293" t="s">
        <v>1694</v>
      </c>
      <c r="C11" s="1294"/>
      <c r="D11" s="1294"/>
      <c r="E11" s="1295"/>
      <c r="F11" s="733">
        <f>F10</f>
        <v>11509510</v>
      </c>
    </row>
    <row r="12" spans="1:7" ht="15.75" thickBot="1">
      <c r="A12" s="729">
        <v>10</v>
      </c>
      <c r="B12" s="1293" t="s">
        <v>1695</v>
      </c>
      <c r="C12" s="1294"/>
      <c r="D12" s="1294"/>
      <c r="E12" s="1295"/>
      <c r="F12" s="733">
        <f>F11+F7</f>
        <v>251620480</v>
      </c>
      <c r="G12" t="str">
        <f>+IF(F12&lt;256580747,"cumple","no cumple")</f>
        <v>cumple</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v>10288809</v>
      </c>
      <c r="E16" s="727">
        <v>5.44</v>
      </c>
      <c r="F16" s="735">
        <f>ROUND(C16*D16*E16,0)</f>
        <v>1063451298</v>
      </c>
    </row>
    <row r="17" spans="1:7" ht="99.75" thickBot="1">
      <c r="A17" s="725">
        <v>14</v>
      </c>
      <c r="B17" s="726" t="s">
        <v>1682</v>
      </c>
      <c r="C17" s="727">
        <v>12</v>
      </c>
      <c r="D17" s="735">
        <v>3071301</v>
      </c>
      <c r="E17" s="727">
        <v>5.44</v>
      </c>
      <c r="F17" s="735">
        <f>ROUND(C17*D17*E17,0)</f>
        <v>200494529</v>
      </c>
    </row>
    <row r="18" spans="1:7" ht="99.75" thickBot="1">
      <c r="A18" s="725">
        <v>15</v>
      </c>
      <c r="B18" s="726" t="s">
        <v>1683</v>
      </c>
      <c r="C18" s="727">
        <v>6</v>
      </c>
      <c r="D18" s="735">
        <v>3015459</v>
      </c>
      <c r="E18" s="727">
        <v>5.44</v>
      </c>
      <c r="F18" s="735">
        <f>ROUND(C18*D18*E18,0)</f>
        <v>98424582</v>
      </c>
    </row>
    <row r="19" spans="1:7" ht="15.75" thickBot="1">
      <c r="A19" s="729">
        <v>16</v>
      </c>
      <c r="B19" s="1293" t="s">
        <v>1705</v>
      </c>
      <c r="C19" s="1294"/>
      <c r="D19" s="1294"/>
      <c r="E19" s="1295"/>
      <c r="F19" s="733">
        <f>SUM(F16:F18)</f>
        <v>1362370409</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11509510</v>
      </c>
      <c r="D22" s="1303"/>
      <c r="E22" s="727">
        <v>5.44</v>
      </c>
      <c r="F22" s="734">
        <f>C22*E22</f>
        <v>62611734.400000006</v>
      </c>
      <c r="G22" t="str">
        <f>+IF(GESTEP(F22,39984000),"cumple","no cumple")</f>
        <v>cumple</v>
      </c>
    </row>
    <row r="23" spans="1:7" ht="15.75" thickBot="1">
      <c r="A23" s="729">
        <v>20</v>
      </c>
      <c r="B23" s="1293" t="s">
        <v>1714</v>
      </c>
      <c r="C23" s="1294"/>
      <c r="D23" s="1294"/>
      <c r="E23" s="1295"/>
      <c r="F23" s="733">
        <f>F22</f>
        <v>62611734.400000006</v>
      </c>
    </row>
    <row r="24" spans="1:7" ht="15.75" thickBot="1">
      <c r="A24" s="729">
        <v>21</v>
      </c>
      <c r="B24" s="1293" t="s">
        <v>1715</v>
      </c>
      <c r="C24" s="1294"/>
      <c r="D24" s="1294"/>
      <c r="E24" s="1295"/>
      <c r="F24" s="733">
        <f>F23+F19</f>
        <v>1424982143.4000001</v>
      </c>
    </row>
    <row r="25" spans="1:7" ht="16.5" thickBot="1">
      <c r="A25" s="729">
        <v>22</v>
      </c>
      <c r="B25" s="1296" t="s">
        <v>1716</v>
      </c>
      <c r="C25" s="1297"/>
      <c r="D25" s="1297"/>
      <c r="E25" s="1298"/>
      <c r="F25" s="736">
        <f>F12+F24</f>
        <v>1676602623.4000001</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2FD57-E739-47D5-8867-2C4CB6ED1949}">
  <dimension ref="A1:G25"/>
  <sheetViews>
    <sheetView topLeftCell="A19" workbookViewId="0">
      <selection activeCell="G7" sqref="G7"/>
    </sheetView>
  </sheetViews>
  <sheetFormatPr baseColWidth="10" defaultRowHeight="15"/>
  <cols>
    <col min="4" max="4" width="14.5703125" bestFit="1" customWidth="1"/>
    <col min="6" max="6" width="17.140625" bestFit="1" customWidth="1"/>
  </cols>
  <sheetData>
    <row r="1" spans="1:7" ht="15.75" thickBot="1">
      <c r="A1" s="1299" t="s">
        <v>1669</v>
      </c>
      <c r="B1" s="1300"/>
      <c r="C1" s="1300"/>
      <c r="D1" s="1300"/>
      <c r="E1" s="1300"/>
      <c r="F1" s="1301"/>
    </row>
    <row r="2" spans="1:7" ht="36.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735">
        <v>9864334</v>
      </c>
      <c r="E4" s="727">
        <v>1</v>
      </c>
      <c r="F4" s="735">
        <f>ROUND(C4*D4*E4,0)</f>
        <v>187422346</v>
      </c>
    </row>
    <row r="5" spans="1:7" ht="99.75" thickBot="1">
      <c r="A5" s="725">
        <v>3</v>
      </c>
      <c r="B5" s="726" t="s">
        <v>1682</v>
      </c>
      <c r="C5" s="727">
        <v>12</v>
      </c>
      <c r="D5" s="735">
        <v>2944569</v>
      </c>
      <c r="E5" s="727">
        <v>1</v>
      </c>
      <c r="F5" s="735">
        <f>ROUND(C5*D5*E5,0)</f>
        <v>35334828</v>
      </c>
    </row>
    <row r="6" spans="1:7" ht="99.75" thickBot="1">
      <c r="A6" s="725">
        <v>4</v>
      </c>
      <c r="B6" s="726" t="s">
        <v>1683</v>
      </c>
      <c r="C6" s="727">
        <v>6</v>
      </c>
      <c r="D6" s="735">
        <v>2890967</v>
      </c>
      <c r="E6" s="727">
        <v>1</v>
      </c>
      <c r="F6" s="735">
        <f>ROUND(C6*D6*E6,0)</f>
        <v>17345802</v>
      </c>
    </row>
    <row r="7" spans="1:7" ht="15.75" thickBot="1">
      <c r="A7" s="729">
        <v>5</v>
      </c>
      <c r="B7" s="1293" t="s">
        <v>1684</v>
      </c>
      <c r="C7" s="1294"/>
      <c r="D7" s="1294"/>
      <c r="E7" s="1295"/>
      <c r="F7" s="733">
        <f>SUM(F4:F6)</f>
        <v>240102976</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v>16477771</v>
      </c>
      <c r="D10" s="1345"/>
      <c r="E10" s="727">
        <v>1</v>
      </c>
      <c r="F10" s="735">
        <f>C10*E10</f>
        <v>16477771</v>
      </c>
      <c r="G10" t="str">
        <f>+IF(GESTEP(F10,7350000),"cumple","no cumple")</f>
        <v>cumple</v>
      </c>
    </row>
    <row r="11" spans="1:7" ht="15.75" thickBot="1">
      <c r="A11" s="729">
        <v>9</v>
      </c>
      <c r="B11" s="1293" t="s">
        <v>1694</v>
      </c>
      <c r="C11" s="1294"/>
      <c r="D11" s="1294"/>
      <c r="E11" s="1295"/>
      <c r="F11" s="733">
        <f>F10</f>
        <v>16477771</v>
      </c>
    </row>
    <row r="12" spans="1:7" ht="15.75" thickBot="1">
      <c r="A12" s="729">
        <v>10</v>
      </c>
      <c r="B12" s="1293" t="s">
        <v>1695</v>
      </c>
      <c r="C12" s="1294"/>
      <c r="D12" s="1294"/>
      <c r="E12" s="1295"/>
      <c r="F12" s="733">
        <f>F11+F7</f>
        <v>256580747</v>
      </c>
    </row>
    <row r="13" spans="1:7" ht="15.75" thickBot="1">
      <c r="A13" s="1299" t="s">
        <v>1696</v>
      </c>
      <c r="B13" s="1300"/>
      <c r="C13" s="1300"/>
      <c r="D13" s="1300"/>
      <c r="E13" s="1300"/>
      <c r="F13" s="1301"/>
    </row>
    <row r="14" spans="1:7" ht="72.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735">
        <f>+D4*1.043</f>
        <v>10288500.362</v>
      </c>
      <c r="E16" s="727">
        <v>5.44</v>
      </c>
      <c r="F16" s="735">
        <f>ROUND(C16*D16*E16,0)</f>
        <v>1063419397</v>
      </c>
    </row>
    <row r="17" spans="1:7" ht="99.75" thickBot="1">
      <c r="A17" s="725">
        <v>14</v>
      </c>
      <c r="B17" s="726" t="s">
        <v>1682</v>
      </c>
      <c r="C17" s="727">
        <v>12</v>
      </c>
      <c r="D17" s="735">
        <f t="shared" ref="D17:D18" si="0">+D5*1.043</f>
        <v>3071185.4669999997</v>
      </c>
      <c r="E17" s="727">
        <v>5.44</v>
      </c>
      <c r="F17" s="735">
        <f>ROUND(C17*D17*E17,0)</f>
        <v>200486987</v>
      </c>
    </row>
    <row r="18" spans="1:7" ht="99.75" thickBot="1">
      <c r="A18" s="725">
        <v>15</v>
      </c>
      <c r="B18" s="726" t="s">
        <v>1683</v>
      </c>
      <c r="C18" s="727">
        <v>6</v>
      </c>
      <c r="D18" s="735">
        <f t="shared" si="0"/>
        <v>3015278.5809999998</v>
      </c>
      <c r="E18" s="727">
        <v>5.44</v>
      </c>
      <c r="F18" s="735">
        <f>ROUND(C18*D18*E18,0)</f>
        <v>98418693</v>
      </c>
    </row>
    <row r="19" spans="1:7" ht="15.75" thickBot="1">
      <c r="A19" s="729">
        <v>16</v>
      </c>
      <c r="B19" s="1293" t="s">
        <v>1705</v>
      </c>
      <c r="C19" s="1294"/>
      <c r="D19" s="1294"/>
      <c r="E19" s="1295"/>
      <c r="F19" s="733">
        <f>SUM(F16:F18)</f>
        <v>1362325077</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16477771</v>
      </c>
      <c r="D22" s="1303"/>
      <c r="E22" s="727">
        <v>5.44</v>
      </c>
      <c r="F22" s="734">
        <f>C22*E22</f>
        <v>89639074.24000001</v>
      </c>
      <c r="G22" t="str">
        <f>+IF(GESTEP(F22,39984000),"cumple","no cumple")</f>
        <v>cumple</v>
      </c>
    </row>
    <row r="23" spans="1:7" ht="15.75" thickBot="1">
      <c r="A23" s="729">
        <v>20</v>
      </c>
      <c r="B23" s="1293" t="s">
        <v>1714</v>
      </c>
      <c r="C23" s="1294"/>
      <c r="D23" s="1294"/>
      <c r="E23" s="1295"/>
      <c r="F23" s="733">
        <f>F22</f>
        <v>89639074.24000001</v>
      </c>
    </row>
    <row r="24" spans="1:7" ht="15.75" thickBot="1">
      <c r="A24" s="729">
        <v>21</v>
      </c>
      <c r="B24" s="1293" t="s">
        <v>1715</v>
      </c>
      <c r="C24" s="1294"/>
      <c r="D24" s="1294"/>
      <c r="E24" s="1295"/>
      <c r="F24" s="733">
        <f>F23+F19</f>
        <v>1451964151.24</v>
      </c>
    </row>
    <row r="25" spans="1:7" ht="16.5" thickBot="1">
      <c r="A25" s="729">
        <v>22</v>
      </c>
      <c r="B25" s="1296" t="s">
        <v>1716</v>
      </c>
      <c r="C25" s="1297"/>
      <c r="D25" s="1297"/>
      <c r="E25" s="1298"/>
      <c r="F25" s="736">
        <f>F12+F24</f>
        <v>1708544898.24</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7EE62-24F0-4BEA-B50B-71240A12B923}">
  <sheetPr>
    <tabColor rgb="FFFF0000"/>
  </sheetPr>
  <dimension ref="A1:G25"/>
  <sheetViews>
    <sheetView topLeftCell="A19" workbookViewId="0">
      <selection activeCell="G7" sqref="G7"/>
    </sheetView>
  </sheetViews>
  <sheetFormatPr baseColWidth="10" defaultRowHeight="15"/>
  <cols>
    <col min="6" max="6" width="17.42578125" customWidth="1"/>
  </cols>
  <sheetData>
    <row r="1" spans="1:7" ht="15.75" thickBot="1">
      <c r="A1" s="1299" t="s">
        <v>1669</v>
      </c>
      <c r="B1" s="1300"/>
      <c r="C1" s="1300"/>
      <c r="D1" s="1300"/>
      <c r="E1" s="1300"/>
      <c r="F1" s="1301"/>
    </row>
    <row r="2" spans="1:7" ht="54.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805">
        <f>((8800000*1.1)*1.019)+2</f>
        <v>9863922</v>
      </c>
      <c r="E4" s="727">
        <v>1</v>
      </c>
      <c r="F4" s="806">
        <f>+C4*D4*E4</f>
        <v>187414518</v>
      </c>
    </row>
    <row r="5" spans="1:7" ht="99.75" thickBot="1">
      <c r="A5" s="725">
        <v>3</v>
      </c>
      <c r="B5" s="726" t="s">
        <v>1682</v>
      </c>
      <c r="C5" s="727">
        <v>12</v>
      </c>
      <c r="D5" s="805">
        <f>+((D4*55.97%/15*12)/30*20)+2</f>
        <v>2944448.4764799997</v>
      </c>
      <c r="E5" s="727">
        <v>1</v>
      </c>
      <c r="F5" s="806">
        <f>+C5*D5*E5</f>
        <v>35333381.717759997</v>
      </c>
    </row>
    <row r="6" spans="1:7" ht="99.75" thickBot="1">
      <c r="A6" s="725">
        <v>4</v>
      </c>
      <c r="B6" s="726" t="s">
        <v>1683</v>
      </c>
      <c r="C6" s="727">
        <v>6</v>
      </c>
      <c r="D6" s="805">
        <f>+((((8800000*55.97%/15*12)/30*20)*1.08)*1.019)+2</f>
        <v>2890912.4998399997</v>
      </c>
      <c r="E6" s="727">
        <v>1</v>
      </c>
      <c r="F6" s="806">
        <f>+C6*D6*E6</f>
        <v>17345474.99904</v>
      </c>
    </row>
    <row r="7" spans="1:7" ht="15.75" thickBot="1">
      <c r="A7" s="729">
        <v>5</v>
      </c>
      <c r="B7" s="1293" t="s">
        <v>1684</v>
      </c>
      <c r="C7" s="1294"/>
      <c r="D7" s="1294"/>
      <c r="E7" s="1295"/>
      <c r="F7" s="807">
        <f>SUM(F4:F6)</f>
        <v>240093374.7168</v>
      </c>
      <c r="G7" t="str">
        <f>+IF(GESTEP(F7,240102770),"cumple","no cumple")</f>
        <v>no 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9">
        <f>+'[5]ANEXO 3,1,'!E17</f>
        <v>9840000</v>
      </c>
      <c r="D10" s="1350"/>
      <c r="E10" s="727">
        <v>1</v>
      </c>
      <c r="F10" s="805">
        <f>+C10*E10</f>
        <v>9840000</v>
      </c>
      <c r="G10" t="str">
        <f>+IF(GESTEP(F10,7350000),"cumple","no cumple")</f>
        <v>cumple</v>
      </c>
    </row>
    <row r="11" spans="1:7" ht="15.75" thickBot="1">
      <c r="A11" s="729">
        <v>9</v>
      </c>
      <c r="B11" s="1293" t="s">
        <v>1694</v>
      </c>
      <c r="C11" s="1294"/>
      <c r="D11" s="1294"/>
      <c r="E11" s="1295"/>
      <c r="F11" s="808">
        <f>SUM(F10)</f>
        <v>9840000</v>
      </c>
    </row>
    <row r="12" spans="1:7" ht="15.75" thickBot="1">
      <c r="A12" s="729">
        <v>10</v>
      </c>
      <c r="B12" s="1293" t="s">
        <v>1695</v>
      </c>
      <c r="C12" s="1294"/>
      <c r="D12" s="1294"/>
      <c r="E12" s="1295"/>
      <c r="F12" s="807">
        <f>+F7+F11</f>
        <v>249933374.7168</v>
      </c>
      <c r="G12" t="str">
        <f>+IF(F12&lt;256580747,"cumple","no cumple")</f>
        <v>cumple</v>
      </c>
    </row>
    <row r="13" spans="1:7" ht="15.75" thickBot="1">
      <c r="A13" s="1299" t="s">
        <v>1696</v>
      </c>
      <c r="B13" s="1300"/>
      <c r="C13" s="1300"/>
      <c r="D13" s="1300"/>
      <c r="E13" s="1300"/>
      <c r="F13" s="1301"/>
    </row>
    <row r="14" spans="1:7" ht="99.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05">
        <f>(9178400*1.1)*1.019</f>
        <v>10288068.559999999</v>
      </c>
      <c r="E16" s="727">
        <v>5.44</v>
      </c>
      <c r="F16" s="806">
        <f>+C16*D16*E16</f>
        <v>1063374766.3616</v>
      </c>
    </row>
    <row r="17" spans="1:7" ht="99.75" thickBot="1">
      <c r="A17" s="725">
        <v>14</v>
      </c>
      <c r="B17" s="726" t="s">
        <v>1682</v>
      </c>
      <c r="C17" s="727">
        <v>12</v>
      </c>
      <c r="D17" s="805">
        <f>+(D16*55.97%/15*12)/30*20</f>
        <v>3071057.0522837332</v>
      </c>
      <c r="E17" s="727">
        <v>5.44</v>
      </c>
      <c r="F17" s="806">
        <f>+C17*D17*E17</f>
        <v>200478604.3730821</v>
      </c>
    </row>
    <row r="18" spans="1:7" ht="99.75" thickBot="1">
      <c r="A18" s="725">
        <v>15</v>
      </c>
      <c r="B18" s="726" t="s">
        <v>1683</v>
      </c>
      <c r="C18" s="727">
        <v>6</v>
      </c>
      <c r="D18" s="805">
        <f>+(((9178400*55.97%/15*12)/30*20)*1.08)*1.019</f>
        <v>3015219.6513331197</v>
      </c>
      <c r="E18" s="727">
        <v>5.44</v>
      </c>
      <c r="F18" s="806">
        <f>+C18*D18*E18</f>
        <v>98416769.419513032</v>
      </c>
    </row>
    <row r="19" spans="1:7" ht="15.75" thickBot="1">
      <c r="A19" s="729">
        <v>16</v>
      </c>
      <c r="B19" s="1293" t="s">
        <v>1705</v>
      </c>
      <c r="C19" s="1294"/>
      <c r="D19" s="1294"/>
      <c r="E19" s="1295"/>
      <c r="F19" s="807">
        <f>SUM(F16:F18)</f>
        <v>1362270140.1541951</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48">
        <f>+C10</f>
        <v>9840000</v>
      </c>
      <c r="D22" s="1303"/>
      <c r="E22" s="727">
        <v>5.44</v>
      </c>
      <c r="F22" s="805">
        <f>+C22*E22</f>
        <v>53529600.000000007</v>
      </c>
      <c r="G22" t="str">
        <f>+IF(GESTEP(F22,39984000),"cumple","no cumple")</f>
        <v>cumple</v>
      </c>
    </row>
    <row r="23" spans="1:7" ht="15.75" thickBot="1">
      <c r="A23" s="729">
        <v>20</v>
      </c>
      <c r="B23" s="1293" t="s">
        <v>1714</v>
      </c>
      <c r="C23" s="1294"/>
      <c r="D23" s="1294"/>
      <c r="E23" s="1295"/>
      <c r="F23" s="808">
        <f>+F22</f>
        <v>53529600.000000007</v>
      </c>
    </row>
    <row r="24" spans="1:7" ht="15.75" thickBot="1">
      <c r="A24" s="729">
        <v>21</v>
      </c>
      <c r="B24" s="1293" t="s">
        <v>1715</v>
      </c>
      <c r="C24" s="1294"/>
      <c r="D24" s="1294"/>
      <c r="E24" s="1295"/>
      <c r="F24" s="807">
        <f>+F19+F23</f>
        <v>1415799740.1541951</v>
      </c>
    </row>
    <row r="25" spans="1:7" ht="16.5" thickBot="1">
      <c r="A25" s="729">
        <v>22</v>
      </c>
      <c r="B25" s="1296" t="s">
        <v>1716</v>
      </c>
      <c r="C25" s="1297"/>
      <c r="D25" s="1297"/>
      <c r="E25" s="1298"/>
      <c r="F25" s="809">
        <f>+F12+F24</f>
        <v>1665733114.870995</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4453-F50D-4281-87D3-F3F85BEB1064}">
  <dimension ref="A1:G25"/>
  <sheetViews>
    <sheetView topLeftCell="A18" workbookViewId="0">
      <selection activeCell="G7" sqref="G7"/>
    </sheetView>
  </sheetViews>
  <sheetFormatPr baseColWidth="10" defaultRowHeight="15"/>
  <cols>
    <col min="6" max="6" width="18.28515625" customWidth="1"/>
  </cols>
  <sheetData>
    <row r="1" spans="1:7" ht="15.75" thickBot="1">
      <c r="A1" s="1299" t="s">
        <v>1669</v>
      </c>
      <c r="B1" s="1300"/>
      <c r="C1" s="1300"/>
      <c r="D1" s="1300"/>
      <c r="E1" s="1300"/>
      <c r="F1" s="1301"/>
    </row>
    <row r="2" spans="1:7" ht="54.75" thickBot="1">
      <c r="A2" s="722" t="s">
        <v>1670</v>
      </c>
      <c r="B2" s="723" t="s">
        <v>1671</v>
      </c>
      <c r="C2" s="723" t="s">
        <v>1672</v>
      </c>
      <c r="D2" s="723" t="s">
        <v>1673</v>
      </c>
      <c r="E2" s="723" t="s">
        <v>1674</v>
      </c>
      <c r="F2" s="723" t="s">
        <v>1675</v>
      </c>
    </row>
    <row r="3" spans="1:7" ht="15.75" thickBot="1">
      <c r="A3" s="724">
        <v>1</v>
      </c>
      <c r="B3" s="723" t="s">
        <v>1676</v>
      </c>
      <c r="C3" s="723" t="s">
        <v>1677</v>
      </c>
      <c r="D3" s="723" t="s">
        <v>1678</v>
      </c>
      <c r="E3" s="723" t="s">
        <v>1679</v>
      </c>
      <c r="F3" s="723" t="s">
        <v>1680</v>
      </c>
    </row>
    <row r="4" spans="1:7" ht="90.75" thickBot="1">
      <c r="A4" s="725">
        <v>2</v>
      </c>
      <c r="B4" s="726" t="s">
        <v>1681</v>
      </c>
      <c r="C4" s="727">
        <v>19</v>
      </c>
      <c r="D4" s="806">
        <v>9864310</v>
      </c>
      <c r="E4" s="727">
        <v>1</v>
      </c>
      <c r="F4" s="806">
        <f>+E4*D4*C4</f>
        <v>187421890</v>
      </c>
    </row>
    <row r="5" spans="1:7" ht="99.75" thickBot="1">
      <c r="A5" s="725">
        <v>3</v>
      </c>
      <c r="B5" s="726" t="s">
        <v>1682</v>
      </c>
      <c r="C5" s="727">
        <v>12</v>
      </c>
      <c r="D5" s="806">
        <v>2944562</v>
      </c>
      <c r="E5" s="727">
        <v>1</v>
      </c>
      <c r="F5" s="806">
        <f t="shared" ref="F5:F6" si="0">+E5*D5*C5</f>
        <v>35334744</v>
      </c>
    </row>
    <row r="6" spans="1:7" ht="99.75" thickBot="1">
      <c r="A6" s="725">
        <v>4</v>
      </c>
      <c r="B6" s="726" t="s">
        <v>1683</v>
      </c>
      <c r="C6" s="727">
        <v>6</v>
      </c>
      <c r="D6" s="806">
        <v>2891025</v>
      </c>
      <c r="E6" s="727">
        <v>1</v>
      </c>
      <c r="F6" s="806">
        <f t="shared" si="0"/>
        <v>17346150</v>
      </c>
    </row>
    <row r="7" spans="1:7" ht="15.75" thickBot="1">
      <c r="A7" s="729">
        <v>5</v>
      </c>
      <c r="B7" s="1293" t="s">
        <v>1684</v>
      </c>
      <c r="C7" s="1294"/>
      <c r="D7" s="1294"/>
      <c r="E7" s="1295"/>
      <c r="F7" s="810">
        <f>+SUM(F4:F6)</f>
        <v>240102784</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44">
        <f>+'[6]ANEXO 3,1,'!E17</f>
        <v>15036141.237500001</v>
      </c>
      <c r="D10" s="1345"/>
      <c r="E10" s="727">
        <v>1</v>
      </c>
      <c r="F10" s="735">
        <f>+E10*C10</f>
        <v>15036141.237500001</v>
      </c>
      <c r="G10" t="str">
        <f>+IF(GESTEP(F10,7350000),"cumple","no cumple")</f>
        <v>cumple</v>
      </c>
    </row>
    <row r="11" spans="1:7" ht="15.75" thickBot="1">
      <c r="A11" s="729">
        <v>9</v>
      </c>
      <c r="B11" s="1293" t="s">
        <v>1694</v>
      </c>
      <c r="C11" s="1294"/>
      <c r="D11" s="1294"/>
      <c r="E11" s="1295"/>
      <c r="F11" s="811">
        <f>+F10</f>
        <v>15036141.237500001</v>
      </c>
    </row>
    <row r="12" spans="1:7" ht="15.75" thickBot="1">
      <c r="A12" s="729">
        <v>10</v>
      </c>
      <c r="B12" s="1293" t="s">
        <v>1695</v>
      </c>
      <c r="C12" s="1294"/>
      <c r="D12" s="1294"/>
      <c r="E12" s="1295"/>
      <c r="F12" s="733">
        <f>+F11+F7</f>
        <v>255138925.23750001</v>
      </c>
      <c r="G12" t="str">
        <f>+IF(F12&lt;256580747,"cumple","no cumple")</f>
        <v>cumple</v>
      </c>
    </row>
    <row r="13" spans="1:7" ht="15.75" thickBot="1">
      <c r="A13" s="1299" t="s">
        <v>1696</v>
      </c>
      <c r="B13" s="1300"/>
      <c r="C13" s="1300"/>
      <c r="D13" s="1300"/>
      <c r="E13" s="1300"/>
      <c r="F13" s="1301"/>
    </row>
    <row r="14" spans="1:7" ht="99.75" thickBot="1">
      <c r="A14" s="724">
        <v>11</v>
      </c>
      <c r="B14" s="723" t="s">
        <v>1671</v>
      </c>
      <c r="C14" s="723" t="s">
        <v>1672</v>
      </c>
      <c r="D14" s="723" t="s">
        <v>1697</v>
      </c>
      <c r="E14" s="723" t="s">
        <v>1698</v>
      </c>
      <c r="F14" s="723" t="s">
        <v>1699</v>
      </c>
    </row>
    <row r="15" spans="1:7" ht="15.75" thickBot="1">
      <c r="A15" s="724">
        <v>12</v>
      </c>
      <c r="B15" s="723" t="s">
        <v>1700</v>
      </c>
      <c r="C15" s="723" t="s">
        <v>1701</v>
      </c>
      <c r="D15" s="723" t="s">
        <v>1702</v>
      </c>
      <c r="E15" s="723" t="s">
        <v>1703</v>
      </c>
      <c r="F15" s="723" t="s">
        <v>1704</v>
      </c>
    </row>
    <row r="16" spans="1:7" ht="90.75" thickBot="1">
      <c r="A16" s="725">
        <v>13</v>
      </c>
      <c r="B16" s="726" t="s">
        <v>1681</v>
      </c>
      <c r="C16" s="727">
        <v>19</v>
      </c>
      <c r="D16" s="806">
        <v>10288475</v>
      </c>
      <c r="E16" s="727">
        <v>5.44</v>
      </c>
      <c r="F16" s="812">
        <f>+E16*D16*C16</f>
        <v>1063416776.0000001</v>
      </c>
    </row>
    <row r="17" spans="1:7" ht="99.75" thickBot="1">
      <c r="A17" s="725">
        <v>14</v>
      </c>
      <c r="B17" s="726" t="s">
        <v>1682</v>
      </c>
      <c r="C17" s="727">
        <v>12</v>
      </c>
      <c r="D17" s="806">
        <v>3071178</v>
      </c>
      <c r="E17" s="727">
        <v>5.44</v>
      </c>
      <c r="F17" s="812">
        <f t="shared" ref="F17:F18" si="1">+E17*D17*C17</f>
        <v>200486499.84</v>
      </c>
    </row>
    <row r="18" spans="1:7" ht="99.75" thickBot="1">
      <c r="A18" s="725">
        <v>15</v>
      </c>
      <c r="B18" s="726" t="s">
        <v>1683</v>
      </c>
      <c r="C18" s="727">
        <v>6</v>
      </c>
      <c r="D18" s="806">
        <v>3015339</v>
      </c>
      <c r="E18" s="727">
        <v>5.44</v>
      </c>
      <c r="F18" s="812">
        <f t="shared" si="1"/>
        <v>98420664.960000008</v>
      </c>
    </row>
    <row r="19" spans="1:7" ht="15.75" thickBot="1">
      <c r="A19" s="729">
        <v>16</v>
      </c>
      <c r="B19" s="1293" t="s">
        <v>1705</v>
      </c>
      <c r="C19" s="1294"/>
      <c r="D19" s="1294"/>
      <c r="E19" s="1295"/>
      <c r="F19" s="813">
        <f>SUM(F16:F18)</f>
        <v>1362323940.8000002</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04">
        <f>+C10</f>
        <v>15036141.237500001</v>
      </c>
      <c r="D22" s="1303"/>
      <c r="E22" s="727">
        <v>5.44</v>
      </c>
      <c r="F22" s="735">
        <f>+E22*C22</f>
        <v>81796608.332000017</v>
      </c>
      <c r="G22" t="str">
        <f>+IF(GESTEP(F22,39984000),"cumple","no cumple")</f>
        <v>cumple</v>
      </c>
    </row>
    <row r="23" spans="1:7" ht="15.75" thickBot="1">
      <c r="A23" s="729">
        <v>20</v>
      </c>
      <c r="B23" s="1293" t="s">
        <v>1714</v>
      </c>
      <c r="C23" s="1294"/>
      <c r="D23" s="1294"/>
      <c r="E23" s="1295"/>
      <c r="F23" s="733">
        <f>+F22</f>
        <v>81796608.332000017</v>
      </c>
    </row>
    <row r="24" spans="1:7" ht="15.75" thickBot="1">
      <c r="A24" s="729">
        <v>21</v>
      </c>
      <c r="B24" s="1293" t="s">
        <v>1715</v>
      </c>
      <c r="C24" s="1294"/>
      <c r="D24" s="1294"/>
      <c r="E24" s="1295"/>
      <c r="F24" s="814">
        <f>+F23+F19</f>
        <v>1444120549.1320002</v>
      </c>
    </row>
    <row r="25" spans="1:7" ht="16.5" thickBot="1">
      <c r="A25" s="729">
        <v>22</v>
      </c>
      <c r="B25" s="1296" t="s">
        <v>1716</v>
      </c>
      <c r="C25" s="1297"/>
      <c r="D25" s="1297"/>
      <c r="E25" s="1298"/>
      <c r="F25" s="815">
        <f>+F24+F12</f>
        <v>1699259474.3695002</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29C16-E6E8-4C8A-A3D9-F10D08634663}">
  <dimension ref="A1:G25"/>
  <sheetViews>
    <sheetView topLeftCell="A22" zoomScale="70" zoomScaleNormal="70" workbookViewId="0">
      <selection activeCell="G7" sqref="G7"/>
    </sheetView>
  </sheetViews>
  <sheetFormatPr baseColWidth="10" defaultColWidth="25.7109375" defaultRowHeight="90" customHeight="1"/>
  <sheetData>
    <row r="1" spans="1:7" ht="90" customHeight="1">
      <c r="A1" s="1365" t="s">
        <v>1669</v>
      </c>
      <c r="B1" s="1365"/>
      <c r="C1" s="1365"/>
      <c r="D1" s="1365"/>
      <c r="E1" s="1365"/>
      <c r="F1" s="1365"/>
    </row>
    <row r="2" spans="1:7" ht="90" customHeight="1">
      <c r="A2" s="816" t="s">
        <v>1738</v>
      </c>
      <c r="B2" s="816" t="s">
        <v>1739</v>
      </c>
      <c r="C2" s="816" t="s">
        <v>1740</v>
      </c>
      <c r="D2" s="816" t="s">
        <v>1741</v>
      </c>
      <c r="E2" s="816" t="s">
        <v>1742</v>
      </c>
      <c r="F2" s="816" t="s">
        <v>1675</v>
      </c>
    </row>
    <row r="3" spans="1:7" ht="90" customHeight="1">
      <c r="A3" s="817">
        <v>1</v>
      </c>
      <c r="B3" s="817" t="s">
        <v>1743</v>
      </c>
      <c r="C3" s="817" t="s">
        <v>1744</v>
      </c>
      <c r="D3" s="817" t="s">
        <v>1745</v>
      </c>
      <c r="E3" s="817" t="s">
        <v>1746</v>
      </c>
      <c r="F3" s="817" t="s">
        <v>1680</v>
      </c>
    </row>
    <row r="4" spans="1:7" ht="90" customHeight="1">
      <c r="A4" s="818">
        <v>2</v>
      </c>
      <c r="B4" s="819" t="s">
        <v>1681</v>
      </c>
      <c r="C4" s="818">
        <v>19</v>
      </c>
      <c r="D4" s="820">
        <v>9864633.3000000007</v>
      </c>
      <c r="E4" s="818" t="s">
        <v>1747</v>
      </c>
      <c r="F4" s="820">
        <f>(C4*D4*1)</f>
        <v>187428032.70000002</v>
      </c>
    </row>
    <row r="5" spans="1:7" ht="90" customHeight="1">
      <c r="A5" s="818">
        <v>3</v>
      </c>
      <c r="B5" s="819" t="s">
        <v>1682</v>
      </c>
      <c r="C5" s="818">
        <v>12</v>
      </c>
      <c r="D5" s="820">
        <v>2944683.67</v>
      </c>
      <c r="E5" s="818" t="s">
        <v>1747</v>
      </c>
      <c r="F5" s="820">
        <f t="shared" ref="F5:F6" si="0">(C5*D5*1)</f>
        <v>35336204.039999999</v>
      </c>
    </row>
    <row r="6" spans="1:7" ht="90" customHeight="1">
      <c r="A6" s="818">
        <v>4</v>
      </c>
      <c r="B6" s="819" t="s">
        <v>1683</v>
      </c>
      <c r="C6" s="818">
        <v>6</v>
      </c>
      <c r="D6" s="820">
        <v>2891148.27</v>
      </c>
      <c r="E6" s="818" t="s">
        <v>1747</v>
      </c>
      <c r="F6" s="820">
        <f t="shared" si="0"/>
        <v>17346889.620000001</v>
      </c>
    </row>
    <row r="7" spans="1:7" ht="90" customHeight="1">
      <c r="A7" s="821">
        <v>5</v>
      </c>
      <c r="B7" s="1358" t="s">
        <v>1684</v>
      </c>
      <c r="C7" s="1358"/>
      <c r="D7" s="1358"/>
      <c r="E7" s="1358"/>
      <c r="F7" s="822">
        <f>SUM(F4:F6)</f>
        <v>240111126.36000001</v>
      </c>
      <c r="G7" t="str">
        <f>+IF(GESTEP(F7,240102770),"cumple","no cumple")</f>
        <v>cumple</v>
      </c>
    </row>
    <row r="8" spans="1:7" ht="90" customHeight="1">
      <c r="A8" s="816">
        <v>6</v>
      </c>
      <c r="B8" s="816" t="s">
        <v>1748</v>
      </c>
      <c r="C8" s="816" t="s">
        <v>1707</v>
      </c>
      <c r="D8" s="816"/>
      <c r="E8" s="816" t="s">
        <v>1742</v>
      </c>
      <c r="F8" s="816" t="s">
        <v>1688</v>
      </c>
    </row>
    <row r="9" spans="1:7" ht="90" customHeight="1">
      <c r="A9" s="818">
        <v>7</v>
      </c>
      <c r="B9" s="819" t="s">
        <v>1689</v>
      </c>
      <c r="C9" s="1361" t="s">
        <v>1749</v>
      </c>
      <c r="D9" s="1362"/>
      <c r="E9" s="818" t="s">
        <v>1750</v>
      </c>
      <c r="F9" s="823" t="s">
        <v>1692</v>
      </c>
    </row>
    <row r="10" spans="1:7" ht="90" customHeight="1">
      <c r="A10" s="818">
        <v>8</v>
      </c>
      <c r="B10" s="819" t="s">
        <v>1751</v>
      </c>
      <c r="C10" s="1363">
        <v>14341745</v>
      </c>
      <c r="D10" s="1364"/>
      <c r="E10" s="818" t="s">
        <v>1747</v>
      </c>
      <c r="F10" s="823">
        <f>+C10*1</f>
        <v>14341745</v>
      </c>
      <c r="G10" t="str">
        <f>+IF(GESTEP(F10,7350000),"cumple","no cumple")</f>
        <v>cumple</v>
      </c>
    </row>
    <row r="11" spans="1:7" ht="90" customHeight="1">
      <c r="A11" s="821">
        <v>9</v>
      </c>
      <c r="B11" s="1351" t="s">
        <v>1694</v>
      </c>
      <c r="C11" s="1352"/>
      <c r="D11" s="1352"/>
      <c r="E11" s="1353"/>
      <c r="F11" s="822">
        <f>+F10</f>
        <v>14341745</v>
      </c>
    </row>
    <row r="12" spans="1:7" ht="90" customHeight="1">
      <c r="A12" s="821">
        <v>10</v>
      </c>
      <c r="B12" s="1351" t="s">
        <v>1695</v>
      </c>
      <c r="C12" s="1352"/>
      <c r="D12" s="1352"/>
      <c r="E12" s="1353"/>
      <c r="F12" s="822">
        <f>+F7+F11</f>
        <v>254452871.36000001</v>
      </c>
      <c r="G12" t="str">
        <f>+IF(F12&lt;256580747,"cumple","no cumple")</f>
        <v>cumple</v>
      </c>
    </row>
    <row r="13" spans="1:7" ht="90" customHeight="1">
      <c r="A13" s="1357" t="s">
        <v>1696</v>
      </c>
      <c r="B13" s="1357"/>
      <c r="C13" s="1357"/>
      <c r="D13" s="1357"/>
      <c r="E13" s="1357"/>
      <c r="F13" s="1357"/>
    </row>
    <row r="14" spans="1:7" ht="90" customHeight="1">
      <c r="A14" s="816">
        <v>11</v>
      </c>
      <c r="B14" s="816" t="s">
        <v>1739</v>
      </c>
      <c r="C14" s="816" t="s">
        <v>1740</v>
      </c>
      <c r="D14" s="816" t="s">
        <v>1697</v>
      </c>
      <c r="E14" s="816" t="s">
        <v>1698</v>
      </c>
      <c r="F14" s="816" t="s">
        <v>1699</v>
      </c>
    </row>
    <row r="15" spans="1:7" ht="90" customHeight="1">
      <c r="A15" s="817">
        <v>12</v>
      </c>
      <c r="B15" s="817" t="s">
        <v>1752</v>
      </c>
      <c r="C15" s="817" t="s">
        <v>1753</v>
      </c>
      <c r="D15" s="817" t="s">
        <v>1754</v>
      </c>
      <c r="E15" s="817" t="s">
        <v>1755</v>
      </c>
      <c r="F15" s="817" t="s">
        <v>1704</v>
      </c>
    </row>
    <row r="16" spans="1:7" ht="90" customHeight="1">
      <c r="A16" s="818">
        <v>13</v>
      </c>
      <c r="B16" s="819" t="s">
        <v>1681</v>
      </c>
      <c r="C16" s="818">
        <v>19</v>
      </c>
      <c r="D16" s="824">
        <v>10288812.529999999</v>
      </c>
      <c r="E16" s="818">
        <v>5.44</v>
      </c>
      <c r="F16" s="820">
        <f>+D16*E16*C16</f>
        <v>1063451663.1007999</v>
      </c>
    </row>
    <row r="17" spans="1:7" ht="90" customHeight="1">
      <c r="A17" s="818">
        <v>14</v>
      </c>
      <c r="B17" s="819" t="s">
        <v>1682</v>
      </c>
      <c r="C17" s="818">
        <v>12</v>
      </c>
      <c r="D17" s="824">
        <v>3071305.07</v>
      </c>
      <c r="E17" s="818">
        <v>5.44</v>
      </c>
      <c r="F17" s="820">
        <f t="shared" ref="F17:F18" si="1">+D17*E17*C17</f>
        <v>200494794.96960002</v>
      </c>
    </row>
    <row r="18" spans="1:7" ht="90" customHeight="1">
      <c r="A18" s="818">
        <v>15</v>
      </c>
      <c r="B18" s="819" t="s">
        <v>1683</v>
      </c>
      <c r="C18" s="818">
        <v>6</v>
      </c>
      <c r="D18" s="824">
        <v>3015467.64</v>
      </c>
      <c r="E18" s="818">
        <v>5.44</v>
      </c>
      <c r="F18" s="820">
        <f t="shared" si="1"/>
        <v>98424863.769600004</v>
      </c>
    </row>
    <row r="19" spans="1:7" ht="90" customHeight="1">
      <c r="A19" s="821">
        <v>16</v>
      </c>
      <c r="B19" s="1358" t="s">
        <v>1705</v>
      </c>
      <c r="C19" s="1358"/>
      <c r="D19" s="1358"/>
      <c r="E19" s="1358"/>
      <c r="F19" s="825">
        <f>SUM(F16:F18)</f>
        <v>1362371321.8399999</v>
      </c>
      <c r="G19" t="str">
        <f>+IF(F19&lt;1451966056,"cumple","no cumple")</f>
        <v>cumple</v>
      </c>
    </row>
    <row r="20" spans="1:7" ht="90" customHeight="1">
      <c r="A20" s="816">
        <v>17</v>
      </c>
      <c r="B20" s="816" t="s">
        <v>1756</v>
      </c>
      <c r="C20" s="1359" t="s">
        <v>1757</v>
      </c>
      <c r="D20" s="1360"/>
      <c r="E20" s="816" t="s">
        <v>1698</v>
      </c>
      <c r="F20" s="816" t="s">
        <v>1708</v>
      </c>
    </row>
    <row r="21" spans="1:7" ht="90" customHeight="1">
      <c r="A21" s="818">
        <v>18</v>
      </c>
      <c r="B21" s="819" t="s">
        <v>1758</v>
      </c>
      <c r="C21" s="1361" t="s">
        <v>1759</v>
      </c>
      <c r="D21" s="1362"/>
      <c r="E21" s="818" t="s">
        <v>1760</v>
      </c>
      <c r="F21" s="823" t="s">
        <v>1712</v>
      </c>
    </row>
    <row r="22" spans="1:7" ht="90" customHeight="1">
      <c r="A22" s="818">
        <v>19</v>
      </c>
      <c r="B22" s="819" t="s">
        <v>1761</v>
      </c>
      <c r="C22" s="1363">
        <v>14341745</v>
      </c>
      <c r="D22" s="1364"/>
      <c r="E22" s="818">
        <v>5.44</v>
      </c>
      <c r="F22" s="826">
        <f>+C22*E22</f>
        <v>78019092.800000012</v>
      </c>
      <c r="G22" t="str">
        <f>+IF(GESTEP(F22,39984000),"cumple","no cumple")</f>
        <v>cumple</v>
      </c>
    </row>
    <row r="23" spans="1:7" ht="90" customHeight="1">
      <c r="A23" s="821">
        <v>20</v>
      </c>
      <c r="B23" s="1351" t="s">
        <v>1714</v>
      </c>
      <c r="C23" s="1352"/>
      <c r="D23" s="1352"/>
      <c r="E23" s="1353"/>
      <c r="F23" s="827">
        <f>+F22</f>
        <v>78019092.800000012</v>
      </c>
    </row>
    <row r="24" spans="1:7" ht="90" customHeight="1">
      <c r="A24" s="821">
        <v>21</v>
      </c>
      <c r="B24" s="1351" t="s">
        <v>1715</v>
      </c>
      <c r="C24" s="1352"/>
      <c r="D24" s="1352"/>
      <c r="E24" s="1353"/>
      <c r="F24" s="827">
        <f>+F23+F19</f>
        <v>1440390414.6399999</v>
      </c>
      <c r="G24" t="str">
        <f>+IF(F24&lt;1451966056,"cumple","no cumple")</f>
        <v>cumple</v>
      </c>
    </row>
    <row r="25" spans="1:7" ht="90" customHeight="1">
      <c r="A25" s="821">
        <v>21</v>
      </c>
      <c r="B25" s="1354" t="s">
        <v>1716</v>
      </c>
      <c r="C25" s="1355"/>
      <c r="D25" s="1355"/>
      <c r="E25" s="1356"/>
      <c r="F25" s="827">
        <f>+F24+F12</f>
        <v>1694843286</v>
      </c>
    </row>
  </sheetData>
  <mergeCells count="14">
    <mergeCell ref="B12:E12"/>
    <mergeCell ref="A1:F1"/>
    <mergeCell ref="B7:E7"/>
    <mergeCell ref="C9:D9"/>
    <mergeCell ref="C10:D10"/>
    <mergeCell ref="B11:E11"/>
    <mergeCell ref="B24:E24"/>
    <mergeCell ref="B25:E25"/>
    <mergeCell ref="A13:F13"/>
    <mergeCell ref="B19:E19"/>
    <mergeCell ref="C20:D20"/>
    <mergeCell ref="C21:D21"/>
    <mergeCell ref="C22:D22"/>
    <mergeCell ref="B23:E2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5010F-3DC7-432A-AC26-CB0954BA3062}">
  <dimension ref="A1:G25"/>
  <sheetViews>
    <sheetView topLeftCell="A19" workbookViewId="0">
      <selection activeCell="G7" sqref="G7"/>
    </sheetView>
  </sheetViews>
  <sheetFormatPr baseColWidth="10" defaultRowHeight="15"/>
  <cols>
    <col min="6" max="6" width="14.5703125" bestFit="1" customWidth="1"/>
  </cols>
  <sheetData>
    <row r="1" spans="1:7" ht="15.75" thickBot="1">
      <c r="A1" s="1299" t="s">
        <v>1669</v>
      </c>
      <c r="B1" s="1300"/>
      <c r="C1" s="1300"/>
      <c r="D1" s="1300"/>
      <c r="E1" s="1300"/>
      <c r="F1" s="1301"/>
    </row>
    <row r="2" spans="1:7" ht="54.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812">
        <v>9864419</v>
      </c>
      <c r="E4" s="727">
        <v>1</v>
      </c>
      <c r="F4" s="828">
        <v>187423961</v>
      </c>
    </row>
    <row r="5" spans="1:7" ht="99.75" thickBot="1">
      <c r="A5" s="725">
        <v>3</v>
      </c>
      <c r="B5" s="726" t="s">
        <v>1682</v>
      </c>
      <c r="C5" s="727">
        <v>12</v>
      </c>
      <c r="D5" s="812">
        <v>2944595</v>
      </c>
      <c r="E5" s="727">
        <v>1</v>
      </c>
      <c r="F5" s="828">
        <v>35335140</v>
      </c>
    </row>
    <row r="6" spans="1:7" ht="99.75" thickBot="1">
      <c r="A6" s="725">
        <v>4</v>
      </c>
      <c r="B6" s="726" t="s">
        <v>1683</v>
      </c>
      <c r="C6" s="727">
        <v>6</v>
      </c>
      <c r="D6" s="812">
        <v>2891057</v>
      </c>
      <c r="E6" s="727">
        <v>1</v>
      </c>
      <c r="F6" s="828">
        <v>17346342</v>
      </c>
    </row>
    <row r="7" spans="1:7" ht="15.75" thickBot="1">
      <c r="A7" s="729">
        <v>5</v>
      </c>
      <c r="B7" s="1293" t="s">
        <v>1684</v>
      </c>
      <c r="C7" s="1294"/>
      <c r="D7" s="1294"/>
      <c r="E7" s="1295"/>
      <c r="F7" s="829">
        <v>240105443</v>
      </c>
      <c r="G7" t="str">
        <f>+IF(GESTEP(F7,240102770),"cumple","no cumple")</f>
        <v>cumple</v>
      </c>
    </row>
    <row r="8" spans="1:7" ht="45.75" thickBot="1">
      <c r="A8" s="724">
        <v>6</v>
      </c>
      <c r="B8" s="723" t="s">
        <v>1685</v>
      </c>
      <c r="C8" s="1299" t="s">
        <v>1686</v>
      </c>
      <c r="D8" s="1301"/>
      <c r="E8" s="723" t="s">
        <v>1674</v>
      </c>
      <c r="F8" s="723" t="s">
        <v>1688</v>
      </c>
    </row>
    <row r="9" spans="1:7" ht="15.75" thickBot="1">
      <c r="A9" s="724">
        <v>7</v>
      </c>
      <c r="B9" s="723" t="s">
        <v>1689</v>
      </c>
      <c r="C9" s="1299" t="s">
        <v>1690</v>
      </c>
      <c r="D9" s="1301"/>
      <c r="E9" s="723" t="s">
        <v>1691</v>
      </c>
      <c r="F9" s="723" t="s">
        <v>1692</v>
      </c>
    </row>
    <row r="10" spans="1:7" ht="45.75" thickBot="1">
      <c r="A10" s="725">
        <v>8</v>
      </c>
      <c r="B10" s="726" t="s">
        <v>1693</v>
      </c>
      <c r="C10" s="1344">
        <v>12352630</v>
      </c>
      <c r="D10" s="1345"/>
      <c r="E10" s="727">
        <v>1</v>
      </c>
      <c r="F10" s="828">
        <v>12352630</v>
      </c>
      <c r="G10" t="str">
        <f>+IF(GESTEP(F10,7350000),"cumple","no cumple")</f>
        <v>cumple</v>
      </c>
    </row>
    <row r="11" spans="1:7" ht="15.75" thickBot="1">
      <c r="A11" s="729">
        <v>9</v>
      </c>
      <c r="B11" s="1293" t="s">
        <v>1694</v>
      </c>
      <c r="C11" s="1294"/>
      <c r="D11" s="1294"/>
      <c r="E11" s="1295"/>
      <c r="F11" s="814">
        <v>12352630</v>
      </c>
    </row>
    <row r="12" spans="1:7" ht="15.75" thickBot="1">
      <c r="A12" s="729">
        <v>10</v>
      </c>
      <c r="B12" s="1293" t="s">
        <v>1695</v>
      </c>
      <c r="C12" s="1294"/>
      <c r="D12" s="1294"/>
      <c r="E12" s="1295"/>
      <c r="F12" s="829">
        <v>252458073</v>
      </c>
    </row>
    <row r="13" spans="1:7" ht="15.75" thickBot="1">
      <c r="A13" s="1299" t="s">
        <v>1696</v>
      </c>
      <c r="B13" s="1300"/>
      <c r="C13" s="1300"/>
      <c r="D13" s="1300"/>
      <c r="E13" s="1300"/>
      <c r="F13" s="1301"/>
    </row>
    <row r="14" spans="1:7" ht="99.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12">
        <v>10288589</v>
      </c>
      <c r="E16" s="727">
        <v>5.44</v>
      </c>
      <c r="F16" s="828">
        <v>1063428559.0400001</v>
      </c>
    </row>
    <row r="17" spans="1:7" ht="99.75" thickBot="1">
      <c r="A17" s="725">
        <v>14</v>
      </c>
      <c r="B17" s="726" t="s">
        <v>1682</v>
      </c>
      <c r="C17" s="727">
        <v>12</v>
      </c>
      <c r="D17" s="812">
        <v>3071213</v>
      </c>
      <c r="E17" s="727">
        <v>5.44</v>
      </c>
      <c r="F17" s="828">
        <v>200488784.64000002</v>
      </c>
    </row>
    <row r="18" spans="1:7" ht="99.75" thickBot="1">
      <c r="A18" s="725">
        <v>15</v>
      </c>
      <c r="B18" s="726" t="s">
        <v>1683</v>
      </c>
      <c r="C18" s="727">
        <v>6</v>
      </c>
      <c r="D18" s="812">
        <v>3015372</v>
      </c>
      <c r="E18" s="727">
        <v>5.44</v>
      </c>
      <c r="F18" s="828">
        <v>98421742.080000013</v>
      </c>
    </row>
    <row r="19" spans="1:7" ht="15.75" thickBot="1">
      <c r="A19" s="729">
        <v>16</v>
      </c>
      <c r="B19" s="1293" t="s">
        <v>1705</v>
      </c>
      <c r="C19" s="1294"/>
      <c r="D19" s="1294"/>
      <c r="E19" s="1295"/>
      <c r="F19" s="829">
        <v>1362339085.76</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66">
        <v>12352630</v>
      </c>
      <c r="D22" s="1367"/>
      <c r="E22" s="727">
        <v>5.44</v>
      </c>
      <c r="F22" s="828">
        <v>67198307.200000003</v>
      </c>
      <c r="G22" t="str">
        <f>+IF(GESTEP(F22,39984000),"cumple","no cumple")</f>
        <v>cumple</v>
      </c>
    </row>
    <row r="23" spans="1:7" ht="15.75" thickBot="1">
      <c r="A23" s="729">
        <v>20</v>
      </c>
      <c r="B23" s="1293" t="s">
        <v>1714</v>
      </c>
      <c r="C23" s="1294"/>
      <c r="D23" s="1294"/>
      <c r="E23" s="1295"/>
      <c r="F23" s="814">
        <v>67198307.200000003</v>
      </c>
    </row>
    <row r="24" spans="1:7" ht="15.75" thickBot="1">
      <c r="A24" s="729">
        <v>21</v>
      </c>
      <c r="B24" s="1293" t="s">
        <v>1715</v>
      </c>
      <c r="C24" s="1294"/>
      <c r="D24" s="1294"/>
      <c r="E24" s="1295"/>
      <c r="F24" s="829">
        <v>1429537392.96</v>
      </c>
      <c r="G24" t="str">
        <f>+IF(F24&lt;1451966056,"cumple","no cumple")</f>
        <v>cumple</v>
      </c>
    </row>
    <row r="25" spans="1:7" ht="16.5" thickBot="1">
      <c r="A25" s="729">
        <v>22</v>
      </c>
      <c r="B25" s="1296" t="s">
        <v>1716</v>
      </c>
      <c r="C25" s="1297"/>
      <c r="D25" s="1297"/>
      <c r="E25" s="1298"/>
      <c r="F25" s="815">
        <v>1681995465.96</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7ED98-F5F6-41D3-BFA9-EF8347FE9264}">
  <dimension ref="A1:G25"/>
  <sheetViews>
    <sheetView topLeftCell="A19" workbookViewId="0">
      <selection activeCell="G7" sqref="G7"/>
    </sheetView>
  </sheetViews>
  <sheetFormatPr baseColWidth="10" defaultRowHeight="15"/>
  <cols>
    <col min="6" max="6" width="15.5703125" bestFit="1" customWidth="1"/>
  </cols>
  <sheetData>
    <row r="1" spans="1:7" ht="15.75" thickBot="1">
      <c r="A1" s="1299" t="s">
        <v>1669</v>
      </c>
      <c r="B1" s="1300"/>
      <c r="C1" s="1300"/>
      <c r="D1" s="1300"/>
      <c r="E1" s="1300"/>
      <c r="F1" s="1301"/>
    </row>
    <row r="2" spans="1:7" ht="54.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806">
        <v>9864310</v>
      </c>
      <c r="E4" s="727">
        <v>1</v>
      </c>
      <c r="F4" s="806">
        <f>+E4*D4*C4</f>
        <v>187421890</v>
      </c>
    </row>
    <row r="5" spans="1:7" ht="99.75" thickBot="1">
      <c r="A5" s="725">
        <v>3</v>
      </c>
      <c r="B5" s="726" t="s">
        <v>1682</v>
      </c>
      <c r="C5" s="727">
        <v>12</v>
      </c>
      <c r="D5" s="806">
        <v>2944562</v>
      </c>
      <c r="E5" s="727">
        <v>1</v>
      </c>
      <c r="F5" s="806">
        <f t="shared" ref="F5:F6" si="0">+E5*D5*C5</f>
        <v>35334744</v>
      </c>
    </row>
    <row r="6" spans="1:7" ht="99.75" thickBot="1">
      <c r="A6" s="725">
        <v>4</v>
      </c>
      <c r="B6" s="726" t="s">
        <v>1683</v>
      </c>
      <c r="C6" s="727">
        <v>6</v>
      </c>
      <c r="D6" s="806">
        <v>2891025</v>
      </c>
      <c r="E6" s="727">
        <v>1</v>
      </c>
      <c r="F6" s="806">
        <f t="shared" si="0"/>
        <v>17346150</v>
      </c>
    </row>
    <row r="7" spans="1:7" ht="15.75" thickBot="1">
      <c r="A7" s="729">
        <v>5</v>
      </c>
      <c r="B7" s="1293" t="s">
        <v>1684</v>
      </c>
      <c r="C7" s="1294"/>
      <c r="D7" s="1294"/>
      <c r="E7" s="1295"/>
      <c r="F7" s="810">
        <f>+SUM(F4:F6)</f>
        <v>240102784</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66">
        <v>11290700</v>
      </c>
      <c r="D10" s="1367"/>
      <c r="E10" s="727">
        <v>1</v>
      </c>
      <c r="F10" s="812">
        <f>+E10*C10</f>
        <v>11290700</v>
      </c>
      <c r="G10" t="str">
        <f>+IF(GESTEP(F10,7350000),"cumple","no cumple")</f>
        <v>cumple</v>
      </c>
    </row>
    <row r="11" spans="1:7" ht="15.75" thickBot="1">
      <c r="A11" s="729">
        <v>9</v>
      </c>
      <c r="B11" s="1293" t="s">
        <v>1694</v>
      </c>
      <c r="C11" s="1294"/>
      <c r="D11" s="1294"/>
      <c r="E11" s="1295"/>
      <c r="F11" s="813">
        <f>+F10</f>
        <v>11290700</v>
      </c>
    </row>
    <row r="12" spans="1:7" ht="15.75" thickBot="1">
      <c r="A12" s="729">
        <v>10</v>
      </c>
      <c r="B12" s="1293" t="s">
        <v>1695</v>
      </c>
      <c r="C12" s="1294"/>
      <c r="D12" s="1294"/>
      <c r="E12" s="1295"/>
      <c r="F12" s="814">
        <f>+F11+F7</f>
        <v>251393484</v>
      </c>
      <c r="G12" t="str">
        <f>+IF(F12&lt;256580747,"cumple","no cumple")</f>
        <v>cumple</v>
      </c>
    </row>
    <row r="13" spans="1:7" ht="15.75" thickBot="1">
      <c r="A13" s="1299" t="s">
        <v>1696</v>
      </c>
      <c r="B13" s="1300"/>
      <c r="C13" s="1300"/>
      <c r="D13" s="1300"/>
      <c r="E13" s="1300"/>
      <c r="F13" s="1301"/>
    </row>
    <row r="14" spans="1:7" ht="99.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06">
        <v>10288475</v>
      </c>
      <c r="E16" s="727">
        <v>5.44</v>
      </c>
      <c r="F16" s="812">
        <f>+E16*D16*C16</f>
        <v>1063416776.0000001</v>
      </c>
    </row>
    <row r="17" spans="1:7" ht="99.75" thickBot="1">
      <c r="A17" s="725">
        <v>14</v>
      </c>
      <c r="B17" s="726" t="s">
        <v>1682</v>
      </c>
      <c r="C17" s="727">
        <v>12</v>
      </c>
      <c r="D17" s="806">
        <v>3071178</v>
      </c>
      <c r="E17" s="727">
        <v>5.44</v>
      </c>
      <c r="F17" s="812">
        <f t="shared" ref="F17:F18" si="1">+E17*D17*C17</f>
        <v>200486499.84</v>
      </c>
    </row>
    <row r="18" spans="1:7" ht="99.75" thickBot="1">
      <c r="A18" s="725">
        <v>15</v>
      </c>
      <c r="B18" s="726" t="s">
        <v>1683</v>
      </c>
      <c r="C18" s="727">
        <v>6</v>
      </c>
      <c r="D18" s="806">
        <v>3015339</v>
      </c>
      <c r="E18" s="727">
        <v>5.44</v>
      </c>
      <c r="F18" s="812">
        <f t="shared" si="1"/>
        <v>98420664.960000008</v>
      </c>
    </row>
    <row r="19" spans="1:7" ht="15.75" thickBot="1">
      <c r="A19" s="729">
        <v>16</v>
      </c>
      <c r="B19" s="1293" t="s">
        <v>1705</v>
      </c>
      <c r="C19" s="1294"/>
      <c r="D19" s="1294"/>
      <c r="E19" s="1295"/>
      <c r="F19" s="813">
        <f>SUM(F16:F18)</f>
        <v>1362323940.8000002</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68">
        <f>+C10</f>
        <v>11290700</v>
      </c>
      <c r="D22" s="1369"/>
      <c r="E22" s="727">
        <v>5.44</v>
      </c>
      <c r="F22" s="812">
        <f>+E22*C22</f>
        <v>61421408.000000007</v>
      </c>
      <c r="G22" t="str">
        <f>+IF(GESTEP(F22,39984000),"cumple","no cumple")</f>
        <v>cumple</v>
      </c>
    </row>
    <row r="23" spans="1:7" ht="15.75" thickBot="1">
      <c r="A23" s="729">
        <v>20</v>
      </c>
      <c r="B23" s="1293" t="s">
        <v>1714</v>
      </c>
      <c r="C23" s="1294"/>
      <c r="D23" s="1294"/>
      <c r="E23" s="1295"/>
      <c r="F23" s="814">
        <f>+F22</f>
        <v>61421408.000000007</v>
      </c>
    </row>
    <row r="24" spans="1:7" ht="15.75" thickBot="1">
      <c r="A24" s="729">
        <v>21</v>
      </c>
      <c r="B24" s="1293" t="s">
        <v>1715</v>
      </c>
      <c r="C24" s="1294"/>
      <c r="D24" s="1294"/>
      <c r="E24" s="1295"/>
      <c r="F24" s="814">
        <f>+F23+F19</f>
        <v>1423745348.8000002</v>
      </c>
    </row>
    <row r="25" spans="1:7" ht="16.5" thickBot="1">
      <c r="A25" s="729">
        <v>22</v>
      </c>
      <c r="B25" s="1296" t="s">
        <v>1716</v>
      </c>
      <c r="C25" s="1297"/>
      <c r="D25" s="1297"/>
      <c r="E25" s="1298"/>
      <c r="F25" s="815">
        <f>+F24+F12</f>
        <v>1675138832.8000002</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BEEA0-AE23-4C97-86AF-CC1C8799C806}">
  <dimension ref="A1:O25"/>
  <sheetViews>
    <sheetView topLeftCell="A20" workbookViewId="0">
      <selection activeCell="F22" sqref="F22"/>
    </sheetView>
  </sheetViews>
  <sheetFormatPr baseColWidth="10" defaultRowHeight="15"/>
  <cols>
    <col min="6" max="6" width="14.5703125" bestFit="1" customWidth="1"/>
    <col min="7" max="7" width="14.5703125" customWidth="1"/>
    <col min="8" max="9" width="15.5703125" bestFit="1" customWidth="1"/>
  </cols>
  <sheetData>
    <row r="1" spans="1:15" ht="15.75" thickBot="1">
      <c r="A1" s="1299" t="s">
        <v>1669</v>
      </c>
      <c r="B1" s="1300"/>
      <c r="C1" s="1300"/>
      <c r="D1" s="1300"/>
      <c r="E1" s="1300"/>
      <c r="F1" s="1301"/>
      <c r="G1" s="873"/>
      <c r="H1" s="830">
        <v>1000000</v>
      </c>
      <c r="I1" s="830">
        <f>+H1*8.8+(J1*O1)</f>
        <v>8800508.8000000007</v>
      </c>
      <c r="J1">
        <v>636</v>
      </c>
      <c r="K1">
        <v>1.08</v>
      </c>
      <c r="L1">
        <v>1.1000000000000001</v>
      </c>
      <c r="M1">
        <v>1.1100000000000001</v>
      </c>
      <c r="N1">
        <v>1.0189999999999999</v>
      </c>
      <c r="O1" s="831">
        <v>0.8</v>
      </c>
    </row>
    <row r="2" spans="1:15" ht="54.75" thickBot="1">
      <c r="A2" s="722" t="s">
        <v>1670</v>
      </c>
      <c r="B2" s="723" t="s">
        <v>1671</v>
      </c>
      <c r="C2" s="723" t="s">
        <v>1672</v>
      </c>
      <c r="D2" s="723" t="s">
        <v>1673</v>
      </c>
      <c r="E2" s="723" t="s">
        <v>1674</v>
      </c>
      <c r="F2" s="723" t="s">
        <v>1675</v>
      </c>
      <c r="G2" s="873"/>
      <c r="H2" s="830"/>
      <c r="I2" s="830">
        <f>+I1*J2</f>
        <v>4925644.7753600003</v>
      </c>
      <c r="J2" s="832">
        <v>0.55969999999999998</v>
      </c>
    </row>
    <row r="3" spans="1:15" ht="18.75" thickBot="1">
      <c r="A3" s="724">
        <v>1</v>
      </c>
      <c r="B3" s="723" t="s">
        <v>1676</v>
      </c>
      <c r="C3" s="723" t="s">
        <v>1677</v>
      </c>
      <c r="D3" s="723" t="s">
        <v>1678</v>
      </c>
      <c r="E3" s="723" t="s">
        <v>1679</v>
      </c>
      <c r="F3" s="723" t="s">
        <v>1680</v>
      </c>
      <c r="G3" s="873"/>
      <c r="H3" s="830"/>
      <c r="I3" s="830">
        <f>+I1*J3</f>
        <v>3874864.0246400004</v>
      </c>
      <c r="J3" s="832">
        <v>0.44030000000000002</v>
      </c>
    </row>
    <row r="4" spans="1:15" ht="90.75" thickBot="1">
      <c r="A4" s="725">
        <v>2</v>
      </c>
      <c r="B4" s="726" t="s">
        <v>1681</v>
      </c>
      <c r="C4" s="727">
        <v>19</v>
      </c>
      <c r="D4" s="812">
        <f>ROUND(I1*L1*N1,0)</f>
        <v>9864490</v>
      </c>
      <c r="E4" s="727">
        <v>1</v>
      </c>
      <c r="F4" s="828">
        <f>+C4*D4*E4</f>
        <v>187425310</v>
      </c>
      <c r="G4" s="874"/>
      <c r="H4" s="830">
        <v>9864633.3000000007</v>
      </c>
      <c r="I4" s="833">
        <f>+H4-D4</f>
        <v>143.30000000074506</v>
      </c>
    </row>
    <row r="5" spans="1:15" ht="99.75" thickBot="1">
      <c r="A5" s="725">
        <v>3</v>
      </c>
      <c r="B5" s="726" t="s">
        <v>1682</v>
      </c>
      <c r="C5" s="727">
        <v>12</v>
      </c>
      <c r="D5" s="812">
        <f>+ROUND((I2/15*12/30*20)*L1*N1,0)</f>
        <v>2944616</v>
      </c>
      <c r="E5" s="727">
        <v>1</v>
      </c>
      <c r="F5" s="828">
        <f>+C5*D5*E5</f>
        <v>35335392</v>
      </c>
      <c r="G5" s="874"/>
      <c r="H5" s="830">
        <v>2944683.67</v>
      </c>
      <c r="I5" s="833">
        <f>+H5-D5</f>
        <v>67.669999999925494</v>
      </c>
    </row>
    <row r="6" spans="1:15" ht="99.75" thickBot="1">
      <c r="A6" s="725">
        <v>4</v>
      </c>
      <c r="B6" s="726" t="s">
        <v>1683</v>
      </c>
      <c r="C6" s="727">
        <v>6</v>
      </c>
      <c r="D6" s="812">
        <f>+ROUND((I2/15*12/30*20)*K1*N1,0)</f>
        <v>2891078</v>
      </c>
      <c r="E6" s="727">
        <v>1</v>
      </c>
      <c r="F6" s="828">
        <f>+C6*D6*E6</f>
        <v>17346468</v>
      </c>
      <c r="G6" s="874"/>
      <c r="H6" s="830">
        <v>2891148.27</v>
      </c>
      <c r="I6" s="833">
        <f>+H6-D6</f>
        <v>70.270000000018626</v>
      </c>
    </row>
    <row r="7" spans="1:15" ht="15.75" thickBot="1">
      <c r="A7" s="729">
        <v>5</v>
      </c>
      <c r="B7" s="1293" t="s">
        <v>1684</v>
      </c>
      <c r="C7" s="1294"/>
      <c r="D7" s="1294"/>
      <c r="E7" s="1295"/>
      <c r="F7" s="829">
        <f>SUM(F4:F6)</f>
        <v>240107170</v>
      </c>
      <c r="G7" t="str">
        <f>+IF(GESTEP(F7,240102770),"cumple","no cumple")</f>
        <v>cumple</v>
      </c>
      <c r="H7" s="830">
        <v>240102770</v>
      </c>
      <c r="I7" s="833">
        <f>187428032.7+35336204.05+17346889.6</f>
        <v>240111126.34999999</v>
      </c>
      <c r="J7" s="833">
        <f>+I7-F7</f>
        <v>3956.3499999940395</v>
      </c>
    </row>
    <row r="8" spans="1:15" ht="45.75" thickBot="1">
      <c r="A8" s="724">
        <v>6</v>
      </c>
      <c r="B8" s="723" t="s">
        <v>1685</v>
      </c>
      <c r="C8" s="1299" t="s">
        <v>1686</v>
      </c>
      <c r="D8" s="1301"/>
      <c r="E8" s="723" t="str">
        <f>+E2</f>
        <v xml:space="preserve">TIEMPO DE EJECUCION AÑO 2022 </v>
      </c>
      <c r="F8" s="723" t="s">
        <v>1688</v>
      </c>
      <c r="G8" s="873"/>
      <c r="H8" t="s">
        <v>1762</v>
      </c>
      <c r="I8" t="s">
        <v>1763</v>
      </c>
    </row>
    <row r="9" spans="1:15" ht="15.75" thickBot="1">
      <c r="A9" s="724">
        <v>7</v>
      </c>
      <c r="B9" s="723" t="s">
        <v>1689</v>
      </c>
      <c r="C9" s="1299" t="s">
        <v>1690</v>
      </c>
      <c r="D9" s="1301"/>
      <c r="E9" s="723" t="s">
        <v>1691</v>
      </c>
      <c r="F9" s="723" t="s">
        <v>1692</v>
      </c>
      <c r="G9" s="873"/>
    </row>
    <row r="10" spans="1:15" ht="45.75" thickBot="1">
      <c r="A10" s="725">
        <v>8</v>
      </c>
      <c r="B10" s="726" t="s">
        <v>1693</v>
      </c>
      <c r="C10" s="1344">
        <f>+'[7]ANEXO 3,1,'!E17</f>
        <v>13419783</v>
      </c>
      <c r="D10" s="1345"/>
      <c r="E10" s="727">
        <v>1</v>
      </c>
      <c r="F10" s="828">
        <f>+C10*E10</f>
        <v>13419783</v>
      </c>
      <c r="G10" t="str">
        <f>+IF(GESTEP(F10,7350000),"cumple","no cumple")</f>
        <v>cumple</v>
      </c>
    </row>
    <row r="11" spans="1:15" ht="15.75" thickBot="1">
      <c r="A11" s="729">
        <v>9</v>
      </c>
      <c r="B11" s="1293" t="s">
        <v>1694</v>
      </c>
      <c r="C11" s="1294"/>
      <c r="D11" s="1294"/>
      <c r="E11" s="1295"/>
      <c r="F11" s="814">
        <f>SUM(F10)</f>
        <v>13419783</v>
      </c>
      <c r="G11" s="876"/>
      <c r="H11" s="834">
        <v>7350000</v>
      </c>
      <c r="I11" s="833">
        <v>16469620.33</v>
      </c>
    </row>
    <row r="12" spans="1:15" ht="15.75" thickBot="1">
      <c r="A12" s="729">
        <v>10</v>
      </c>
      <c r="B12" s="1293" t="s">
        <v>1695</v>
      </c>
      <c r="C12" s="1294"/>
      <c r="D12" s="1294"/>
      <c r="E12" s="1295"/>
      <c r="F12" s="829">
        <f>+F7+F11</f>
        <v>253526953</v>
      </c>
      <c r="G12" t="str">
        <f>+IF(F12&lt;256580747,"cumple","no cumple")</f>
        <v>cumple</v>
      </c>
      <c r="H12" t="s">
        <v>1762</v>
      </c>
      <c r="I12" t="s">
        <v>1763</v>
      </c>
    </row>
    <row r="13" spans="1:15" ht="15.75" thickBot="1">
      <c r="A13" s="1299" t="s">
        <v>1696</v>
      </c>
      <c r="B13" s="1300"/>
      <c r="C13" s="1300"/>
      <c r="D13" s="1300"/>
      <c r="E13" s="1300"/>
      <c r="F13" s="1301"/>
      <c r="G13" s="873"/>
    </row>
    <row r="14" spans="1:15" ht="99.75" thickBot="1">
      <c r="A14" s="724">
        <v>11</v>
      </c>
      <c r="B14" s="723" t="s">
        <v>1671</v>
      </c>
      <c r="C14" s="723" t="s">
        <v>1672</v>
      </c>
      <c r="D14" s="723" t="s">
        <v>1697</v>
      </c>
      <c r="E14" s="723" t="s">
        <v>1698</v>
      </c>
      <c r="F14" s="723" t="s">
        <v>1699</v>
      </c>
      <c r="G14" s="873"/>
    </row>
    <row r="15" spans="1:15" ht="18.75" thickBot="1">
      <c r="A15" s="724">
        <v>12</v>
      </c>
      <c r="B15" s="723" t="s">
        <v>1700</v>
      </c>
      <c r="C15" s="723" t="s">
        <v>1701</v>
      </c>
      <c r="D15" s="723" t="s">
        <v>1702</v>
      </c>
      <c r="E15" s="723" t="s">
        <v>1703</v>
      </c>
      <c r="F15" s="723" t="s">
        <v>1704</v>
      </c>
      <c r="G15" s="873"/>
    </row>
    <row r="16" spans="1:15" ht="90.75" thickBot="1">
      <c r="A16" s="725">
        <v>13</v>
      </c>
      <c r="B16" s="726" t="s">
        <v>1681</v>
      </c>
      <c r="C16" s="727">
        <v>19</v>
      </c>
      <c r="D16" s="812">
        <f>+ROUND(D4*1.043,0)</f>
        <v>10288663</v>
      </c>
      <c r="E16" s="727">
        <v>5.44</v>
      </c>
      <c r="F16" s="828">
        <f>+C16*D16*E16</f>
        <v>1063436207.6800001</v>
      </c>
      <c r="G16" s="874"/>
    </row>
    <row r="17" spans="1:10" ht="99.75" thickBot="1">
      <c r="A17" s="725">
        <v>14</v>
      </c>
      <c r="B17" s="726" t="s">
        <v>1682</v>
      </c>
      <c r="C17" s="727">
        <v>12</v>
      </c>
      <c r="D17" s="812">
        <f>+ROUND(D5*1.043,0)</f>
        <v>3071234</v>
      </c>
      <c r="E17" s="727">
        <v>5.44</v>
      </c>
      <c r="F17" s="828">
        <f>+C17*D17*E17</f>
        <v>200490155.52000001</v>
      </c>
      <c r="G17" s="874"/>
    </row>
    <row r="18" spans="1:10" ht="99.75" thickBot="1">
      <c r="A18" s="725">
        <v>15</v>
      </c>
      <c r="B18" s="726" t="s">
        <v>1683</v>
      </c>
      <c r="C18" s="727">
        <v>6</v>
      </c>
      <c r="D18" s="812">
        <f>+ROUND(D6*1.043,0)</f>
        <v>3015394</v>
      </c>
      <c r="E18" s="727">
        <v>5.44</v>
      </c>
      <c r="F18" s="828">
        <f>+C18*D18*E18</f>
        <v>98422460.160000011</v>
      </c>
      <c r="G18" s="874"/>
    </row>
    <row r="19" spans="1:10" ht="15.75" thickBot="1">
      <c r="A19" s="729">
        <v>16</v>
      </c>
      <c r="B19" s="1293" t="s">
        <v>1705</v>
      </c>
      <c r="C19" s="1294"/>
      <c r="D19" s="1294"/>
      <c r="E19" s="1295"/>
      <c r="F19" s="814">
        <f>SUM(F16:F18)</f>
        <v>1362348823.3600001</v>
      </c>
      <c r="G19" t="str">
        <f>+IF(F19&lt;1451966056,"cumple","no cumple")</f>
        <v>cumple</v>
      </c>
      <c r="H19" s="830">
        <v>1362323910</v>
      </c>
      <c r="I19" s="833">
        <f>1063451663.3+200494794.89+98424863.84</f>
        <v>1362371322.03</v>
      </c>
      <c r="J19" s="833">
        <f>+I19-F19</f>
        <v>22498.669999837875</v>
      </c>
    </row>
    <row r="20" spans="1:10" ht="45.75" thickBot="1">
      <c r="A20" s="724">
        <v>17</v>
      </c>
      <c r="B20" s="723" t="s">
        <v>1706</v>
      </c>
      <c r="C20" s="1299" t="s">
        <v>1707</v>
      </c>
      <c r="D20" s="1301"/>
      <c r="E20" s="723" t="s">
        <v>1698</v>
      </c>
      <c r="F20" s="723" t="s">
        <v>1708</v>
      </c>
      <c r="G20" s="835"/>
      <c r="H20" s="835" t="s">
        <v>1764</v>
      </c>
      <c r="I20" s="835" t="s">
        <v>1763</v>
      </c>
    </row>
    <row r="21" spans="1:10" ht="15.75" thickBot="1">
      <c r="A21" s="724">
        <v>18</v>
      </c>
      <c r="B21" s="723" t="s">
        <v>1709</v>
      </c>
      <c r="C21" s="1299" t="s">
        <v>1710</v>
      </c>
      <c r="D21" s="1301"/>
      <c r="E21" s="723" t="s">
        <v>1711</v>
      </c>
      <c r="F21" s="723" t="s">
        <v>1712</v>
      </c>
      <c r="G21" s="873"/>
    </row>
    <row r="22" spans="1:10" ht="36.75" thickBot="1">
      <c r="A22" s="725">
        <v>19</v>
      </c>
      <c r="B22" s="726" t="s">
        <v>1713</v>
      </c>
      <c r="C22" s="1366">
        <f>+'[7]ANEXO 3,1,'!I17/'[7]ANEXO 3'!E22</f>
        <v>13419783.000000002</v>
      </c>
      <c r="D22" s="1367"/>
      <c r="E22" s="727">
        <v>5.44</v>
      </c>
      <c r="F22" s="828">
        <f>+C22*E22</f>
        <v>73003619.520000011</v>
      </c>
      <c r="G22" t="str">
        <f>+IF(GESTEP(F22,39984000),"cumple","no cumple")</f>
        <v>cumple</v>
      </c>
    </row>
    <row r="23" spans="1:10" ht="15.75" thickBot="1">
      <c r="A23" s="729">
        <v>20</v>
      </c>
      <c r="B23" s="1293" t="s">
        <v>1714</v>
      </c>
      <c r="C23" s="1294"/>
      <c r="D23" s="1294"/>
      <c r="E23" s="1295"/>
      <c r="F23" s="814">
        <f>SUM(F22)</f>
        <v>73003619.520000011</v>
      </c>
      <c r="G23" s="876"/>
      <c r="H23" s="830">
        <v>39984000</v>
      </c>
      <c r="I23" s="833">
        <f>+H23-F23</f>
        <v>-33019619.520000011</v>
      </c>
    </row>
    <row r="24" spans="1:10" ht="15.75" thickBot="1">
      <c r="A24" s="729">
        <v>21</v>
      </c>
      <c r="B24" s="1293" t="s">
        <v>1715</v>
      </c>
      <c r="C24" s="1294"/>
      <c r="D24" s="1294"/>
      <c r="E24" s="1295"/>
      <c r="F24" s="829">
        <f>+F19+F23</f>
        <v>1435352442.8800001</v>
      </c>
      <c r="G24" s="875"/>
    </row>
    <row r="25" spans="1:10" ht="16.5" thickBot="1">
      <c r="A25" s="729">
        <v>22</v>
      </c>
      <c r="B25" s="1296" t="s">
        <v>1716</v>
      </c>
      <c r="C25" s="1297"/>
      <c r="D25" s="1297"/>
      <c r="E25" s="1298"/>
      <c r="F25" s="815">
        <f>+F12+F24</f>
        <v>1688879395.8800001</v>
      </c>
      <c r="G25" s="877"/>
      <c r="H25" s="834">
        <v>1708546803</v>
      </c>
      <c r="I25" s="833">
        <f>+H25-F25</f>
        <v>19667407.119999886</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E46DB-6F90-4F5B-89CC-8AAB45390A33}">
  <dimension ref="A1:J35"/>
  <sheetViews>
    <sheetView topLeftCell="A25" workbookViewId="0">
      <selection activeCell="E36" sqref="E36"/>
    </sheetView>
  </sheetViews>
  <sheetFormatPr baseColWidth="10" defaultRowHeight="15"/>
  <cols>
    <col min="5" max="5" width="18.140625" customWidth="1"/>
    <col min="6" max="6" width="18.42578125" customWidth="1"/>
  </cols>
  <sheetData>
    <row r="1" spans="1:10" ht="15.75" customHeight="1">
      <c r="A1" s="1404" t="s">
        <v>1772</v>
      </c>
      <c r="B1" s="1404"/>
      <c r="C1" s="1404"/>
      <c r="D1" s="1404"/>
      <c r="E1" s="1404"/>
      <c r="F1" s="1404"/>
      <c r="G1" s="856"/>
      <c r="H1" s="857"/>
      <c r="I1" s="858">
        <f>8.8*1000000</f>
        <v>8800000</v>
      </c>
      <c r="J1" s="856"/>
    </row>
    <row r="2" spans="1:10" ht="15" customHeight="1" thickBot="1">
      <c r="A2" s="853"/>
      <c r="B2" s="853"/>
      <c r="C2" s="853"/>
      <c r="D2" s="853"/>
      <c r="E2" s="853"/>
      <c r="F2" s="853"/>
      <c r="G2" s="856"/>
      <c r="H2" s="857"/>
      <c r="I2" s="858">
        <f>+I1*55.97%</f>
        <v>4925360</v>
      </c>
      <c r="J2" s="856"/>
    </row>
    <row r="3" spans="1:10" ht="27" customHeight="1" thickBot="1">
      <c r="A3" s="1396" t="s">
        <v>1771</v>
      </c>
      <c r="B3" s="1397"/>
      <c r="C3" s="1397"/>
      <c r="D3" s="1397"/>
      <c r="E3" s="1397"/>
      <c r="F3" s="1398"/>
      <c r="G3" s="856"/>
      <c r="H3" s="857"/>
      <c r="I3" s="858">
        <f>I1*44.03%</f>
        <v>3874640</v>
      </c>
      <c r="J3" s="856"/>
    </row>
    <row r="4" spans="1:10">
      <c r="A4" s="1399" t="s">
        <v>1669</v>
      </c>
      <c r="B4" s="1400"/>
      <c r="C4" s="1400"/>
      <c r="D4" s="1400"/>
      <c r="E4" s="1400"/>
      <c r="F4" s="1401"/>
      <c r="G4" s="856"/>
      <c r="H4" s="857"/>
      <c r="I4" s="856"/>
      <c r="J4" s="856"/>
    </row>
    <row r="5" spans="1:10" ht="18">
      <c r="A5" s="1381" t="s">
        <v>1670</v>
      </c>
      <c r="B5" s="1381" t="s">
        <v>1671</v>
      </c>
      <c r="C5" s="1381" t="s">
        <v>1672</v>
      </c>
      <c r="D5" s="1381" t="s">
        <v>1673</v>
      </c>
      <c r="E5" s="836" t="s">
        <v>1765</v>
      </c>
      <c r="F5" s="1381" t="s">
        <v>1675</v>
      </c>
      <c r="G5" s="856"/>
      <c r="H5" s="857"/>
      <c r="I5" s="856"/>
      <c r="J5" s="856"/>
    </row>
    <row r="6" spans="1:10" ht="18">
      <c r="A6" s="1381"/>
      <c r="B6" s="1381"/>
      <c r="C6" s="1381"/>
      <c r="D6" s="1381"/>
      <c r="E6" s="836" t="s">
        <v>1766</v>
      </c>
      <c r="F6" s="1381"/>
      <c r="G6" s="856"/>
      <c r="H6" s="1388"/>
      <c r="I6" s="1388"/>
      <c r="J6" s="1388"/>
    </row>
    <row r="7" spans="1:10">
      <c r="A7" s="837">
        <v>1</v>
      </c>
      <c r="B7" s="838" t="s">
        <v>1676</v>
      </c>
      <c r="C7" s="838" t="s">
        <v>1677</v>
      </c>
      <c r="D7" s="838" t="s">
        <v>1678</v>
      </c>
      <c r="E7" s="838" t="s">
        <v>1679</v>
      </c>
      <c r="F7" s="838" t="s">
        <v>1680</v>
      </c>
      <c r="G7" s="856"/>
      <c r="H7" s="857" t="s">
        <v>1773</v>
      </c>
      <c r="I7" s="856" t="s">
        <v>1774</v>
      </c>
      <c r="J7" s="857" t="s">
        <v>1773</v>
      </c>
    </row>
    <row r="8" spans="1:10" ht="90">
      <c r="A8" s="839">
        <v>2</v>
      </c>
      <c r="B8" s="840" t="s">
        <v>1681</v>
      </c>
      <c r="C8" s="839">
        <v>19</v>
      </c>
      <c r="D8" s="841">
        <f>H8</f>
        <v>9864633.3000000007</v>
      </c>
      <c r="E8" s="839" t="s">
        <v>1747</v>
      </c>
      <c r="F8" s="842">
        <f>C8*D8*1</f>
        <v>187428032.70000002</v>
      </c>
      <c r="G8" s="856"/>
      <c r="H8" s="857">
        <v>9864633.3000000007</v>
      </c>
      <c r="I8" s="859">
        <f>H8-D8</f>
        <v>0</v>
      </c>
      <c r="J8" s="859">
        <v>187428032.69999999</v>
      </c>
    </row>
    <row r="9" spans="1:10" ht="15" customHeight="1">
      <c r="A9" s="839">
        <v>3</v>
      </c>
      <c r="B9" s="840" t="s">
        <v>1682</v>
      </c>
      <c r="C9" s="839">
        <v>12</v>
      </c>
      <c r="D9" s="841">
        <f>H9</f>
        <v>2944683.6710000001</v>
      </c>
      <c r="E9" s="839" t="s">
        <v>1747</v>
      </c>
      <c r="F9" s="842">
        <f t="shared" ref="F9:F10" si="0">C9*D9*1</f>
        <v>35336204.052000001</v>
      </c>
      <c r="G9" s="856"/>
      <c r="H9" s="857">
        <v>2944683.6710000001</v>
      </c>
      <c r="I9" s="859">
        <f t="shared" ref="I9:I10" si="1">H9-D9</f>
        <v>0</v>
      </c>
      <c r="J9" s="859">
        <v>35336204.049999997</v>
      </c>
    </row>
    <row r="10" spans="1:10" ht="27" customHeight="1">
      <c r="A10" s="839">
        <v>4</v>
      </c>
      <c r="B10" s="840" t="s">
        <v>1683</v>
      </c>
      <c r="C10" s="839">
        <v>6</v>
      </c>
      <c r="D10" s="841">
        <f>H10</f>
        <v>2891148.2659999998</v>
      </c>
      <c r="E10" s="839" t="s">
        <v>1747</v>
      </c>
      <c r="F10" s="842">
        <f t="shared" si="0"/>
        <v>17346889.596000001</v>
      </c>
      <c r="G10" s="856"/>
      <c r="H10" s="857">
        <v>2891148.2659999998</v>
      </c>
      <c r="I10" s="859">
        <f t="shared" si="1"/>
        <v>0</v>
      </c>
      <c r="J10" s="859">
        <v>17346889.600000001</v>
      </c>
    </row>
    <row r="11" spans="1:10">
      <c r="A11" s="843">
        <v>5</v>
      </c>
      <c r="B11" s="1389" t="s">
        <v>1684</v>
      </c>
      <c r="C11" s="1390"/>
      <c r="D11" s="1390"/>
      <c r="E11" s="1391"/>
      <c r="F11" s="844">
        <f>SUM(F8:F10)</f>
        <v>240111126.34800005</v>
      </c>
      <c r="G11" t="str">
        <f>+IF(GESTEP(F11,240102770),"cumple","no cumple")</f>
        <v>cumple</v>
      </c>
      <c r="H11" s="857"/>
      <c r="I11" s="856"/>
      <c r="J11" s="859"/>
    </row>
    <row r="12" spans="1:10" ht="18">
      <c r="A12" s="1380">
        <v>6</v>
      </c>
      <c r="B12" s="1381" t="s">
        <v>1685</v>
      </c>
      <c r="C12" s="1392" t="s">
        <v>1686</v>
      </c>
      <c r="D12" s="1393"/>
      <c r="E12" s="836" t="s">
        <v>1765</v>
      </c>
      <c r="F12" s="1381" t="s">
        <v>1688</v>
      </c>
      <c r="G12" s="856"/>
      <c r="H12" s="857"/>
      <c r="I12" s="856"/>
      <c r="J12" s="856"/>
    </row>
    <row r="13" spans="1:10" ht="18">
      <c r="A13" s="1380"/>
      <c r="B13" s="1381"/>
      <c r="C13" s="1394"/>
      <c r="D13" s="1395"/>
      <c r="E13" s="836" t="s">
        <v>1766</v>
      </c>
      <c r="F13" s="1381"/>
      <c r="G13" s="856"/>
      <c r="H13" s="857"/>
      <c r="I13" s="856"/>
      <c r="J13" s="856"/>
    </row>
    <row r="14" spans="1:10" ht="15" customHeight="1">
      <c r="A14" s="845">
        <v>7</v>
      </c>
      <c r="B14" s="836" t="s">
        <v>1689</v>
      </c>
      <c r="C14" s="1381" t="s">
        <v>1690</v>
      </c>
      <c r="D14" s="1381"/>
      <c r="E14" s="836" t="s">
        <v>1691</v>
      </c>
      <c r="F14" s="836" t="s">
        <v>1692</v>
      </c>
      <c r="G14" s="856"/>
      <c r="H14" s="857" t="s">
        <v>1773</v>
      </c>
      <c r="I14" s="856" t="s">
        <v>1774</v>
      </c>
      <c r="J14" s="857" t="s">
        <v>1773</v>
      </c>
    </row>
    <row r="15" spans="1:10" ht="15" customHeight="1">
      <c r="A15" s="846">
        <v>8</v>
      </c>
      <c r="B15" s="846" t="s">
        <v>1751</v>
      </c>
      <c r="C15" s="1402">
        <f>+'[8]Anexo 3A'!E19</f>
        <v>13229077.649799999</v>
      </c>
      <c r="D15" s="1403"/>
      <c r="E15" s="846" t="s">
        <v>1747</v>
      </c>
      <c r="F15" s="847">
        <f>C15*1</f>
        <v>13229077.649799999</v>
      </c>
      <c r="G15" t="str">
        <f>+IF(GESTEP(F15,7350000),"cumple","no cumple")</f>
        <v>cumple</v>
      </c>
      <c r="H15" s="857">
        <v>16469620.33</v>
      </c>
      <c r="I15" s="859">
        <f t="shared" ref="I15" si="2">H15-D15</f>
        <v>16469620.33</v>
      </c>
      <c r="J15" s="857">
        <v>16469620.33</v>
      </c>
    </row>
    <row r="16" spans="1:10" ht="15" customHeight="1">
      <c r="A16" s="848">
        <v>9</v>
      </c>
      <c r="B16" s="1382" t="s">
        <v>1694</v>
      </c>
      <c r="C16" s="1382"/>
      <c r="D16" s="1382"/>
      <c r="E16" s="1382"/>
      <c r="F16" s="849">
        <f>F15</f>
        <v>13229077.649799999</v>
      </c>
      <c r="G16" s="856"/>
      <c r="H16" s="857"/>
      <c r="I16" s="856"/>
      <c r="J16" s="859"/>
    </row>
    <row r="17" spans="1:10">
      <c r="A17" s="848">
        <v>10</v>
      </c>
      <c r="B17" s="1382" t="s">
        <v>1695</v>
      </c>
      <c r="C17" s="1382"/>
      <c r="D17" s="1382"/>
      <c r="E17" s="1382"/>
      <c r="F17" s="850">
        <f>F11+F16</f>
        <v>253340203.99780005</v>
      </c>
      <c r="G17" t="str">
        <f>+IF(F17&lt;256580747,"cumple","no cumple")</f>
        <v>cumple</v>
      </c>
      <c r="H17" s="857"/>
      <c r="I17" s="856"/>
      <c r="J17" s="856"/>
    </row>
    <row r="18" spans="1:10">
      <c r="A18" s="1381" t="s">
        <v>1696</v>
      </c>
      <c r="B18" s="1381"/>
      <c r="C18" s="1381"/>
      <c r="D18" s="1381"/>
      <c r="E18" s="1381"/>
      <c r="F18" s="1381"/>
      <c r="G18" s="856"/>
      <c r="H18" s="857"/>
      <c r="I18" s="856"/>
      <c r="J18" s="856"/>
    </row>
    <row r="19" spans="1:10" ht="54">
      <c r="A19" s="1380">
        <v>11</v>
      </c>
      <c r="B19" s="1381" t="s">
        <v>1671</v>
      </c>
      <c r="C19" s="1381" t="s">
        <v>1672</v>
      </c>
      <c r="D19" s="836" t="s">
        <v>1673</v>
      </c>
      <c r="E19" s="836" t="s">
        <v>1767</v>
      </c>
      <c r="F19" s="1386" t="s">
        <v>1699</v>
      </c>
      <c r="G19" s="856"/>
      <c r="H19" s="857"/>
      <c r="I19" s="856"/>
      <c r="J19" s="856"/>
    </row>
    <row r="20" spans="1:10" ht="45">
      <c r="A20" s="1380"/>
      <c r="B20" s="1381"/>
      <c r="C20" s="1381"/>
      <c r="D20" s="836" t="s">
        <v>1768</v>
      </c>
      <c r="E20" s="836" t="s">
        <v>1769</v>
      </c>
      <c r="F20" s="1387"/>
      <c r="G20" s="856"/>
      <c r="H20" s="857"/>
      <c r="I20" s="857"/>
      <c r="J20" s="857"/>
    </row>
    <row r="21" spans="1:10">
      <c r="A21" s="845">
        <v>12</v>
      </c>
      <c r="B21" s="836" t="s">
        <v>1700</v>
      </c>
      <c r="C21" s="836" t="s">
        <v>1701</v>
      </c>
      <c r="D21" s="836" t="s">
        <v>1702</v>
      </c>
      <c r="E21" s="836" t="s">
        <v>1703</v>
      </c>
      <c r="F21" s="836" t="s">
        <v>1704</v>
      </c>
      <c r="G21" s="856"/>
      <c r="H21" s="857" t="s">
        <v>1773</v>
      </c>
      <c r="I21" s="856" t="s">
        <v>1774</v>
      </c>
      <c r="J21" s="857" t="s">
        <v>1773</v>
      </c>
    </row>
    <row r="22" spans="1:10" ht="90">
      <c r="A22" s="839">
        <v>13</v>
      </c>
      <c r="B22" s="840" t="s">
        <v>1681</v>
      </c>
      <c r="C22" s="839">
        <v>19</v>
      </c>
      <c r="D22" s="851">
        <f>D8*1.043</f>
        <v>10288812.5319</v>
      </c>
      <c r="E22" s="839" t="s">
        <v>1717</v>
      </c>
      <c r="F22" s="852">
        <f>C22*D22*5.44</f>
        <v>1063451663.297184</v>
      </c>
      <c r="G22" s="856"/>
      <c r="H22" s="857">
        <v>10288812.529999999</v>
      </c>
      <c r="I22" s="857">
        <f>H22-D22</f>
        <v>-1.9000004976987839E-3</v>
      </c>
      <c r="J22" s="857">
        <v>1063451663.3</v>
      </c>
    </row>
    <row r="23" spans="1:10" ht="15" customHeight="1">
      <c r="A23" s="839">
        <v>14</v>
      </c>
      <c r="B23" s="840" t="s">
        <v>1682</v>
      </c>
      <c r="C23" s="839">
        <v>12</v>
      </c>
      <c r="D23" s="851">
        <f t="shared" ref="D23" si="3">D9*1.043</f>
        <v>3071305.0688529997</v>
      </c>
      <c r="E23" s="839" t="s">
        <v>1717</v>
      </c>
      <c r="F23" s="852">
        <f t="shared" ref="F23:F24" si="4">C23*D23*5.44</f>
        <v>200494794.89472383</v>
      </c>
      <c r="G23" s="856"/>
      <c r="H23" s="857">
        <v>3071305.07</v>
      </c>
      <c r="I23" s="857">
        <f t="shared" ref="I23:I24" si="5">H23-D23</f>
        <v>1.1470001190900803E-3</v>
      </c>
      <c r="J23" s="857">
        <v>200494794.88999999</v>
      </c>
    </row>
    <row r="24" spans="1:10" ht="99">
      <c r="A24" s="839">
        <v>15</v>
      </c>
      <c r="B24" s="840" t="s">
        <v>1683</v>
      </c>
      <c r="C24" s="839">
        <v>6</v>
      </c>
      <c r="D24" s="851">
        <v>3015467.6420999998</v>
      </c>
      <c r="E24" s="839" t="s">
        <v>1717</v>
      </c>
      <c r="F24" s="852">
        <f t="shared" si="4"/>
        <v>98424863.838144004</v>
      </c>
      <c r="G24" s="856"/>
      <c r="H24" s="857">
        <v>3015467.6439999999</v>
      </c>
      <c r="I24" s="857">
        <f t="shared" si="5"/>
        <v>1.9000000320374966E-3</v>
      </c>
      <c r="J24" s="857">
        <v>98424863.840000004</v>
      </c>
    </row>
    <row r="25" spans="1:10" ht="27" customHeight="1">
      <c r="A25" s="848">
        <v>16</v>
      </c>
      <c r="B25" s="1382" t="s">
        <v>1705</v>
      </c>
      <c r="C25" s="1382"/>
      <c r="D25" s="1382"/>
      <c r="E25" s="1382"/>
      <c r="F25" s="849">
        <f>SUM(F22:F24)</f>
        <v>1362371322.0300519</v>
      </c>
      <c r="G25" t="str">
        <f>+IF(F25&lt;1451966056,"cumple","no cumple")</f>
        <v>cumple</v>
      </c>
      <c r="H25" s="857"/>
      <c r="I25" s="857"/>
      <c r="J25" s="857"/>
    </row>
    <row r="26" spans="1:10">
      <c r="A26" s="853"/>
      <c r="B26" s="853"/>
      <c r="C26" s="853"/>
      <c r="D26" s="853"/>
      <c r="E26" s="853"/>
      <c r="F26" s="853"/>
      <c r="G26" s="856"/>
      <c r="H26" s="857"/>
      <c r="I26" s="857"/>
      <c r="J26" s="857"/>
    </row>
    <row r="27" spans="1:10" ht="27">
      <c r="A27" s="1380">
        <v>17</v>
      </c>
      <c r="B27" s="1381" t="s">
        <v>1756</v>
      </c>
      <c r="C27" s="1381" t="s">
        <v>1770</v>
      </c>
      <c r="D27" s="836" t="s">
        <v>1767</v>
      </c>
      <c r="E27" s="1381" t="s">
        <v>1708</v>
      </c>
      <c r="F27" s="853"/>
      <c r="G27" s="856"/>
      <c r="H27" s="857"/>
      <c r="I27" s="857"/>
      <c r="J27" s="857"/>
    </row>
    <row r="28" spans="1:10" ht="18">
      <c r="A28" s="1380"/>
      <c r="B28" s="1381"/>
      <c r="C28" s="1381"/>
      <c r="D28" s="836" t="s">
        <v>1769</v>
      </c>
      <c r="E28" s="1381"/>
      <c r="F28" s="853"/>
      <c r="G28" s="856"/>
      <c r="H28" s="857"/>
      <c r="I28" s="857"/>
      <c r="J28" s="857"/>
    </row>
    <row r="29" spans="1:10" ht="15" customHeight="1">
      <c r="A29" s="845">
        <v>18</v>
      </c>
      <c r="B29" s="836" t="s">
        <v>1709</v>
      </c>
      <c r="C29" s="836" t="s">
        <v>1710</v>
      </c>
      <c r="D29" s="836" t="s">
        <v>1711</v>
      </c>
      <c r="E29" s="836" t="s">
        <v>1712</v>
      </c>
      <c r="F29" s="853"/>
      <c r="G29" s="856"/>
      <c r="H29" s="857" t="s">
        <v>1773</v>
      </c>
      <c r="I29" s="856" t="s">
        <v>1774</v>
      </c>
      <c r="J29" s="857" t="s">
        <v>1773</v>
      </c>
    </row>
    <row r="30" spans="1:10" ht="15" customHeight="1">
      <c r="A30" s="839">
        <v>19</v>
      </c>
      <c r="B30" s="839" t="s">
        <v>1761</v>
      </c>
      <c r="C30" s="852">
        <f>C15</f>
        <v>13229077.649799999</v>
      </c>
      <c r="D30" s="839" t="s">
        <v>1717</v>
      </c>
      <c r="E30" s="852">
        <f>+C30*5.44</f>
        <v>71966182.414912</v>
      </c>
      <c r="F30" t="str">
        <f>+IF(GESTEP(E30,39984000),"cumple","no cumple")</f>
        <v>cumple</v>
      </c>
      <c r="G30" s="856"/>
      <c r="H30" s="857">
        <v>16469620.33</v>
      </c>
      <c r="I30" s="859">
        <f>H30-C30</f>
        <v>3240542.6802000012</v>
      </c>
      <c r="J30" s="857">
        <v>89594734.609999999</v>
      </c>
    </row>
    <row r="31" spans="1:10" ht="15" customHeight="1">
      <c r="A31" s="848">
        <v>20</v>
      </c>
      <c r="B31" s="1382" t="s">
        <v>1714</v>
      </c>
      <c r="C31" s="1382"/>
      <c r="D31" s="1382"/>
      <c r="E31" s="854">
        <f>E30</f>
        <v>71966182.414912</v>
      </c>
      <c r="F31" s="853"/>
      <c r="G31" s="856"/>
      <c r="H31" s="857"/>
      <c r="I31" s="856"/>
      <c r="J31" s="856"/>
    </row>
    <row r="32" spans="1:10">
      <c r="A32" s="848">
        <v>21</v>
      </c>
      <c r="B32" s="1383" t="s">
        <v>1715</v>
      </c>
      <c r="C32" s="1384"/>
      <c r="D32" s="1385"/>
      <c r="E32" s="855">
        <f>F25+E31</f>
        <v>1434337504.4449639</v>
      </c>
      <c r="F32" s="853"/>
      <c r="G32" s="856"/>
      <c r="H32" s="857"/>
      <c r="I32" s="856"/>
      <c r="J32" s="856"/>
    </row>
    <row r="33" spans="1:10">
      <c r="A33" s="1370">
        <v>22</v>
      </c>
      <c r="B33" s="1372" t="s">
        <v>1716</v>
      </c>
      <c r="C33" s="1373"/>
      <c r="D33" s="1374"/>
      <c r="E33" s="1378">
        <f>ROUND(F17+E32,0)</f>
        <v>1687677708</v>
      </c>
      <c r="F33" s="853"/>
      <c r="G33" s="856"/>
      <c r="H33" s="860" t="s">
        <v>1775</v>
      </c>
      <c r="I33" s="856"/>
      <c r="J33" s="856"/>
    </row>
    <row r="34" spans="1:10">
      <c r="A34" s="1371"/>
      <c r="B34" s="1375"/>
      <c r="C34" s="1376"/>
      <c r="D34" s="1377"/>
      <c r="E34" s="1379"/>
      <c r="F34" s="853"/>
      <c r="G34" s="861" t="s">
        <v>1776</v>
      </c>
      <c r="H34" s="862">
        <v>1708546803</v>
      </c>
      <c r="I34" s="857"/>
      <c r="J34" s="859">
        <f>J8+J9+J10+J15+J22+J23+J24+J30</f>
        <v>1708546803.3199997</v>
      </c>
    </row>
    <row r="35" spans="1:10">
      <c r="E35" s="804">
        <f>+E33</f>
        <v>1687677708</v>
      </c>
    </row>
  </sheetData>
  <mergeCells count="33">
    <mergeCell ref="A1:F1"/>
    <mergeCell ref="A12:A13"/>
    <mergeCell ref="B12:B13"/>
    <mergeCell ref="C12:D13"/>
    <mergeCell ref="F12:F13"/>
    <mergeCell ref="A3:F3"/>
    <mergeCell ref="A4:F4"/>
    <mergeCell ref="A5:A6"/>
    <mergeCell ref="B5:B6"/>
    <mergeCell ref="C5:C6"/>
    <mergeCell ref="B25:E25"/>
    <mergeCell ref="D5:D6"/>
    <mergeCell ref="F5:F6"/>
    <mergeCell ref="H6:J6"/>
    <mergeCell ref="B11:E11"/>
    <mergeCell ref="C14:D14"/>
    <mergeCell ref="C15:D15"/>
    <mergeCell ref="B16:E16"/>
    <mergeCell ref="B17:E17"/>
    <mergeCell ref="A18:F18"/>
    <mergeCell ref="A19:A20"/>
    <mergeCell ref="B19:B20"/>
    <mergeCell ref="C19:C20"/>
    <mergeCell ref="F19:F20"/>
    <mergeCell ref="A33:A34"/>
    <mergeCell ref="B33:D34"/>
    <mergeCell ref="E33:E34"/>
    <mergeCell ref="A27:A28"/>
    <mergeCell ref="B27:B28"/>
    <mergeCell ref="C27:C28"/>
    <mergeCell ref="E27:E28"/>
    <mergeCell ref="B31:D31"/>
    <mergeCell ref="B32:D32"/>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CB267-A126-485E-B333-947F67CF67FF}">
  <dimension ref="A1:G25"/>
  <sheetViews>
    <sheetView topLeftCell="A17" workbookViewId="0">
      <selection activeCell="A22" sqref="A22"/>
    </sheetView>
  </sheetViews>
  <sheetFormatPr baseColWidth="10" defaultRowHeight="15"/>
  <cols>
    <col min="6" max="6" width="15.5703125" bestFit="1" customWidth="1"/>
  </cols>
  <sheetData>
    <row r="1" spans="1:7" ht="15.75" thickBot="1">
      <c r="A1" s="1299" t="s">
        <v>1669</v>
      </c>
      <c r="B1" s="1300"/>
      <c r="C1" s="1300"/>
      <c r="D1" s="1300"/>
      <c r="E1" s="1300"/>
      <c r="F1" s="1301"/>
    </row>
    <row r="2" spans="1:7" ht="54.75" thickBot="1">
      <c r="A2" s="722" t="s">
        <v>1670</v>
      </c>
      <c r="B2" s="723" t="s">
        <v>1671</v>
      </c>
      <c r="C2" s="723" t="s">
        <v>1672</v>
      </c>
      <c r="D2" s="723" t="s">
        <v>1673</v>
      </c>
      <c r="E2" s="723" t="s">
        <v>1674</v>
      </c>
      <c r="F2" s="723" t="s">
        <v>1675</v>
      </c>
    </row>
    <row r="3" spans="1:7" ht="18.75" thickBot="1">
      <c r="A3" s="724">
        <v>1</v>
      </c>
      <c r="B3" s="723" t="s">
        <v>1676</v>
      </c>
      <c r="C3" s="723" t="s">
        <v>1677</v>
      </c>
      <c r="D3" s="723" t="s">
        <v>1678</v>
      </c>
      <c r="E3" s="723" t="s">
        <v>1679</v>
      </c>
      <c r="F3" s="723" t="s">
        <v>1680</v>
      </c>
    </row>
    <row r="4" spans="1:7" ht="90.75" thickBot="1">
      <c r="A4" s="725">
        <v>2</v>
      </c>
      <c r="B4" s="726" t="s">
        <v>1681</v>
      </c>
      <c r="C4" s="727">
        <v>19</v>
      </c>
      <c r="D4" s="806">
        <v>9866060</v>
      </c>
      <c r="E4" s="727">
        <v>1</v>
      </c>
      <c r="F4" s="806">
        <f>+E4*D4*C4</f>
        <v>187455140</v>
      </c>
    </row>
    <row r="5" spans="1:7" ht="99.75" thickBot="1">
      <c r="A5" s="725">
        <v>3</v>
      </c>
      <c r="B5" s="726" t="s">
        <v>1682</v>
      </c>
      <c r="C5" s="727">
        <v>12</v>
      </c>
      <c r="D5" s="806">
        <v>2945516</v>
      </c>
      <c r="E5" s="727">
        <v>1</v>
      </c>
      <c r="F5" s="806">
        <f t="shared" ref="F5:F6" si="0">+E5*D5*C5</f>
        <v>35346192</v>
      </c>
    </row>
    <row r="6" spans="1:7" ht="99.75" thickBot="1">
      <c r="A6" s="725">
        <v>4</v>
      </c>
      <c r="B6" s="726" t="s">
        <v>1683</v>
      </c>
      <c r="C6" s="727">
        <v>6</v>
      </c>
      <c r="D6" s="806">
        <v>2891980</v>
      </c>
      <c r="E6" s="727">
        <v>1</v>
      </c>
      <c r="F6" s="806">
        <f t="shared" si="0"/>
        <v>17351880</v>
      </c>
    </row>
    <row r="7" spans="1:7" ht="15.75" thickBot="1">
      <c r="A7" s="729">
        <v>5</v>
      </c>
      <c r="B7" s="1293" t="s">
        <v>1684</v>
      </c>
      <c r="C7" s="1294"/>
      <c r="D7" s="1294"/>
      <c r="E7" s="1295"/>
      <c r="F7" s="810">
        <f>+SUM(F4:F6)</f>
        <v>240153212</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66">
        <v>11404082</v>
      </c>
      <c r="D10" s="1367"/>
      <c r="E10" s="727">
        <v>1</v>
      </c>
      <c r="F10" s="812">
        <f>+E10*C10</f>
        <v>11404082</v>
      </c>
      <c r="G10" t="str">
        <f>+IF(GESTEP(F10,7350000),"cumple","no cumple")</f>
        <v>cumple</v>
      </c>
    </row>
    <row r="11" spans="1:7" ht="15.75" thickBot="1">
      <c r="A11" s="729">
        <v>9</v>
      </c>
      <c r="B11" s="1293" t="s">
        <v>1694</v>
      </c>
      <c r="C11" s="1294"/>
      <c r="D11" s="1294"/>
      <c r="E11" s="1295"/>
      <c r="F11" s="813">
        <f>+F10</f>
        <v>11404082</v>
      </c>
    </row>
    <row r="12" spans="1:7" ht="15.75" thickBot="1">
      <c r="A12" s="729">
        <v>10</v>
      </c>
      <c r="B12" s="1293" t="s">
        <v>1695</v>
      </c>
      <c r="C12" s="1294"/>
      <c r="D12" s="1294"/>
      <c r="E12" s="1295"/>
      <c r="F12" s="814">
        <f>+F11+F7</f>
        <v>251557294</v>
      </c>
      <c r="G12" t="str">
        <f>+IF(F12&lt;256580747,"cumple","no cumple")</f>
        <v>cumple</v>
      </c>
    </row>
    <row r="13" spans="1:7" ht="15.75" thickBot="1">
      <c r="A13" s="1299" t="s">
        <v>1696</v>
      </c>
      <c r="B13" s="1300"/>
      <c r="C13" s="1300"/>
      <c r="D13" s="1300"/>
      <c r="E13" s="1300"/>
      <c r="F13" s="1301"/>
    </row>
    <row r="14" spans="1:7" ht="99.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06">
        <f>+D4*1.043</f>
        <v>10290300.58</v>
      </c>
      <c r="E16" s="727">
        <v>5.44</v>
      </c>
      <c r="F16" s="812">
        <f>+E16*D16*C16</f>
        <v>1063605467.9488001</v>
      </c>
    </row>
    <row r="17" spans="1:7" ht="99.75" thickBot="1">
      <c r="A17" s="725">
        <v>14</v>
      </c>
      <c r="B17" s="726" t="s">
        <v>1682</v>
      </c>
      <c r="C17" s="727">
        <v>12</v>
      </c>
      <c r="D17" s="806">
        <f t="shared" ref="D17:D18" si="1">+D5*1.043</f>
        <v>3072173.1879999996</v>
      </c>
      <c r="E17" s="727">
        <v>5.44</v>
      </c>
      <c r="F17" s="812">
        <f t="shared" ref="F17:F18" si="2">+E17*D17*C17</f>
        <v>200551465.71263999</v>
      </c>
    </row>
    <row r="18" spans="1:7" ht="99.75" thickBot="1">
      <c r="A18" s="725">
        <v>15</v>
      </c>
      <c r="B18" s="726" t="s">
        <v>1683</v>
      </c>
      <c r="C18" s="727">
        <v>6</v>
      </c>
      <c r="D18" s="806">
        <f t="shared" si="1"/>
        <v>3016335.1399999997</v>
      </c>
      <c r="E18" s="727">
        <v>5.44</v>
      </c>
      <c r="F18" s="812">
        <f t="shared" si="2"/>
        <v>98453178.969599992</v>
      </c>
    </row>
    <row r="19" spans="1:7" ht="15.75" thickBot="1">
      <c r="A19" s="729">
        <v>16</v>
      </c>
      <c r="B19" s="1293" t="s">
        <v>1705</v>
      </c>
      <c r="C19" s="1294"/>
      <c r="D19" s="1294"/>
      <c r="E19" s="1295"/>
      <c r="F19" s="813">
        <f>SUM(F16:F18)</f>
        <v>1362610112.6310401</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68">
        <f>+C10</f>
        <v>11404082</v>
      </c>
      <c r="D22" s="1369"/>
      <c r="E22" s="727">
        <v>5.44</v>
      </c>
      <c r="F22" s="812">
        <f>+E22*C22</f>
        <v>62038206.080000006</v>
      </c>
      <c r="G22" t="str">
        <f>+IF(GESTEP(F22,39984000),"cumple","no cumple")</f>
        <v>cumple</v>
      </c>
    </row>
    <row r="23" spans="1:7" ht="15.75" thickBot="1">
      <c r="A23" s="729">
        <v>20</v>
      </c>
      <c r="B23" s="1293" t="s">
        <v>1714</v>
      </c>
      <c r="C23" s="1294"/>
      <c r="D23" s="1294"/>
      <c r="E23" s="1295"/>
      <c r="F23" s="814">
        <f>+F22</f>
        <v>62038206.080000006</v>
      </c>
    </row>
    <row r="24" spans="1:7" ht="15.75" thickBot="1">
      <c r="A24" s="729">
        <v>21</v>
      </c>
      <c r="B24" s="1293" t="s">
        <v>1715</v>
      </c>
      <c r="C24" s="1294"/>
      <c r="D24" s="1294"/>
      <c r="E24" s="1295"/>
      <c r="F24" s="814">
        <f>+F23+F19</f>
        <v>1424648318.71104</v>
      </c>
      <c r="G24" t="str">
        <f>+IF(F24&lt;1451966056,"cumple","no cumple")</f>
        <v>cumple</v>
      </c>
    </row>
    <row r="25" spans="1:7" ht="16.5" thickBot="1">
      <c r="A25" s="729">
        <v>22</v>
      </c>
      <c r="B25" s="1296" t="s">
        <v>1716</v>
      </c>
      <c r="C25" s="1297"/>
      <c r="D25" s="1297"/>
      <c r="E25" s="1298"/>
      <c r="F25" s="815">
        <f>+F24+F12</f>
        <v>1676205612.71104</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11EC7-9917-4ABA-9D7C-5C4FDDDC41E1}">
  <dimension ref="A1:I25"/>
  <sheetViews>
    <sheetView topLeftCell="A22" workbookViewId="0">
      <selection activeCell="F22" sqref="F22"/>
    </sheetView>
  </sheetViews>
  <sheetFormatPr baseColWidth="10" defaultRowHeight="15"/>
  <cols>
    <col min="6" max="6" width="16.85546875" customWidth="1"/>
  </cols>
  <sheetData>
    <row r="1" spans="1:9" ht="15.75" thickBot="1">
      <c r="A1" s="1299" t="s">
        <v>1669</v>
      </c>
      <c r="B1" s="1300"/>
      <c r="C1" s="1300"/>
      <c r="D1" s="1300"/>
      <c r="E1" s="1300"/>
      <c r="F1" s="1301"/>
    </row>
    <row r="2" spans="1:9" ht="54.75" thickBot="1">
      <c r="A2" s="722" t="s">
        <v>1670</v>
      </c>
      <c r="B2" s="723" t="s">
        <v>1671</v>
      </c>
      <c r="C2" s="723" t="s">
        <v>1672</v>
      </c>
      <c r="D2" s="723" t="s">
        <v>1673</v>
      </c>
      <c r="E2" s="723" t="s">
        <v>1674</v>
      </c>
      <c r="F2" s="863" t="s">
        <v>1675</v>
      </c>
    </row>
    <row r="3" spans="1:9" ht="18.75" thickBot="1">
      <c r="A3" s="724">
        <v>1</v>
      </c>
      <c r="B3" s="723" t="s">
        <v>1676</v>
      </c>
      <c r="C3" s="723" t="s">
        <v>1677</v>
      </c>
      <c r="D3" s="723" t="s">
        <v>1678</v>
      </c>
      <c r="E3" s="723" t="s">
        <v>1679</v>
      </c>
      <c r="F3" s="863" t="s">
        <v>1680</v>
      </c>
    </row>
    <row r="4" spans="1:9" ht="90.75" thickBot="1">
      <c r="A4" s="725">
        <v>2</v>
      </c>
      <c r="B4" s="726" t="s">
        <v>1681</v>
      </c>
      <c r="C4" s="727">
        <v>19</v>
      </c>
      <c r="D4" s="864">
        <v>9864633</v>
      </c>
      <c r="E4" s="727">
        <v>1</v>
      </c>
      <c r="F4" s="864">
        <f>C4*D4*E4</f>
        <v>187428027</v>
      </c>
    </row>
    <row r="5" spans="1:9" ht="99.75" thickBot="1">
      <c r="A5" s="725">
        <v>3</v>
      </c>
      <c r="B5" s="726" t="s">
        <v>1682</v>
      </c>
      <c r="C5" s="727">
        <v>12</v>
      </c>
      <c r="D5" s="864">
        <v>2944683</v>
      </c>
      <c r="E5" s="727">
        <v>1</v>
      </c>
      <c r="F5" s="864">
        <f>C5*D5*E5</f>
        <v>35336196</v>
      </c>
    </row>
    <row r="6" spans="1:9" ht="99.75" thickBot="1">
      <c r="A6" s="725">
        <v>4</v>
      </c>
      <c r="B6" s="726" t="s">
        <v>1683</v>
      </c>
      <c r="C6" s="727">
        <v>6</v>
      </c>
      <c r="D6" s="864">
        <v>2891147</v>
      </c>
      <c r="E6" s="727">
        <v>1</v>
      </c>
      <c r="F6" s="864">
        <f>C6*D6*E6</f>
        <v>17346882</v>
      </c>
    </row>
    <row r="7" spans="1:9" ht="15.75" thickBot="1">
      <c r="A7" s="729">
        <v>5</v>
      </c>
      <c r="B7" s="1293" t="s">
        <v>1684</v>
      </c>
      <c r="C7" s="1294"/>
      <c r="D7" s="1294"/>
      <c r="E7" s="1295"/>
      <c r="F7" s="865">
        <f>SUM(F4:F6)</f>
        <v>240111105</v>
      </c>
      <c r="G7" t="str">
        <f>+IF(GESTEP(F7,240102770),"cumple","no cumple")</f>
        <v>cumple</v>
      </c>
    </row>
    <row r="8" spans="1:9" ht="45.75" thickBot="1">
      <c r="A8" s="724">
        <v>6</v>
      </c>
      <c r="B8" s="723" t="s">
        <v>1685</v>
      </c>
      <c r="C8" s="1299" t="s">
        <v>1686</v>
      </c>
      <c r="D8" s="1301"/>
      <c r="E8" s="723" t="s">
        <v>1687</v>
      </c>
      <c r="F8" s="863" t="s">
        <v>1688</v>
      </c>
    </row>
    <row r="9" spans="1:9" ht="15.75" thickBot="1">
      <c r="A9" s="724">
        <v>7</v>
      </c>
      <c r="B9" s="723" t="s">
        <v>1689</v>
      </c>
      <c r="C9" s="1299" t="s">
        <v>1690</v>
      </c>
      <c r="D9" s="1301"/>
      <c r="E9" s="723" t="s">
        <v>1691</v>
      </c>
      <c r="F9" s="863" t="s">
        <v>1692</v>
      </c>
    </row>
    <row r="10" spans="1:9" ht="45.75" thickBot="1">
      <c r="A10" s="725">
        <v>8</v>
      </c>
      <c r="B10" s="726" t="s">
        <v>1693</v>
      </c>
      <c r="C10" s="1407">
        <v>7555438.3300000001</v>
      </c>
      <c r="D10" s="1408"/>
      <c r="E10" s="727">
        <v>1</v>
      </c>
      <c r="F10" s="866">
        <f>C10*E10</f>
        <v>7555438.3300000001</v>
      </c>
      <c r="G10" t="str">
        <f>+IF(GESTEP(F10,7350000),"cumple","no cumple")</f>
        <v>cumple</v>
      </c>
      <c r="I10">
        <v>47734</v>
      </c>
    </row>
    <row r="11" spans="1:9" ht="15.75" thickBot="1">
      <c r="A11" s="729">
        <v>9</v>
      </c>
      <c r="B11" s="1293" t="s">
        <v>1694</v>
      </c>
      <c r="C11" s="1294"/>
      <c r="D11" s="1294"/>
      <c r="E11" s="1295"/>
      <c r="F11" s="865">
        <f>F10</f>
        <v>7555438.3300000001</v>
      </c>
    </row>
    <row r="12" spans="1:9" ht="15.75" thickBot="1">
      <c r="A12" s="729">
        <v>10</v>
      </c>
      <c r="B12" s="1293" t="s">
        <v>1695</v>
      </c>
      <c r="C12" s="1294"/>
      <c r="D12" s="1294"/>
      <c r="E12" s="1295"/>
      <c r="F12" s="865">
        <f>SUM(F7,F11)</f>
        <v>247666543.33000001</v>
      </c>
      <c r="G12" t="str">
        <f>+IF(F12&lt;256580747,"cumple","no cumple")</f>
        <v>cumple</v>
      </c>
    </row>
    <row r="13" spans="1:9" ht="15.75" thickBot="1">
      <c r="A13" s="1299" t="s">
        <v>1696</v>
      </c>
      <c r="B13" s="1300"/>
      <c r="C13" s="1300"/>
      <c r="D13" s="1300"/>
      <c r="E13" s="1300"/>
      <c r="F13" s="1301"/>
    </row>
    <row r="14" spans="1:9" ht="99.75" thickBot="1">
      <c r="A14" s="724">
        <v>11</v>
      </c>
      <c r="B14" s="723" t="s">
        <v>1671</v>
      </c>
      <c r="C14" s="723" t="s">
        <v>1672</v>
      </c>
      <c r="D14" s="723" t="s">
        <v>1697</v>
      </c>
      <c r="E14" s="723" t="s">
        <v>1698</v>
      </c>
      <c r="F14" s="863" t="s">
        <v>1699</v>
      </c>
    </row>
    <row r="15" spans="1:9" ht="18.75" thickBot="1">
      <c r="A15" s="724">
        <v>12</v>
      </c>
      <c r="B15" s="723" t="s">
        <v>1700</v>
      </c>
      <c r="C15" s="723" t="s">
        <v>1701</v>
      </c>
      <c r="D15" s="723" t="s">
        <v>1702</v>
      </c>
      <c r="E15" s="723" t="s">
        <v>1703</v>
      </c>
      <c r="F15" s="863" t="s">
        <v>1704</v>
      </c>
    </row>
    <row r="16" spans="1:9" ht="90.75" thickBot="1">
      <c r="A16" s="725">
        <v>13</v>
      </c>
      <c r="B16" s="726" t="s">
        <v>1681</v>
      </c>
      <c r="C16" s="727">
        <v>19</v>
      </c>
      <c r="D16" s="867">
        <v>10288812.219000001</v>
      </c>
      <c r="E16" s="727">
        <v>5.44</v>
      </c>
      <c r="F16" s="867">
        <f>+C16*D16*E16</f>
        <v>1063451630.9558401</v>
      </c>
    </row>
    <row r="17" spans="1:8" ht="99.75" thickBot="1">
      <c r="A17" s="725">
        <v>14</v>
      </c>
      <c r="B17" s="726" t="s">
        <v>1682</v>
      </c>
      <c r="C17" s="727">
        <v>12</v>
      </c>
      <c r="D17" s="867">
        <v>3071304.3689999999</v>
      </c>
      <c r="E17" s="727">
        <v>5.44</v>
      </c>
      <c r="F17" s="867">
        <f t="shared" ref="F17:F18" si="0">+C17*D17*E17</f>
        <v>200494749.20832002</v>
      </c>
    </row>
    <row r="18" spans="1:8" ht="99.75" thickBot="1">
      <c r="A18" s="725">
        <v>15</v>
      </c>
      <c r="B18" s="726" t="s">
        <v>1683</v>
      </c>
      <c r="C18" s="727">
        <v>6</v>
      </c>
      <c r="D18" s="867">
        <v>3015466.321</v>
      </c>
      <c r="E18" s="727">
        <v>5.44</v>
      </c>
      <c r="F18" s="867">
        <f t="shared" si="0"/>
        <v>98424820.717440009</v>
      </c>
    </row>
    <row r="19" spans="1:8" ht="15.75" thickBot="1">
      <c r="A19" s="729">
        <v>16</v>
      </c>
      <c r="B19" s="1293" t="s">
        <v>1705</v>
      </c>
      <c r="C19" s="1294"/>
      <c r="D19" s="1294"/>
      <c r="E19" s="1295"/>
      <c r="F19" s="865">
        <f>SUM(F16:F18)</f>
        <v>1362371200.8816004</v>
      </c>
      <c r="G19" t="str">
        <f>+IF(F19&lt;1451966056,"cumple","no cumple")</f>
        <v>cumple</v>
      </c>
    </row>
    <row r="20" spans="1:8" ht="45.75" thickBot="1">
      <c r="A20" s="724">
        <v>17</v>
      </c>
      <c r="B20" s="723" t="s">
        <v>1706</v>
      </c>
      <c r="C20" s="1299" t="s">
        <v>1707</v>
      </c>
      <c r="D20" s="1301"/>
      <c r="E20" s="723" t="s">
        <v>1698</v>
      </c>
      <c r="F20" s="863" t="s">
        <v>1708</v>
      </c>
    </row>
    <row r="21" spans="1:8" ht="15.75" thickBot="1">
      <c r="A21" s="724">
        <v>18</v>
      </c>
      <c r="B21" s="723" t="s">
        <v>1709</v>
      </c>
      <c r="C21" s="1299" t="s">
        <v>1710</v>
      </c>
      <c r="D21" s="1301"/>
      <c r="E21" s="723" t="s">
        <v>1711</v>
      </c>
      <c r="F21" s="863" t="s">
        <v>1712</v>
      </c>
    </row>
    <row r="22" spans="1:8" ht="36.75" thickBot="1">
      <c r="A22" s="725">
        <v>19</v>
      </c>
      <c r="B22" s="726" t="s">
        <v>1713</v>
      </c>
      <c r="C22" s="1405">
        <f>+C10</f>
        <v>7555438.3300000001</v>
      </c>
      <c r="D22" s="1406"/>
      <c r="E22" s="727">
        <v>5.44</v>
      </c>
      <c r="F22" s="868">
        <f>+C22*E22</f>
        <v>41101584.515200004</v>
      </c>
      <c r="G22" t="str">
        <f>+IF(GESTEP(F22,39984000),"cumple","no cumple")</f>
        <v>cumple</v>
      </c>
    </row>
    <row r="23" spans="1:8" ht="15.75" thickBot="1">
      <c r="A23" s="729">
        <v>20</v>
      </c>
      <c r="B23" s="1293" t="s">
        <v>1714</v>
      </c>
      <c r="C23" s="1294"/>
      <c r="D23" s="1294"/>
      <c r="E23" s="1295"/>
      <c r="F23" s="869">
        <f>+F22</f>
        <v>41101584.515200004</v>
      </c>
    </row>
    <row r="24" spans="1:8" ht="15.75" thickBot="1">
      <c r="A24" s="729">
        <v>21</v>
      </c>
      <c r="B24" s="1293" t="s">
        <v>1715</v>
      </c>
      <c r="C24" s="1294"/>
      <c r="D24" s="1294"/>
      <c r="E24" s="1295"/>
      <c r="F24" s="869">
        <f>SUM(F19,F23)</f>
        <v>1403472785.3968003</v>
      </c>
    </row>
    <row r="25" spans="1:8" ht="16.5" thickBot="1">
      <c r="A25" s="729">
        <v>22</v>
      </c>
      <c r="B25" s="1296" t="s">
        <v>1716</v>
      </c>
      <c r="C25" s="1297"/>
      <c r="D25" s="1297"/>
      <c r="E25" s="1298"/>
      <c r="F25" s="870">
        <f>+F12+F24</f>
        <v>1651139328.7268002</v>
      </c>
      <c r="H25" s="871"/>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205F8-D69B-4D75-88A0-CF8F49005EA2}">
  <dimension ref="A1:G25"/>
  <sheetViews>
    <sheetView topLeftCell="A22" workbookViewId="0">
      <selection activeCell="G7" sqref="G7"/>
    </sheetView>
  </sheetViews>
  <sheetFormatPr baseColWidth="10" defaultRowHeight="15"/>
  <cols>
    <col min="4" max="4" width="13.140625" bestFit="1" customWidth="1"/>
    <col min="6" max="6" width="17.140625" bestFit="1" customWidth="1"/>
  </cols>
  <sheetData>
    <row r="1" spans="1:7" ht="15.75" thickBot="1">
      <c r="A1" s="1299" t="s">
        <v>1669</v>
      </c>
      <c r="B1" s="1300"/>
      <c r="C1" s="1300"/>
      <c r="D1" s="1300"/>
      <c r="E1" s="1300"/>
      <c r="F1" s="1301"/>
    </row>
    <row r="2" spans="1:7" ht="45.75" thickBot="1">
      <c r="A2" s="722" t="s">
        <v>1670</v>
      </c>
      <c r="B2" s="723" t="s">
        <v>1671</v>
      </c>
      <c r="C2" s="723" t="s">
        <v>1672</v>
      </c>
      <c r="D2" s="723" t="s">
        <v>1673</v>
      </c>
      <c r="E2" s="723" t="s">
        <v>1674</v>
      </c>
      <c r="F2" s="723" t="s">
        <v>1675</v>
      </c>
    </row>
    <row r="3" spans="1:7" ht="18.75" thickBot="1">
      <c r="A3" s="724">
        <v>1</v>
      </c>
      <c r="B3" s="723" t="s">
        <v>1676</v>
      </c>
      <c r="C3" s="723" t="s">
        <v>1677</v>
      </c>
      <c r="D3" s="872" t="s">
        <v>1678</v>
      </c>
      <c r="E3" s="723" t="s">
        <v>1679</v>
      </c>
      <c r="F3" s="723" t="s">
        <v>1680</v>
      </c>
    </row>
    <row r="4" spans="1:7" ht="90.75" thickBot="1">
      <c r="A4" s="725">
        <v>2</v>
      </c>
      <c r="B4" s="726" t="s">
        <v>1681</v>
      </c>
      <c r="C4" s="727">
        <v>19</v>
      </c>
      <c r="D4" s="812">
        <v>187428032.5</v>
      </c>
      <c r="E4" s="727">
        <v>1</v>
      </c>
      <c r="F4" s="812">
        <f>+D4*E4</f>
        <v>187428032.5</v>
      </c>
    </row>
    <row r="5" spans="1:7" ht="99.75" thickBot="1">
      <c r="A5" s="725">
        <v>3</v>
      </c>
      <c r="B5" s="726" t="s">
        <v>1682</v>
      </c>
      <c r="C5" s="727">
        <v>12</v>
      </c>
      <c r="D5" s="812">
        <v>35336204.049999997</v>
      </c>
      <c r="E5" s="727">
        <v>1</v>
      </c>
      <c r="F5" s="812">
        <f>+E5*D5</f>
        <v>35336204.049999997</v>
      </c>
    </row>
    <row r="6" spans="1:7" ht="99.75" thickBot="1">
      <c r="A6" s="725">
        <v>4</v>
      </c>
      <c r="B6" s="726" t="s">
        <v>1683</v>
      </c>
      <c r="C6" s="727">
        <v>6</v>
      </c>
      <c r="D6" s="812">
        <v>17346889.5</v>
      </c>
      <c r="E6" s="727">
        <v>1</v>
      </c>
      <c r="F6" s="812">
        <f>+D6*E6</f>
        <v>17346889.5</v>
      </c>
    </row>
    <row r="7" spans="1:7" ht="15.75" thickBot="1">
      <c r="A7" s="729"/>
      <c r="B7" s="1293" t="s">
        <v>1684</v>
      </c>
      <c r="C7" s="1294"/>
      <c r="D7" s="1294"/>
      <c r="E7" s="1295"/>
      <c r="F7" s="733">
        <f>SUM(F4:F6)</f>
        <v>240111126.05000001</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66">
        <v>16469620.33</v>
      </c>
      <c r="D10" s="1367"/>
      <c r="E10" s="727">
        <v>1</v>
      </c>
      <c r="F10" s="812">
        <f>+C10*E10</f>
        <v>16469620.33</v>
      </c>
      <c r="G10" t="str">
        <f>+IF(GESTEP(F10,7350000),"cumple","no cumple")</f>
        <v>cumple</v>
      </c>
    </row>
    <row r="11" spans="1:7" ht="15.75" thickBot="1">
      <c r="A11" s="729">
        <v>9</v>
      </c>
      <c r="B11" s="1293" t="s">
        <v>1694</v>
      </c>
      <c r="C11" s="1294"/>
      <c r="D11" s="1294"/>
      <c r="E11" s="1295"/>
      <c r="F11" s="814">
        <f>+F10</f>
        <v>16469620.33</v>
      </c>
    </row>
    <row r="12" spans="1:7" ht="15.75" thickBot="1">
      <c r="A12" s="729">
        <v>10</v>
      </c>
      <c r="B12" s="1293" t="s">
        <v>1695</v>
      </c>
      <c r="C12" s="1294"/>
      <c r="D12" s="1294"/>
      <c r="E12" s="1295"/>
      <c r="F12" s="814">
        <f>+F11+F7</f>
        <v>256580746.38000003</v>
      </c>
      <c r="G12" t="str">
        <f>+IF(F12&lt;256580747,"cumple","no cumple")</f>
        <v>cumple</v>
      </c>
    </row>
    <row r="13" spans="1:7" ht="15.75" thickBot="1">
      <c r="A13" s="1299" t="s">
        <v>1696</v>
      </c>
      <c r="B13" s="1300"/>
      <c r="C13" s="1300"/>
      <c r="D13" s="1300"/>
      <c r="E13" s="1300"/>
      <c r="F13" s="1301"/>
    </row>
    <row r="14" spans="1:7" ht="90.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12">
        <f>10288812.53*C16</f>
        <v>195487438.06999999</v>
      </c>
      <c r="E16" s="727">
        <v>5.44</v>
      </c>
      <c r="F16" s="828">
        <f>+D16*E16</f>
        <v>1063451663.1008</v>
      </c>
    </row>
    <row r="17" spans="1:7" ht="99.75" thickBot="1">
      <c r="A17" s="725">
        <v>14</v>
      </c>
      <c r="B17" s="726" t="s">
        <v>1682</v>
      </c>
      <c r="C17" s="727">
        <v>12</v>
      </c>
      <c r="D17" s="828">
        <f>3071305.07*C17</f>
        <v>36855660.839999996</v>
      </c>
      <c r="E17" s="727">
        <v>5.44</v>
      </c>
      <c r="F17" s="828">
        <f>+D17*E17</f>
        <v>200494794.96959999</v>
      </c>
    </row>
    <row r="18" spans="1:7" ht="99.75" thickBot="1">
      <c r="A18" s="725">
        <v>15</v>
      </c>
      <c r="B18" s="726" t="s">
        <v>1683</v>
      </c>
      <c r="C18" s="727">
        <v>6</v>
      </c>
      <c r="D18" s="828">
        <f>3015467.64*C18</f>
        <v>18092805.84</v>
      </c>
      <c r="E18" s="727">
        <v>5.44</v>
      </c>
      <c r="F18" s="828">
        <f>ROUND(+D18*E18,0)</f>
        <v>98424864</v>
      </c>
    </row>
    <row r="19" spans="1:7" ht="15.75" thickBot="1">
      <c r="A19" s="729">
        <v>16</v>
      </c>
      <c r="B19" s="1293" t="s">
        <v>1705</v>
      </c>
      <c r="C19" s="1294"/>
      <c r="D19" s="1294"/>
      <c r="E19" s="1295"/>
      <c r="F19" s="733">
        <f>SUM(F16:F18)</f>
        <v>1362371322.0704</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68">
        <v>16469620.33</v>
      </c>
      <c r="D22" s="1369"/>
      <c r="E22" s="727">
        <v>5.44</v>
      </c>
      <c r="F22" s="812">
        <f>+C22*E22</f>
        <v>89594734.595200002</v>
      </c>
      <c r="G22" t="str">
        <f>+IF(GESTEP(F22,39984000),"cumple","no cumple")</f>
        <v>cumple</v>
      </c>
    </row>
    <row r="23" spans="1:7" ht="15.75" thickBot="1">
      <c r="A23" s="729">
        <v>20</v>
      </c>
      <c r="B23" s="1293" t="s">
        <v>1714</v>
      </c>
      <c r="C23" s="1294"/>
      <c r="D23" s="1294"/>
      <c r="E23" s="1295"/>
      <c r="F23" s="814">
        <f>+F22</f>
        <v>89594734.595200002</v>
      </c>
    </row>
    <row r="24" spans="1:7" ht="15.75" thickBot="1">
      <c r="A24" s="729">
        <v>21</v>
      </c>
      <c r="B24" s="1293" t="s">
        <v>1715</v>
      </c>
      <c r="C24" s="1294"/>
      <c r="D24" s="1294"/>
      <c r="E24" s="1295"/>
      <c r="F24" s="814">
        <f>+F19+F23</f>
        <v>1451966056.6656001</v>
      </c>
    </row>
    <row r="25" spans="1:7" ht="16.5" thickBot="1">
      <c r="A25" s="729">
        <v>22</v>
      </c>
      <c r="B25" s="1296" t="s">
        <v>1716</v>
      </c>
      <c r="C25" s="1297"/>
      <c r="D25" s="1297"/>
      <c r="E25" s="1298"/>
      <c r="F25" s="815">
        <f>+F24+F12</f>
        <v>1708546803.0456002</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771EE-459E-4E6C-9177-6122A72E0E4D}">
  <sheetPr>
    <tabColor rgb="FFFF0000"/>
  </sheetPr>
  <dimension ref="A1:G25"/>
  <sheetViews>
    <sheetView topLeftCell="A22" workbookViewId="0">
      <selection activeCell="H37" sqref="H37"/>
    </sheetView>
  </sheetViews>
  <sheetFormatPr baseColWidth="10" defaultRowHeight="15"/>
  <cols>
    <col min="4" max="4" width="13.140625" bestFit="1" customWidth="1"/>
    <col min="6" max="6" width="17.140625" bestFit="1" customWidth="1"/>
  </cols>
  <sheetData>
    <row r="1" spans="1:7" ht="15.75" thickBot="1">
      <c r="A1" s="1299" t="s">
        <v>1669</v>
      </c>
      <c r="B1" s="1300"/>
      <c r="C1" s="1300"/>
      <c r="D1" s="1300"/>
      <c r="E1" s="1300"/>
      <c r="F1" s="1301"/>
    </row>
    <row r="2" spans="1:7" ht="45.75" thickBot="1">
      <c r="A2" s="722" t="s">
        <v>1670</v>
      </c>
      <c r="B2" s="723" t="s">
        <v>1671</v>
      </c>
      <c r="C2" s="723" t="s">
        <v>1672</v>
      </c>
      <c r="D2" s="723" t="s">
        <v>1673</v>
      </c>
      <c r="E2" s="723" t="s">
        <v>1674</v>
      </c>
      <c r="F2" s="723" t="s">
        <v>1675</v>
      </c>
    </row>
    <row r="3" spans="1:7" ht="18.75" thickBot="1">
      <c r="A3" s="724">
        <v>1</v>
      </c>
      <c r="B3" s="723" t="s">
        <v>1676</v>
      </c>
      <c r="C3" s="723" t="s">
        <v>1677</v>
      </c>
      <c r="D3" s="872" t="s">
        <v>1678</v>
      </c>
      <c r="E3" s="723" t="s">
        <v>1679</v>
      </c>
      <c r="F3" s="723" t="s">
        <v>1680</v>
      </c>
    </row>
    <row r="4" spans="1:7" ht="90.75" thickBot="1">
      <c r="A4" s="725">
        <v>2</v>
      </c>
      <c r="B4" s="726" t="s">
        <v>1681</v>
      </c>
      <c r="C4" s="727">
        <v>19</v>
      </c>
      <c r="D4" s="812">
        <v>9864633</v>
      </c>
      <c r="E4" s="727">
        <v>1</v>
      </c>
      <c r="F4" s="812">
        <f>+D4*E4</f>
        <v>9864633</v>
      </c>
    </row>
    <row r="5" spans="1:7" ht="99.75" thickBot="1">
      <c r="A5" s="725">
        <v>3</v>
      </c>
      <c r="B5" s="726" t="s">
        <v>1682</v>
      </c>
      <c r="C5" s="727">
        <v>12</v>
      </c>
      <c r="D5" s="812">
        <v>2944683</v>
      </c>
      <c r="E5" s="727">
        <v>1</v>
      </c>
      <c r="F5" s="812">
        <f>+E5*D5</f>
        <v>2944683</v>
      </c>
    </row>
    <row r="6" spans="1:7" ht="99.75" thickBot="1">
      <c r="A6" s="725">
        <v>4</v>
      </c>
      <c r="B6" s="726" t="s">
        <v>1683</v>
      </c>
      <c r="C6" s="727">
        <v>6</v>
      </c>
      <c r="D6" s="812">
        <v>2891148</v>
      </c>
      <c r="E6" s="727">
        <v>1</v>
      </c>
      <c r="F6" s="812">
        <f>+D6*E6</f>
        <v>2891148</v>
      </c>
    </row>
    <row r="7" spans="1:7" ht="15.75" thickBot="1">
      <c r="A7" s="729"/>
      <c r="B7" s="1293" t="s">
        <v>1684</v>
      </c>
      <c r="C7" s="1294"/>
      <c r="D7" s="1294"/>
      <c r="E7" s="1295"/>
      <c r="F7" s="733">
        <f>SUM(F4:F6)</f>
        <v>15700464</v>
      </c>
      <c r="G7" t="str">
        <f>+IF(GESTEP(F7,240102770),"cumple","no cumple")</f>
        <v>no 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66">
        <v>13733734</v>
      </c>
      <c r="D10" s="1367"/>
      <c r="E10" s="727">
        <v>1</v>
      </c>
      <c r="F10" s="812">
        <f>+C10*E10</f>
        <v>13733734</v>
      </c>
      <c r="G10" t="str">
        <f>+IF(GESTEP(F10,7350000),"cumple","no cumple")</f>
        <v>cumple</v>
      </c>
    </row>
    <row r="11" spans="1:7" ht="15.75" thickBot="1">
      <c r="A11" s="729">
        <v>9</v>
      </c>
      <c r="B11" s="1293" t="s">
        <v>1694</v>
      </c>
      <c r="C11" s="1294"/>
      <c r="D11" s="1294"/>
      <c r="E11" s="1295"/>
      <c r="F11" s="814">
        <f>+F10</f>
        <v>13733734</v>
      </c>
    </row>
    <row r="12" spans="1:7" ht="15.75" thickBot="1">
      <c r="A12" s="729">
        <v>10</v>
      </c>
      <c r="B12" s="1293" t="s">
        <v>1695</v>
      </c>
      <c r="C12" s="1294"/>
      <c r="D12" s="1294"/>
      <c r="E12" s="1295"/>
      <c r="F12" s="814">
        <f>+F11+F7</f>
        <v>29434198</v>
      </c>
    </row>
    <row r="13" spans="1:7" ht="15.75" thickBot="1">
      <c r="A13" s="1299" t="s">
        <v>1696</v>
      </c>
      <c r="B13" s="1300"/>
      <c r="C13" s="1300"/>
      <c r="D13" s="1300"/>
      <c r="E13" s="1300"/>
      <c r="F13" s="1301"/>
    </row>
    <row r="14" spans="1:7" ht="90.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67">
        <f>+((D4*4.3%)+D4)</f>
        <v>10288812.219000001</v>
      </c>
      <c r="E16" s="727">
        <v>5.44</v>
      </c>
      <c r="F16" s="828">
        <f>+D16*E16*C16</f>
        <v>1063451630.9558401</v>
      </c>
    </row>
    <row r="17" spans="1:7" ht="99.75" thickBot="1">
      <c r="A17" s="725">
        <v>14</v>
      </c>
      <c r="B17" s="726" t="s">
        <v>1682</v>
      </c>
      <c r="C17" s="727">
        <v>12</v>
      </c>
      <c r="D17" s="867">
        <f t="shared" ref="D17:D18" si="0">+((D5*4.3%)+D5)</f>
        <v>3071304.3689999999</v>
      </c>
      <c r="E17" s="727">
        <v>5.44</v>
      </c>
      <c r="F17" s="828">
        <f t="shared" ref="F17:F18" si="1">+D17*E17*C17</f>
        <v>200494749.20832002</v>
      </c>
    </row>
    <row r="18" spans="1:7" ht="99.75" thickBot="1">
      <c r="A18" s="725">
        <v>15</v>
      </c>
      <c r="B18" s="726" t="s">
        <v>1683</v>
      </c>
      <c r="C18" s="727">
        <v>6</v>
      </c>
      <c r="D18" s="867">
        <f t="shared" si="0"/>
        <v>3015467.3640000001</v>
      </c>
      <c r="E18" s="727">
        <v>5.44</v>
      </c>
      <c r="F18" s="828">
        <f t="shared" si="1"/>
        <v>98424854.760960013</v>
      </c>
    </row>
    <row r="19" spans="1:7" ht="15.75" thickBot="1">
      <c r="A19" s="729">
        <v>16</v>
      </c>
      <c r="B19" s="1293" t="s">
        <v>1705</v>
      </c>
      <c r="C19" s="1294"/>
      <c r="D19" s="1294"/>
      <c r="E19" s="1295"/>
      <c r="F19" s="733">
        <f>SUM(F16:F18)</f>
        <v>1362371234.9251204</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66">
        <v>13733734</v>
      </c>
      <c r="D22" s="1367"/>
      <c r="E22" s="727">
        <v>5.44</v>
      </c>
      <c r="F22" s="812">
        <f>+C22*E22</f>
        <v>74711512.960000008</v>
      </c>
      <c r="G22" t="str">
        <f>+IF(GESTEP(F22,39984000),"cumple","no cumple")</f>
        <v>cumple</v>
      </c>
    </row>
    <row r="23" spans="1:7" ht="15.75" thickBot="1">
      <c r="A23" s="729">
        <v>20</v>
      </c>
      <c r="B23" s="1293" t="s">
        <v>1714</v>
      </c>
      <c r="C23" s="1294"/>
      <c r="D23" s="1294"/>
      <c r="E23" s="1295"/>
      <c r="F23" s="814">
        <f>+F22</f>
        <v>74711512.960000008</v>
      </c>
    </row>
    <row r="24" spans="1:7" ht="15.75" thickBot="1">
      <c r="A24" s="729">
        <v>21</v>
      </c>
      <c r="B24" s="1293" t="s">
        <v>1715</v>
      </c>
      <c r="C24" s="1294"/>
      <c r="D24" s="1294"/>
      <c r="E24" s="1295"/>
      <c r="F24" s="814">
        <f>+F19+F23</f>
        <v>1437082747.8851204</v>
      </c>
    </row>
    <row r="25" spans="1:7" ht="16.5" thickBot="1">
      <c r="A25" s="729">
        <v>22</v>
      </c>
      <c r="B25" s="1296" t="s">
        <v>1716</v>
      </c>
      <c r="C25" s="1297"/>
      <c r="D25" s="1297"/>
      <c r="E25" s="1298"/>
      <c r="F25" s="815">
        <f>+F24+F12</f>
        <v>1466516945.8851204</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F3DEA-1F38-4520-BB6F-EE34B1777EA5}">
  <dimension ref="A1:G25"/>
  <sheetViews>
    <sheetView topLeftCell="A17" workbookViewId="0">
      <selection activeCell="B11" sqref="B11:E11"/>
    </sheetView>
  </sheetViews>
  <sheetFormatPr baseColWidth="10" defaultRowHeight="15"/>
  <cols>
    <col min="4" max="4" width="13.140625" bestFit="1" customWidth="1"/>
    <col min="6" max="6" width="17.140625" bestFit="1" customWidth="1"/>
  </cols>
  <sheetData>
    <row r="1" spans="1:7" ht="15.75" thickBot="1">
      <c r="A1" s="1299" t="s">
        <v>1669</v>
      </c>
      <c r="B1" s="1300"/>
      <c r="C1" s="1300"/>
      <c r="D1" s="1300"/>
      <c r="E1" s="1300"/>
      <c r="F1" s="1301"/>
    </row>
    <row r="2" spans="1:7" ht="45.75" thickBot="1">
      <c r="A2" s="722" t="s">
        <v>1670</v>
      </c>
      <c r="B2" s="723" t="s">
        <v>1671</v>
      </c>
      <c r="C2" s="723" t="s">
        <v>1672</v>
      </c>
      <c r="D2" s="723" t="s">
        <v>1673</v>
      </c>
      <c r="E2" s="723" t="s">
        <v>1674</v>
      </c>
      <c r="F2" s="723" t="s">
        <v>1675</v>
      </c>
    </row>
    <row r="3" spans="1:7" ht="18.75" thickBot="1">
      <c r="A3" s="724">
        <v>1</v>
      </c>
      <c r="B3" s="723" t="s">
        <v>1676</v>
      </c>
      <c r="C3" s="723" t="s">
        <v>1677</v>
      </c>
      <c r="D3" s="872" t="s">
        <v>1678</v>
      </c>
      <c r="E3" s="723" t="s">
        <v>1679</v>
      </c>
      <c r="F3" s="723" t="s">
        <v>1680</v>
      </c>
    </row>
    <row r="4" spans="1:7" ht="90.75" thickBot="1">
      <c r="A4" s="725">
        <v>2</v>
      </c>
      <c r="B4" s="726" t="s">
        <v>1681</v>
      </c>
      <c r="C4" s="727">
        <v>19</v>
      </c>
      <c r="D4" s="812">
        <v>9864310</v>
      </c>
      <c r="E4" s="727">
        <v>1</v>
      </c>
      <c r="F4" s="812">
        <f>+D4*E4*C4</f>
        <v>187421890</v>
      </c>
    </row>
    <row r="5" spans="1:7" ht="99.75" thickBot="1">
      <c r="A5" s="725">
        <v>3</v>
      </c>
      <c r="B5" s="726" t="s">
        <v>1682</v>
      </c>
      <c r="C5" s="727">
        <v>12</v>
      </c>
      <c r="D5" s="812">
        <v>2944562</v>
      </c>
      <c r="E5" s="727">
        <v>1</v>
      </c>
      <c r="F5" s="812">
        <f t="shared" ref="F5:F6" si="0">+D5*E5*C5</f>
        <v>35334744</v>
      </c>
    </row>
    <row r="6" spans="1:7" ht="99.75" thickBot="1">
      <c r="A6" s="725">
        <v>4</v>
      </c>
      <c r="B6" s="726" t="s">
        <v>1683</v>
      </c>
      <c r="C6" s="727">
        <v>6</v>
      </c>
      <c r="D6" s="812">
        <v>2891025</v>
      </c>
      <c r="E6" s="727">
        <v>1</v>
      </c>
      <c r="F6" s="812">
        <f t="shared" si="0"/>
        <v>17346150</v>
      </c>
    </row>
    <row r="7" spans="1:7" ht="15.75" thickBot="1">
      <c r="A7" s="729"/>
      <c r="B7" s="1293" t="s">
        <v>1684</v>
      </c>
      <c r="C7" s="1294"/>
      <c r="D7" s="1294"/>
      <c r="E7" s="1295"/>
      <c r="F7" s="733">
        <f>SUM(F4:F6)</f>
        <v>240102784</v>
      </c>
      <c r="G7" t="str">
        <f>+IF(GESTEP(F7,240102770),"cumple","no cumple")</f>
        <v>cumple</v>
      </c>
    </row>
    <row r="8" spans="1:7" ht="45.75" thickBot="1">
      <c r="A8" s="724">
        <v>6</v>
      </c>
      <c r="B8" s="723" t="s">
        <v>1685</v>
      </c>
      <c r="C8" s="1299" t="s">
        <v>1686</v>
      </c>
      <c r="D8" s="1301"/>
      <c r="E8" s="723" t="s">
        <v>1687</v>
      </c>
      <c r="F8" s="723" t="s">
        <v>1688</v>
      </c>
    </row>
    <row r="9" spans="1:7" ht="15.75" thickBot="1">
      <c r="A9" s="724">
        <v>7</v>
      </c>
      <c r="B9" s="723" t="s">
        <v>1689</v>
      </c>
      <c r="C9" s="1299" t="s">
        <v>1690</v>
      </c>
      <c r="D9" s="1301"/>
      <c r="E9" s="723" t="s">
        <v>1691</v>
      </c>
      <c r="F9" s="723" t="s">
        <v>1692</v>
      </c>
    </row>
    <row r="10" spans="1:7" ht="45.75" thickBot="1">
      <c r="A10" s="725">
        <v>8</v>
      </c>
      <c r="B10" s="726" t="s">
        <v>1693</v>
      </c>
      <c r="C10" s="1366">
        <v>12688032</v>
      </c>
      <c r="D10" s="1367"/>
      <c r="E10" s="727">
        <v>1</v>
      </c>
      <c r="F10" s="812">
        <f>+C10*E10</f>
        <v>12688032</v>
      </c>
      <c r="G10" t="str">
        <f>+IF(GESTEP(F10,7350000),"cumple","no cumple")</f>
        <v>cumple</v>
      </c>
    </row>
    <row r="11" spans="1:7" ht="15.75" thickBot="1">
      <c r="A11" s="729">
        <v>9</v>
      </c>
      <c r="B11" s="1293" t="s">
        <v>1694</v>
      </c>
      <c r="C11" s="1294"/>
      <c r="D11" s="1294"/>
      <c r="E11" s="1295"/>
      <c r="F11" s="814">
        <f>+F10</f>
        <v>12688032</v>
      </c>
    </row>
    <row r="12" spans="1:7" ht="15.75" thickBot="1">
      <c r="A12" s="729">
        <v>10</v>
      </c>
      <c r="B12" s="1293" t="s">
        <v>1695</v>
      </c>
      <c r="C12" s="1294"/>
      <c r="D12" s="1294"/>
      <c r="E12" s="1295"/>
      <c r="F12" s="814">
        <f>+F11+F7</f>
        <v>252790816</v>
      </c>
      <c r="G12" t="str">
        <f>+IF(F12&lt;256580747,"cumple","no cumple")</f>
        <v>cumple</v>
      </c>
    </row>
    <row r="13" spans="1:7" ht="15.75" thickBot="1">
      <c r="A13" s="1299" t="s">
        <v>1696</v>
      </c>
      <c r="B13" s="1300"/>
      <c r="C13" s="1300"/>
      <c r="D13" s="1300"/>
      <c r="E13" s="1300"/>
      <c r="F13" s="1301"/>
    </row>
    <row r="14" spans="1:7" ht="90.75" thickBot="1">
      <c r="A14" s="724">
        <v>11</v>
      </c>
      <c r="B14" s="723" t="s">
        <v>1671</v>
      </c>
      <c r="C14" s="723" t="s">
        <v>1672</v>
      </c>
      <c r="D14" s="723" t="s">
        <v>1697</v>
      </c>
      <c r="E14" s="723" t="s">
        <v>1698</v>
      </c>
      <c r="F14" s="723" t="s">
        <v>1699</v>
      </c>
    </row>
    <row r="15" spans="1:7" ht="18.75" thickBot="1">
      <c r="A15" s="724">
        <v>12</v>
      </c>
      <c r="B15" s="723" t="s">
        <v>1700</v>
      </c>
      <c r="C15" s="723" t="s">
        <v>1701</v>
      </c>
      <c r="D15" s="723" t="s">
        <v>1702</v>
      </c>
      <c r="E15" s="723" t="s">
        <v>1703</v>
      </c>
      <c r="F15" s="723" t="s">
        <v>1704</v>
      </c>
    </row>
    <row r="16" spans="1:7" ht="90.75" thickBot="1">
      <c r="A16" s="725">
        <v>13</v>
      </c>
      <c r="B16" s="726" t="s">
        <v>1681</v>
      </c>
      <c r="C16" s="727">
        <v>19</v>
      </c>
      <c r="D16" s="812">
        <f>+D4*1.043</f>
        <v>10288475.33</v>
      </c>
      <c r="E16" s="727">
        <v>5.44</v>
      </c>
      <c r="F16" s="828">
        <f>+D16*E16*C16</f>
        <v>1063416810.1088001</v>
      </c>
    </row>
    <row r="17" spans="1:7" ht="99.75" thickBot="1">
      <c r="A17" s="725">
        <v>14</v>
      </c>
      <c r="B17" s="726" t="s">
        <v>1682</v>
      </c>
      <c r="C17" s="727">
        <v>12</v>
      </c>
      <c r="D17" s="812">
        <f t="shared" ref="D17:D18" si="1">+D5*1.043</f>
        <v>3071178.1659999997</v>
      </c>
      <c r="E17" s="727">
        <v>5.44</v>
      </c>
      <c r="F17" s="828">
        <f t="shared" ref="F17:F18" si="2">+D17*E17*C17</f>
        <v>200486510.67648</v>
      </c>
    </row>
    <row r="18" spans="1:7" ht="99.75" thickBot="1">
      <c r="A18" s="725">
        <v>15</v>
      </c>
      <c r="B18" s="726" t="s">
        <v>1683</v>
      </c>
      <c r="C18" s="727">
        <v>6</v>
      </c>
      <c r="D18" s="812">
        <f t="shared" si="1"/>
        <v>3015339.0749999997</v>
      </c>
      <c r="E18" s="727">
        <v>5.44</v>
      </c>
      <c r="F18" s="828">
        <f t="shared" si="2"/>
        <v>98420667.407999992</v>
      </c>
    </row>
    <row r="19" spans="1:7" ht="15.75" thickBot="1">
      <c r="A19" s="729">
        <v>16</v>
      </c>
      <c r="B19" s="1293" t="s">
        <v>1705</v>
      </c>
      <c r="C19" s="1294"/>
      <c r="D19" s="1294"/>
      <c r="E19" s="1295"/>
      <c r="F19" s="733">
        <f>SUM(F16:F18)</f>
        <v>1362323988.19328</v>
      </c>
      <c r="G19" t="str">
        <f>+IF(F19&lt;1451966056,"cumple","no cumple")</f>
        <v>cumple</v>
      </c>
    </row>
    <row r="20" spans="1:7" ht="45.75" thickBot="1">
      <c r="A20" s="724">
        <v>17</v>
      </c>
      <c r="B20" s="723" t="s">
        <v>1706</v>
      </c>
      <c r="C20" s="1299" t="s">
        <v>1707</v>
      </c>
      <c r="D20" s="1301"/>
      <c r="E20" s="723" t="s">
        <v>1698</v>
      </c>
      <c r="F20" s="723" t="s">
        <v>1708</v>
      </c>
    </row>
    <row r="21" spans="1:7" ht="15.75" thickBot="1">
      <c r="A21" s="724">
        <v>18</v>
      </c>
      <c r="B21" s="723" t="s">
        <v>1709</v>
      </c>
      <c r="C21" s="1299" t="s">
        <v>1710</v>
      </c>
      <c r="D21" s="1301"/>
      <c r="E21" s="723" t="s">
        <v>1711</v>
      </c>
      <c r="F21" s="723" t="s">
        <v>1712</v>
      </c>
    </row>
    <row r="22" spans="1:7" ht="36.75" thickBot="1">
      <c r="A22" s="725">
        <v>19</v>
      </c>
      <c r="B22" s="726" t="s">
        <v>1713</v>
      </c>
      <c r="C22" s="1368">
        <f>+C10</f>
        <v>12688032</v>
      </c>
      <c r="D22" s="1369"/>
      <c r="E22" s="727">
        <v>5.44</v>
      </c>
      <c r="F22" s="812">
        <f>+C22*E22</f>
        <v>69022894.079999998</v>
      </c>
      <c r="G22" t="str">
        <f>+IF(GESTEP(F22,39984000),"cumple","no cumple")</f>
        <v>cumple</v>
      </c>
    </row>
    <row r="23" spans="1:7" ht="15.75" thickBot="1">
      <c r="A23" s="729">
        <v>20</v>
      </c>
      <c r="B23" s="1293" t="s">
        <v>1714</v>
      </c>
      <c r="C23" s="1294"/>
      <c r="D23" s="1294"/>
      <c r="E23" s="1295"/>
      <c r="F23" s="814">
        <f>+F22</f>
        <v>69022894.079999998</v>
      </c>
    </row>
    <row r="24" spans="1:7" ht="15.75" thickBot="1">
      <c r="A24" s="729">
        <v>21</v>
      </c>
      <c r="B24" s="1293" t="s">
        <v>1715</v>
      </c>
      <c r="C24" s="1294"/>
      <c r="D24" s="1294"/>
      <c r="E24" s="1295"/>
      <c r="F24" s="814">
        <f>+F19+F23</f>
        <v>1431346882.2732799</v>
      </c>
    </row>
    <row r="25" spans="1:7" ht="16.5" thickBot="1">
      <c r="A25" s="729">
        <v>22</v>
      </c>
      <c r="B25" s="1296" t="s">
        <v>1716</v>
      </c>
      <c r="C25" s="1297"/>
      <c r="D25" s="1297"/>
      <c r="E25" s="1298"/>
      <c r="F25" s="815">
        <f>+F24+F12</f>
        <v>1684137698.2732799</v>
      </c>
    </row>
  </sheetData>
  <mergeCells count="15">
    <mergeCell ref="B11:E11"/>
    <mergeCell ref="A1:F1"/>
    <mergeCell ref="B7:E7"/>
    <mergeCell ref="C8:D8"/>
    <mergeCell ref="C9:D9"/>
    <mergeCell ref="C10:D10"/>
    <mergeCell ref="B23:E23"/>
    <mergeCell ref="B24:E24"/>
    <mergeCell ref="B25:E25"/>
    <mergeCell ref="B12:E12"/>
    <mergeCell ref="A13:F13"/>
    <mergeCell ref="B19:E19"/>
    <mergeCell ref="C20:D20"/>
    <mergeCell ref="C21:D21"/>
    <mergeCell ref="C22:D2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31</vt:i4>
      </vt:variant>
      <vt:variant>
        <vt:lpstr>Rangos con nombre</vt:lpstr>
      </vt:variant>
      <vt:variant>
        <vt:i4>1</vt:i4>
      </vt:variant>
    </vt:vector>
  </HeadingPairs>
  <TitlesOfParts>
    <vt:vector size="32" baseType="lpstr">
      <vt:lpstr>CALIFICACION</vt:lpstr>
      <vt:lpstr>consolidado</vt:lpstr>
      <vt:lpstr>oferta economica</vt:lpstr>
      <vt:lpstr>oferta 1</vt:lpstr>
      <vt:lpstr>oferta 2</vt:lpstr>
      <vt:lpstr>oferta 3</vt:lpstr>
      <vt:lpstr>oferta 4</vt:lpstr>
      <vt:lpstr>oferta 5</vt:lpstr>
      <vt:lpstr>oferta 6</vt:lpstr>
      <vt:lpstr>oferta 7</vt:lpstr>
      <vt:lpstr>oferta 8</vt:lpstr>
      <vt:lpstr>oferta 9</vt:lpstr>
      <vt:lpstr>oferta 10</vt:lpstr>
      <vt:lpstr>oferta 11</vt:lpstr>
      <vt:lpstr>oferta 12</vt:lpstr>
      <vt:lpstr>oferta 13</vt:lpstr>
      <vt:lpstr>oferta 14</vt:lpstr>
      <vt:lpstr>oferta 15</vt:lpstr>
      <vt:lpstr>oferta 17</vt:lpstr>
      <vt:lpstr>oferta 18</vt:lpstr>
      <vt:lpstr>oferta 19</vt:lpstr>
      <vt:lpstr>oferta 20</vt:lpstr>
      <vt:lpstr>oferta 21</vt:lpstr>
      <vt:lpstr>oferta 22</vt:lpstr>
      <vt:lpstr>oferta 23</vt:lpstr>
      <vt:lpstr>oferta 24</vt:lpstr>
      <vt:lpstr>oferta 25</vt:lpstr>
      <vt:lpstr>oferta 26</vt:lpstr>
      <vt:lpstr>oferta 27</vt:lpstr>
      <vt:lpstr>oferta 28 r</vt:lpstr>
      <vt:lpstr>oferta 29</vt:lpstr>
      <vt:lpstr>CALIFICACION!VB_lnkFDDocument_0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SUANY ALEJANDRA ALFARO JIMENEZ</dc:creator>
  <cp:lastModifiedBy>Francisco Javier Niño Acevedo</cp:lastModifiedBy>
  <cp:lastPrinted>2018-04-09T18:34:22Z</cp:lastPrinted>
  <dcterms:created xsi:type="dcterms:W3CDTF">2018-02-07T13:26:26Z</dcterms:created>
  <dcterms:modified xsi:type="dcterms:W3CDTF">2022-11-24T18:23:41Z</dcterms:modified>
</cp:coreProperties>
</file>