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7"/>
  <workbookPr/>
  <mc:AlternateContent xmlns:mc="http://schemas.openxmlformats.org/markup-compatibility/2006">
    <mc:Choice Requires="x15">
      <x15ac:absPath xmlns:x15ac="http://schemas.microsoft.com/office/spreadsheetml/2010/11/ac" url="https://diancolombia-my.sharepoint.com/personal/fmorab1_dian_gov_co/Documents/DIAN PLANEACION/MINIMA CUANTIA/Vertimiento Aguas Residuales Sedes Dian/"/>
    </mc:Choice>
  </mc:AlternateContent>
  <xr:revisionPtr revIDLastSave="1451" documentId="13_ncr:1_{71191F26-FED0-4D5D-A5C3-402EBD3830FB}" xr6:coauthVersionLast="47" xr6:coauthVersionMax="47" xr10:uidLastSave="{4B544A97-7A8D-47FF-B734-2390B42EBB8B}"/>
  <bookViews>
    <workbookView xWindow="-120" yWindow="-120" windowWidth="24240" windowHeight="13140" xr2:uid="{00000000-000D-0000-FFFF-FFFF00000000}"/>
  </bookViews>
  <sheets>
    <sheet name="Valor presupuesto vertimientos" sheetId="5" r:id="rId1"/>
  </sheets>
  <definedNames>
    <definedName name="_xlnm.Print_Area" localSheetId="0">'Valor presupuesto vertimientos'!$A$1:$N$64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61" i="5" l="1"/>
  <c r="K38" i="5"/>
  <c r="K54" i="5"/>
  <c r="J48" i="5"/>
  <c r="J33" i="5"/>
  <c r="L33" i="5" s="1"/>
  <c r="M33" i="5" s="1"/>
  <c r="N33" i="5" s="1"/>
  <c r="J31" i="5"/>
  <c r="K17" i="5"/>
  <c r="K11" i="5"/>
  <c r="J12" i="5"/>
  <c r="I63" i="5"/>
  <c r="I61" i="5"/>
  <c r="I60" i="5"/>
  <c r="I59" i="5"/>
  <c r="I58" i="5"/>
  <c r="I57" i="5"/>
  <c r="I52" i="5"/>
  <c r="I48" i="5"/>
  <c r="I43" i="5"/>
  <c r="I39" i="5"/>
  <c r="I55" i="5"/>
  <c r="I54" i="5"/>
  <c r="I53" i="5"/>
  <c r="I51" i="5"/>
  <c r="I50" i="5"/>
  <c r="I49" i="5"/>
  <c r="I47" i="5"/>
  <c r="I46" i="5"/>
  <c r="I45" i="5"/>
  <c r="I44" i="5"/>
  <c r="I42" i="5"/>
  <c r="I41" i="5"/>
  <c r="I40" i="5"/>
  <c r="I38" i="5"/>
  <c r="I37" i="5"/>
  <c r="I36" i="5"/>
  <c r="I35" i="5"/>
  <c r="I34" i="5"/>
  <c r="I33" i="5"/>
  <c r="I31" i="5"/>
  <c r="I30" i="5"/>
  <c r="I29" i="5"/>
  <c r="I28" i="5"/>
  <c r="I27" i="5"/>
  <c r="I25" i="5"/>
  <c r="I24" i="5"/>
  <c r="I23" i="5"/>
  <c r="I22" i="5"/>
  <c r="I20" i="5"/>
  <c r="I19" i="5"/>
  <c r="I17" i="5"/>
  <c r="I16" i="5"/>
  <c r="I15" i="5"/>
  <c r="I14" i="5"/>
  <c r="I12" i="5"/>
  <c r="I11" i="5"/>
  <c r="I10" i="5"/>
  <c r="I9" i="5"/>
  <c r="I8" i="5"/>
  <c r="I7" i="5"/>
  <c r="I6" i="5"/>
  <c r="I5" i="5"/>
  <c r="H63" i="5"/>
  <c r="H61" i="5"/>
  <c r="H60" i="5"/>
  <c r="H59" i="5"/>
  <c r="H58" i="5"/>
  <c r="H57" i="5"/>
  <c r="H55" i="5"/>
  <c r="H54" i="5"/>
  <c r="H53" i="5"/>
  <c r="H51" i="5"/>
  <c r="H52" i="5"/>
  <c r="H50" i="5"/>
  <c r="K50" i="5" s="1"/>
  <c r="H49" i="5"/>
  <c r="H48" i="5"/>
  <c r="H46" i="5"/>
  <c r="H47" i="5"/>
  <c r="H45" i="5"/>
  <c r="H44" i="5"/>
  <c r="H43" i="5"/>
  <c r="H42" i="5"/>
  <c r="H41" i="5"/>
  <c r="H40" i="5"/>
  <c r="H39" i="5"/>
  <c r="H38" i="5"/>
  <c r="H35" i="5"/>
  <c r="H36" i="5"/>
  <c r="H37" i="5"/>
  <c r="H34" i="5"/>
  <c r="H33" i="5"/>
  <c r="H31" i="5"/>
  <c r="H30" i="5"/>
  <c r="H29" i="5"/>
  <c r="H28" i="5"/>
  <c r="H27" i="5"/>
  <c r="H25" i="5"/>
  <c r="H23" i="5"/>
  <c r="H24" i="5"/>
  <c r="H22" i="5"/>
  <c r="H20" i="5"/>
  <c r="H19" i="5"/>
  <c r="H17" i="5"/>
  <c r="H16" i="5"/>
  <c r="H15" i="5"/>
  <c r="H14" i="5"/>
  <c r="H12" i="5"/>
  <c r="H11" i="5"/>
  <c r="H10" i="5"/>
  <c r="H9" i="5"/>
  <c r="H8" i="5"/>
  <c r="H7" i="5"/>
  <c r="H6" i="5"/>
  <c r="H5" i="5"/>
  <c r="G63" i="5"/>
  <c r="G61" i="5"/>
  <c r="G60" i="5"/>
  <c r="G59" i="5"/>
  <c r="G58" i="5"/>
  <c r="G57" i="5"/>
  <c r="G55" i="5"/>
  <c r="G54" i="5"/>
  <c r="G53" i="5"/>
  <c r="G50" i="5"/>
  <c r="G51" i="5"/>
  <c r="G52" i="5"/>
  <c r="G49" i="5"/>
  <c r="G48" i="5"/>
  <c r="G46" i="5"/>
  <c r="G47" i="5"/>
  <c r="G45" i="5"/>
  <c r="G44" i="5"/>
  <c r="G42" i="5"/>
  <c r="G43" i="5"/>
  <c r="G41" i="5"/>
  <c r="G40" i="5"/>
  <c r="G39" i="5"/>
  <c r="G38" i="5"/>
  <c r="G37" i="5"/>
  <c r="G36" i="5"/>
  <c r="G35" i="5"/>
  <c r="G34" i="5"/>
  <c r="K34" i="5" s="1"/>
  <c r="G33" i="5"/>
  <c r="G31" i="5"/>
  <c r="G30" i="5"/>
  <c r="G29" i="5"/>
  <c r="G28" i="5"/>
  <c r="G27" i="5"/>
  <c r="G25" i="5"/>
  <c r="G23" i="5"/>
  <c r="G24" i="5"/>
  <c r="G22" i="5"/>
  <c r="G20" i="5"/>
  <c r="G19" i="5"/>
  <c r="G17" i="5"/>
  <c r="G16" i="5"/>
  <c r="G15" i="5"/>
  <c r="G14" i="5"/>
  <c r="F14" i="5"/>
  <c r="F15" i="5"/>
  <c r="G12" i="5"/>
  <c r="G11" i="5"/>
  <c r="G10" i="5"/>
  <c r="G9" i="5"/>
  <c r="G8" i="5"/>
  <c r="J8" i="5" s="1"/>
  <c r="L8" i="5" s="1"/>
  <c r="M8" i="5" s="1"/>
  <c r="N8" i="5" s="1"/>
  <c r="G7" i="5"/>
  <c r="K7" i="5" s="1"/>
  <c r="G6" i="5"/>
  <c r="G5" i="5"/>
  <c r="F63" i="5"/>
  <c r="J63" i="5" s="1"/>
  <c r="F61" i="5"/>
  <c r="F58" i="5"/>
  <c r="F59" i="5"/>
  <c r="F60" i="5"/>
  <c r="F57" i="5"/>
  <c r="F55" i="5"/>
  <c r="F53" i="5"/>
  <c r="K53" i="5" s="1"/>
  <c r="F52" i="5"/>
  <c r="F51" i="5"/>
  <c r="F50" i="5"/>
  <c r="F49" i="5"/>
  <c r="F48" i="5"/>
  <c r="F46" i="5"/>
  <c r="F47" i="5"/>
  <c r="F45" i="5"/>
  <c r="F43" i="5"/>
  <c r="F42" i="5"/>
  <c r="J42" i="5" s="1"/>
  <c r="F41" i="5"/>
  <c r="F40" i="5"/>
  <c r="F39" i="5"/>
  <c r="F44" i="5"/>
  <c r="F54" i="5"/>
  <c r="F37" i="5"/>
  <c r="K37" i="5" s="1"/>
  <c r="F38" i="5"/>
  <c r="F36" i="5"/>
  <c r="F35" i="5"/>
  <c r="F34" i="5"/>
  <c r="F33" i="5"/>
  <c r="K33" i="5" s="1"/>
  <c r="F31" i="5"/>
  <c r="K31" i="5" s="1"/>
  <c r="F30" i="5"/>
  <c r="F29" i="5"/>
  <c r="F28" i="5"/>
  <c r="F27" i="5"/>
  <c r="F25" i="5"/>
  <c r="F24" i="5"/>
  <c r="F23" i="5"/>
  <c r="F22" i="5"/>
  <c r="F20" i="5"/>
  <c r="F19" i="5"/>
  <c r="F17" i="5"/>
  <c r="J17" i="5" s="1"/>
  <c r="L17" i="5" s="1"/>
  <c r="M17" i="5" s="1"/>
  <c r="N17" i="5" s="1"/>
  <c r="F16" i="5"/>
  <c r="F12" i="5"/>
  <c r="F11" i="5"/>
  <c r="F10" i="5"/>
  <c r="F9" i="5"/>
  <c r="F8" i="5"/>
  <c r="F7" i="5"/>
  <c r="F6" i="5"/>
  <c r="F5" i="5"/>
  <c r="E63" i="5"/>
  <c r="K63" i="5" s="1"/>
  <c r="E61" i="5"/>
  <c r="J61" i="5" s="1"/>
  <c r="L61" i="5" s="1"/>
  <c r="M61" i="5" s="1"/>
  <c r="N61" i="5" s="1"/>
  <c r="E58" i="5"/>
  <c r="E59" i="5"/>
  <c r="E60" i="5"/>
  <c r="K60" i="5" s="1"/>
  <c r="E57" i="5"/>
  <c r="K57" i="5" s="1"/>
  <c r="E55" i="5"/>
  <c r="E54" i="5"/>
  <c r="J54" i="5" s="1"/>
  <c r="E53" i="5"/>
  <c r="J53" i="5" s="1"/>
  <c r="L53" i="5" s="1"/>
  <c r="M53" i="5" s="1"/>
  <c r="N53" i="5" s="1"/>
  <c r="E48" i="5"/>
  <c r="E46" i="5"/>
  <c r="E44" i="5"/>
  <c r="K44" i="5" s="1"/>
  <c r="E38" i="5"/>
  <c r="E35" i="5"/>
  <c r="E34" i="5"/>
  <c r="E36" i="5"/>
  <c r="K36" i="5" s="1"/>
  <c r="E37" i="5"/>
  <c r="J37" i="5" s="1"/>
  <c r="L37" i="5" s="1"/>
  <c r="M37" i="5" s="1"/>
  <c r="N37" i="5" s="1"/>
  <c r="E39" i="5"/>
  <c r="E40" i="5"/>
  <c r="K40" i="5" s="1"/>
  <c r="E41" i="5"/>
  <c r="E42" i="5"/>
  <c r="E43" i="5"/>
  <c r="E45" i="5"/>
  <c r="E47" i="5"/>
  <c r="E49" i="5"/>
  <c r="J49" i="5" s="1"/>
  <c r="E50" i="5"/>
  <c r="E51" i="5"/>
  <c r="E52" i="5"/>
  <c r="K52" i="5" s="1"/>
  <c r="E33" i="5"/>
  <c r="E31" i="5"/>
  <c r="E30" i="5"/>
  <c r="E29" i="5"/>
  <c r="E28" i="5"/>
  <c r="K28" i="5" s="1"/>
  <c r="E27" i="5"/>
  <c r="E25" i="5"/>
  <c r="K25" i="5" s="1"/>
  <c r="E23" i="5"/>
  <c r="E24" i="5"/>
  <c r="E22" i="5"/>
  <c r="E20" i="5"/>
  <c r="E19" i="5"/>
  <c r="K19" i="5" s="1"/>
  <c r="E17" i="5"/>
  <c r="E16" i="5"/>
  <c r="E15" i="5"/>
  <c r="E14" i="5"/>
  <c r="E12" i="5"/>
  <c r="K12" i="5" s="1"/>
  <c r="E11" i="5"/>
  <c r="E10" i="5"/>
  <c r="K10" i="5" s="1"/>
  <c r="E9" i="5"/>
  <c r="E8" i="5"/>
  <c r="K8" i="5" s="1"/>
  <c r="E7" i="5"/>
  <c r="E6" i="5"/>
  <c r="E5" i="5"/>
  <c r="K5" i="5" s="1"/>
  <c r="L31" i="5" l="1"/>
  <c r="M31" i="5" s="1"/>
  <c r="N31" i="5" s="1"/>
  <c r="J9" i="5"/>
  <c r="L9" i="5" s="1"/>
  <c r="M9" i="5" s="1"/>
  <c r="N9" i="5" s="1"/>
  <c r="K9" i="5"/>
  <c r="K14" i="5"/>
  <c r="J14" i="5"/>
  <c r="L14" i="5" s="1"/>
  <c r="M14" i="5" s="1"/>
  <c r="N14" i="5" s="1"/>
  <c r="K23" i="5"/>
  <c r="J23" i="5"/>
  <c r="K29" i="5"/>
  <c r="J29" i="5"/>
  <c r="L29" i="5" s="1"/>
  <c r="M29" i="5" s="1"/>
  <c r="N29" i="5" s="1"/>
  <c r="J47" i="5"/>
  <c r="L47" i="5" s="1"/>
  <c r="M47" i="5" s="1"/>
  <c r="N47" i="5" s="1"/>
  <c r="K47" i="5"/>
  <c r="K41" i="5"/>
  <c r="J41" i="5"/>
  <c r="L41" i="5" s="1"/>
  <c r="M41" i="5" s="1"/>
  <c r="N41" i="5" s="1"/>
  <c r="L54" i="5"/>
  <c r="M54" i="5" s="1"/>
  <c r="N54" i="5" s="1"/>
  <c r="K59" i="5"/>
  <c r="J59" i="5"/>
  <c r="L59" i="5" s="1"/>
  <c r="M59" i="5" s="1"/>
  <c r="N59" i="5" s="1"/>
  <c r="L42" i="5"/>
  <c r="M42" i="5" s="1"/>
  <c r="N42" i="5" s="1"/>
  <c r="L12" i="5"/>
  <c r="M12" i="5" s="1"/>
  <c r="N12" i="5" s="1"/>
  <c r="J44" i="5"/>
  <c r="L44" i="5" s="1"/>
  <c r="M44" i="5" s="1"/>
  <c r="N44" i="5" s="1"/>
  <c r="K6" i="5"/>
  <c r="J6" i="5"/>
  <c r="L6" i="5" s="1"/>
  <c r="M6" i="5" s="1"/>
  <c r="N6" i="5" s="1"/>
  <c r="K15" i="5"/>
  <c r="J15" i="5"/>
  <c r="K20" i="5"/>
  <c r="J20" i="5"/>
  <c r="L20" i="5" s="1"/>
  <c r="M20" i="5" s="1"/>
  <c r="N20" i="5" s="1"/>
  <c r="K30" i="5"/>
  <c r="J30" i="5"/>
  <c r="J51" i="5"/>
  <c r="K51" i="5"/>
  <c r="K45" i="5"/>
  <c r="J45" i="5"/>
  <c r="J34" i="5"/>
  <c r="L34" i="5" s="1"/>
  <c r="M34" i="5" s="1"/>
  <c r="N34" i="5" s="1"/>
  <c r="J46" i="5"/>
  <c r="L46" i="5" s="1"/>
  <c r="M46" i="5" s="1"/>
  <c r="N46" i="5" s="1"/>
  <c r="J55" i="5"/>
  <c r="L55" i="5" s="1"/>
  <c r="M55" i="5" s="1"/>
  <c r="N55" i="5" s="1"/>
  <c r="K55" i="5"/>
  <c r="K58" i="5"/>
  <c r="J58" i="5"/>
  <c r="L58" i="5" s="1"/>
  <c r="M58" i="5" s="1"/>
  <c r="N58" i="5" s="1"/>
  <c r="J38" i="5"/>
  <c r="L38" i="5" s="1"/>
  <c r="M38" i="5" s="1"/>
  <c r="N38" i="5" s="1"/>
  <c r="L63" i="5"/>
  <c r="M63" i="5" s="1"/>
  <c r="N63" i="5" s="1"/>
  <c r="J10" i="5"/>
  <c r="L10" i="5" s="1"/>
  <c r="M10" i="5" s="1"/>
  <c r="N10" i="5" s="1"/>
  <c r="J25" i="5"/>
  <c r="L25" i="5" s="1"/>
  <c r="M25" i="5" s="1"/>
  <c r="N25" i="5" s="1"/>
  <c r="J40" i="5"/>
  <c r="L40" i="5" s="1"/>
  <c r="M40" i="5" s="1"/>
  <c r="N40" i="5" s="1"/>
  <c r="K46" i="5"/>
  <c r="J7" i="5"/>
  <c r="L7" i="5" s="1"/>
  <c r="M7" i="5" s="1"/>
  <c r="N7" i="5" s="1"/>
  <c r="J11" i="5"/>
  <c r="L11" i="5" s="1"/>
  <c r="M11" i="5" s="1"/>
  <c r="N11" i="5" s="1"/>
  <c r="K16" i="5"/>
  <c r="J16" i="5"/>
  <c r="K22" i="5"/>
  <c r="J22" i="5"/>
  <c r="L22" i="5" s="1"/>
  <c r="M22" i="5" s="1"/>
  <c r="N22" i="5" s="1"/>
  <c r="J27" i="5"/>
  <c r="L27" i="5" s="1"/>
  <c r="M27" i="5" s="1"/>
  <c r="N27" i="5" s="1"/>
  <c r="J50" i="5"/>
  <c r="L50" i="5" s="1"/>
  <c r="M50" i="5" s="1"/>
  <c r="N50" i="5" s="1"/>
  <c r="J43" i="5"/>
  <c r="K43" i="5"/>
  <c r="J39" i="5"/>
  <c r="L39" i="5" s="1"/>
  <c r="M39" i="5" s="1"/>
  <c r="N39" i="5" s="1"/>
  <c r="K39" i="5"/>
  <c r="J35" i="5"/>
  <c r="K35" i="5"/>
  <c r="K48" i="5"/>
  <c r="L48" i="5" s="1"/>
  <c r="M48" i="5" s="1"/>
  <c r="N48" i="5" s="1"/>
  <c r="J57" i="5"/>
  <c r="L57" i="5" s="1"/>
  <c r="M57" i="5" s="1"/>
  <c r="N57" i="5" s="1"/>
  <c r="K24" i="5"/>
  <c r="J24" i="5"/>
  <c r="L24" i="5" s="1"/>
  <c r="M24" i="5" s="1"/>
  <c r="N24" i="5" s="1"/>
  <c r="K49" i="5"/>
  <c r="L49" i="5" s="1"/>
  <c r="M49" i="5" s="1"/>
  <c r="N49" i="5" s="1"/>
  <c r="J19" i="5"/>
  <c r="L19" i="5" s="1"/>
  <c r="M19" i="5" s="1"/>
  <c r="N19" i="5" s="1"/>
  <c r="K27" i="5"/>
  <c r="J52" i="5"/>
  <c r="L52" i="5" s="1"/>
  <c r="M52" i="5" s="1"/>
  <c r="N52" i="5" s="1"/>
  <c r="J36" i="5"/>
  <c r="L36" i="5" s="1"/>
  <c r="M36" i="5" s="1"/>
  <c r="N36" i="5" s="1"/>
  <c r="K42" i="5"/>
  <c r="J28" i="5"/>
  <c r="L28" i="5" s="1"/>
  <c r="M28" i="5" s="1"/>
  <c r="N28" i="5" s="1"/>
  <c r="J60" i="5"/>
  <c r="L60" i="5" s="1"/>
  <c r="M60" i="5" s="1"/>
  <c r="N60" i="5" s="1"/>
  <c r="J5" i="5"/>
  <c r="L5" i="5" s="1"/>
  <c r="M5" i="5" s="1"/>
  <c r="N5" i="5" s="1"/>
  <c r="L51" i="5" l="1"/>
  <c r="M51" i="5" s="1"/>
  <c r="N51" i="5" s="1"/>
  <c r="L35" i="5"/>
  <c r="M35" i="5" s="1"/>
  <c r="N35" i="5" s="1"/>
  <c r="L43" i="5"/>
  <c r="M43" i="5" s="1"/>
  <c r="N43" i="5" s="1"/>
  <c r="L16" i="5"/>
  <c r="M16" i="5" s="1"/>
  <c r="N16" i="5" s="1"/>
  <c r="L45" i="5"/>
  <c r="M45" i="5" s="1"/>
  <c r="N45" i="5" s="1"/>
  <c r="L30" i="5"/>
  <c r="M30" i="5" s="1"/>
  <c r="N30" i="5" s="1"/>
  <c r="L15" i="5"/>
  <c r="M15" i="5" s="1"/>
  <c r="N15" i="5" s="1"/>
  <c r="N64" i="5" s="1"/>
  <c r="L23" i="5"/>
  <c r="M23" i="5" s="1"/>
  <c r="N23" i="5" s="1"/>
</calcChain>
</file>

<file path=xl/sharedStrings.xml><?xml version="1.0" encoding="utf-8"?>
<sst xmlns="http://schemas.openxmlformats.org/spreadsheetml/2006/main" count="133" uniqueCount="78">
  <si>
    <t>Contratar el Servicio de caracterización de vertimientos de las aguas residuales domésticas y aguas residuales no domesticas (ARD y ARnD) correspondiente a las sedes de la Dirección de Impuestos y Aduanas Nacionales ubicadas en la ciudad de Bogotá</t>
  </si>
  <si>
    <t>Item</t>
  </si>
  <si>
    <t>Parametro</t>
  </si>
  <si>
    <t>Unidad de Medida</t>
  </si>
  <si>
    <t>Cantidad</t>
  </si>
  <si>
    <t>Cotización 1</t>
  </si>
  <si>
    <t>Cotización 2</t>
  </si>
  <si>
    <t>Cotización 3</t>
  </si>
  <si>
    <t>Cotización 4</t>
  </si>
  <si>
    <t>Cotización 5</t>
  </si>
  <si>
    <t>Desviación Estándar</t>
  </si>
  <si>
    <t>Promedio</t>
  </si>
  <si>
    <t>Coeficiente variación</t>
  </si>
  <si>
    <t>Precio Unitarios de Referencia IVA incluido</t>
  </si>
  <si>
    <t>Valor Total IVA incluido</t>
  </si>
  <si>
    <t>Valor unitario incluido IVA</t>
  </si>
  <si>
    <t>Generales</t>
  </si>
  <si>
    <t>Demanda Química de Oxígeno (DQO)</t>
  </si>
  <si>
    <t>Un</t>
  </si>
  <si>
    <t>Demanda Bioquímica de Oxígeno (DBO5)</t>
  </si>
  <si>
    <t>Sólidos Suspendidos Totales (SST)</t>
  </si>
  <si>
    <t>Grasas y Aceites</t>
  </si>
  <si>
    <t>Compuestos Semivolátiles Fenólicos</t>
  </si>
  <si>
    <t>Fenoles Totales</t>
  </si>
  <si>
    <t>Formaldehído</t>
  </si>
  <si>
    <t>Sustancias Activas al Azul de Metileno (SAAM)</t>
  </si>
  <si>
    <t>Hidrocarburos</t>
  </si>
  <si>
    <t>Hidrocarburos Totales (HTP)</t>
  </si>
  <si>
    <t>Hidrocarburos Aromáticos Policíclicos (HAP)</t>
  </si>
  <si>
    <t>BTEX (Benceno, Tolueno, Etilbenceno y Xileno)</t>
  </si>
  <si>
    <t>Compuestos Orgánicos Halogenados Adsorbibles (AOX)</t>
  </si>
  <si>
    <t>Compuestos de Fósforo</t>
  </si>
  <si>
    <t>Ortofosfatos (P-PO43-)</t>
  </si>
  <si>
    <t>Fósforo Total (P)</t>
  </si>
  <si>
    <t>Compuestos de Nitrógeno</t>
  </si>
  <si>
    <t>Nitratos (N-NO3-)</t>
  </si>
  <si>
    <t>Nitritos (N-NO2-)</t>
  </si>
  <si>
    <t>Nitrógeno Amoniacal (N-NH3)</t>
  </si>
  <si>
    <t>Nitrógeno Total (N)</t>
  </si>
  <si>
    <t>Iones</t>
  </si>
  <si>
    <t>Cianuro Total (CN-)</t>
  </si>
  <si>
    <t>Cloruros (Cl-)</t>
  </si>
  <si>
    <t>Fluoruros (F-)</t>
  </si>
  <si>
    <t>Sulfatos (SO42-)</t>
  </si>
  <si>
    <t>Sulfuros (S2-,)</t>
  </si>
  <si>
    <t>Metales y Metaloides</t>
  </si>
  <si>
    <t>Aluminio (Al)</t>
  </si>
  <si>
    <t>Antimonio (Sb)</t>
  </si>
  <si>
    <t>Arsénico (As)</t>
  </si>
  <si>
    <t>Bario (Ba)</t>
  </si>
  <si>
    <t>Berilio (Be)</t>
  </si>
  <si>
    <t>Boro (Bo)</t>
  </si>
  <si>
    <t>Cadmio (Cd)</t>
  </si>
  <si>
    <t>Cinc (Zn)</t>
  </si>
  <si>
    <t>Cobalto (Co)</t>
  </si>
  <si>
    <t>Cobre (Cu)</t>
  </si>
  <si>
    <t>Cromo (Cr)</t>
  </si>
  <si>
    <t>Estaño (Sn)</t>
  </si>
  <si>
    <t>Hierro (Fe)</t>
  </si>
  <si>
    <t>Litio (Li)</t>
  </si>
  <si>
    <t>Manganeso (Mn)</t>
  </si>
  <si>
    <t>Mercurio (Hg)</t>
  </si>
  <si>
    <t>Molibdeno (Mo)</t>
  </si>
  <si>
    <t>Níquel (Ni)</t>
  </si>
  <si>
    <t>Plata (Ag)</t>
  </si>
  <si>
    <t>Plomo (Pb)</t>
  </si>
  <si>
    <t>Selenio (Se)</t>
  </si>
  <si>
    <t>Titanio (Ti)</t>
  </si>
  <si>
    <t>Vanadio (V)</t>
  </si>
  <si>
    <t>Otros Parámetros para Análisis y Reporte</t>
  </si>
  <si>
    <t>Acidez Total</t>
  </si>
  <si>
    <t>Alcalinidad Total</t>
  </si>
  <si>
    <t>Dureza Cálcica</t>
  </si>
  <si>
    <t>Dureza Total</t>
  </si>
  <si>
    <t>Color Real</t>
  </si>
  <si>
    <t>Monitoreo Compuesto</t>
  </si>
  <si>
    <t>Monitoreo compuesto (PH, Temperatura, Caudal, SSD)</t>
  </si>
  <si>
    <t xml:space="preserve"> VALOR TOTAL  vertimientos de las aguas residuales domésticas y aguas residuales no domesticas (ARD y ARnD) correspondiente a las sedes de la Dirección de Impuestos y Aduanas Nacionales ubicadas en la ciudad de Bogotá.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</si>
</sst>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&quot;$&quot;\ * #,##0_-;\-&quot;$&quot;\ * #,##0_-;_-&quot;$&quot;\ * &quot;-&quot;_-;_-@_-"/>
    <numFmt numFmtId="165" formatCode="&quot;$&quot;\ #,##0"/>
    <numFmt numFmtId="166" formatCode="&quot;$&quot;\ #,##0.00"/>
    <numFmt numFmtId="167" formatCode="_(* #,##0_);_(* \(#,##0\);_(* &quot;-&quot;??_);_(@_)"/>
    <numFmt numFmtId="168" formatCode="_-&quot;$&quot;* #,##0_-;\-&quot;$&quot;* #,##0_-;_-&quot;$&quot;* &quot;-&quot;_-;_-@_-"/>
    <numFmt numFmtId="169" formatCode="#,##0_ ;\-#,##0\ "/>
  </numFmts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rgb="FF444444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7" fillId="0" borderId="5" xfId="1" applyFont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2" borderId="1" xfId="3" applyFont="1" applyFill="1" applyBorder="1" applyAlignment="1">
      <alignment horizontal="center" vertical="center"/>
    </xf>
    <xf numFmtId="164" fontId="7" fillId="0" borderId="1" xfId="3" applyFont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0" fontId="3" fillId="0" borderId="1" xfId="2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0" borderId="3" xfId="1" applyFont="1" applyBorder="1" applyAlignment="1">
      <alignment horizontal="justify" vertical="center" wrapText="1"/>
    </xf>
    <xf numFmtId="0" fontId="7" fillId="0" borderId="6" xfId="1" applyFont="1" applyBorder="1" applyAlignment="1">
      <alignment horizontal="justify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164" fontId="7" fillId="0" borderId="1" xfId="3" applyFont="1" applyBorder="1" applyAlignment="1">
      <alignment horizontal="center" vertical="center" wrapText="1"/>
    </xf>
    <xf numFmtId="169" fontId="7" fillId="0" borderId="1" xfId="4" applyNumberFormat="1" applyFont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9" fontId="3" fillId="0" borderId="0" xfId="0" applyNumberFormat="1" applyFont="1" applyAlignment="1">
      <alignment horizontal="center" vertical="center"/>
    </xf>
    <xf numFmtId="166" fontId="3" fillId="0" borderId="0" xfId="0" applyNumberFormat="1" applyFont="1"/>
    <xf numFmtId="167" fontId="3" fillId="0" borderId="0" xfId="0" applyNumberFormat="1" applyFont="1"/>
    <xf numFmtId="165" fontId="3" fillId="0" borderId="0" xfId="0" applyNumberFormat="1" applyFont="1"/>
    <xf numFmtId="43" fontId="3" fillId="0" borderId="0" xfId="0" applyNumberFormat="1" applyFont="1"/>
    <xf numFmtId="0" fontId="3" fillId="0" borderId="1" xfId="0" applyFont="1" applyBorder="1"/>
    <xf numFmtId="0" fontId="5" fillId="3" borderId="1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4" borderId="7" xfId="1" applyFont="1" applyFill="1" applyBorder="1" applyAlignment="1">
      <alignment horizontal="center" vertical="center" wrapText="1"/>
    </xf>
    <xf numFmtId="0" fontId="6" fillId="4" borderId="0" xfId="1" applyFont="1" applyFill="1" applyAlignment="1">
      <alignment horizontal="center" vertical="center" wrapText="1"/>
    </xf>
    <xf numFmtId="0" fontId="6" fillId="4" borderId="8" xfId="1" applyFont="1" applyFill="1" applyBorder="1" applyAlignment="1">
      <alignment horizontal="center" vertical="center" wrapText="1"/>
    </xf>
    <xf numFmtId="0" fontId="6" fillId="4" borderId="9" xfId="1" applyFont="1" applyFill="1" applyBorder="1" applyAlignment="1">
      <alignment horizontal="center" vertical="center" wrapText="1"/>
    </xf>
    <xf numFmtId="0" fontId="6" fillId="4" borderId="10" xfId="1" applyFont="1" applyFill="1" applyBorder="1" applyAlignment="1">
      <alignment horizontal="center" vertical="center" wrapText="1"/>
    </xf>
    <xf numFmtId="0" fontId="6" fillId="4" borderId="11" xfId="1" applyFont="1" applyFill="1" applyBorder="1" applyAlignment="1">
      <alignment horizontal="center" vertical="center" wrapText="1"/>
    </xf>
  </cellXfs>
  <cellStyles count="5">
    <cellStyle name="Moneda [0]" xfId="3" builtinId="7"/>
    <cellStyle name="Moneda [0] 2" xfId="4" xr:uid="{4957DB77-D73D-4894-A253-E920894DCC0F}"/>
    <cellStyle name="Normal" xfId="0" builtinId="0"/>
    <cellStyle name="Normal 2" xfId="1" xr:uid="{00000000-0005-0000-0000-000002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DA6AF-2EAF-465F-A638-4DE40EDF7B98}">
  <dimension ref="A1:N90"/>
  <sheetViews>
    <sheetView tabSelected="1" zoomScaleNormal="100" workbookViewId="0">
      <selection activeCell="N9" sqref="N9"/>
    </sheetView>
  </sheetViews>
  <sheetFormatPr defaultColWidth="11.5703125" defaultRowHeight="11.25"/>
  <cols>
    <col min="1" max="1" width="6.5703125" style="25" customWidth="1"/>
    <col min="2" max="2" width="31.28515625" style="1" customWidth="1"/>
    <col min="3" max="3" width="11.5703125" style="1" customWidth="1"/>
    <col min="4" max="4" width="7.28515625" style="1" customWidth="1"/>
    <col min="5" max="5" width="10.5703125" style="1" hidden="1" customWidth="1"/>
    <col min="6" max="6" width="11" style="1" hidden="1" customWidth="1"/>
    <col min="7" max="7" width="10.85546875" style="1" hidden="1" customWidth="1"/>
    <col min="8" max="8" width="11.140625" style="1" hidden="1" customWidth="1"/>
    <col min="9" max="9" width="10.85546875" style="1" hidden="1" customWidth="1"/>
    <col min="10" max="10" width="9.42578125" style="1" hidden="1" customWidth="1"/>
    <col min="11" max="11" width="9" style="1" hidden="1" customWidth="1"/>
    <col min="12" max="12" width="10.140625" style="1" hidden="1" customWidth="1"/>
    <col min="13" max="13" width="14.7109375" style="1" customWidth="1"/>
    <col min="14" max="14" width="17.28515625" style="1" customWidth="1"/>
    <col min="15" max="16384" width="11.5703125" style="1"/>
  </cols>
  <sheetData>
    <row r="1" spans="1:14" ht="29.25" customHeight="1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15" customHeight="1">
      <c r="A2" s="32" t="s">
        <v>1</v>
      </c>
      <c r="B2" s="33" t="s">
        <v>2</v>
      </c>
      <c r="C2" s="31" t="s">
        <v>3</v>
      </c>
      <c r="D2" s="3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1" t="s">
        <v>10</v>
      </c>
      <c r="K2" s="31" t="s">
        <v>11</v>
      </c>
      <c r="L2" s="31" t="s">
        <v>12</v>
      </c>
      <c r="M2" s="31" t="s">
        <v>13</v>
      </c>
      <c r="N2" s="31" t="s">
        <v>14</v>
      </c>
    </row>
    <row r="3" spans="1:14" ht="38.25" customHeight="1">
      <c r="A3" s="32"/>
      <c r="B3" s="33"/>
      <c r="C3" s="31"/>
      <c r="D3" s="32"/>
      <c r="E3" s="2" t="s">
        <v>15</v>
      </c>
      <c r="F3" s="2" t="s">
        <v>15</v>
      </c>
      <c r="G3" s="2" t="s">
        <v>15</v>
      </c>
      <c r="H3" s="2" t="s">
        <v>15</v>
      </c>
      <c r="I3" s="2" t="s">
        <v>15</v>
      </c>
      <c r="J3" s="31"/>
      <c r="K3" s="31"/>
      <c r="L3" s="31"/>
      <c r="M3" s="31"/>
      <c r="N3" s="31"/>
    </row>
    <row r="4" spans="1:14" ht="21" customHeight="1">
      <c r="A4" s="34" t="s">
        <v>16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6"/>
    </row>
    <row r="5" spans="1:14" ht="33" customHeight="1">
      <c r="A5" s="12">
        <v>1</v>
      </c>
      <c r="B5" s="4" t="s">
        <v>17</v>
      </c>
      <c r="C5" s="5" t="s">
        <v>18</v>
      </c>
      <c r="D5" s="6">
        <v>2</v>
      </c>
      <c r="E5" s="7">
        <f>32960*19/100+32960</f>
        <v>39222.400000000001</v>
      </c>
      <c r="F5" s="7">
        <f>50820*19/100+50820</f>
        <v>60475.8</v>
      </c>
      <c r="G5" s="7">
        <f>58000*19/100+58000</f>
        <v>69020</v>
      </c>
      <c r="H5" s="7">
        <f>52092*19/100+52092</f>
        <v>61989.479999999996</v>
      </c>
      <c r="I5" s="8">
        <f>61874*19/100+61874</f>
        <v>73630.06</v>
      </c>
      <c r="J5" s="9">
        <f>_xlfn.STDEV.S(E5:I5)</f>
        <v>13221.845710910389</v>
      </c>
      <c r="K5" s="10">
        <f>AVERAGE(E5:I5)</f>
        <v>60867.547999999995</v>
      </c>
      <c r="L5" s="11">
        <f>J5/K5</f>
        <v>0.21722323545726518</v>
      </c>
      <c r="M5" s="10">
        <f>ROUND((IF(L5&lt;=0.1,AVERAGE(E5:I5),IF(L5&gt;0.2,HARMEAN(E5:I5),GEOMEAN(E5:I5)))),0)</f>
        <v>57983</v>
      </c>
      <c r="N5" s="10">
        <f>M5*D5</f>
        <v>115966</v>
      </c>
    </row>
    <row r="6" spans="1:14" ht="31.5" customHeight="1">
      <c r="A6" s="12">
        <v>2</v>
      </c>
      <c r="B6" s="13" t="s">
        <v>19</v>
      </c>
      <c r="C6" s="5" t="s">
        <v>18</v>
      </c>
      <c r="D6" s="6">
        <v>2</v>
      </c>
      <c r="E6" s="7">
        <f>32960*19/100+32960</f>
        <v>39222.400000000001</v>
      </c>
      <c r="F6" s="7">
        <f>54450*19/100+54450</f>
        <v>64795.5</v>
      </c>
      <c r="G6" s="7">
        <f>58000*19/100+58000</f>
        <v>69020</v>
      </c>
      <c r="H6" s="7">
        <f>54456*19/100+54456</f>
        <v>64802.64</v>
      </c>
      <c r="I6" s="8">
        <f>57674*0.19+57674</f>
        <v>68632.06</v>
      </c>
      <c r="J6" s="9">
        <f t="shared" ref="J6:J63" si="0">_xlfn.STDEV.S(E6:I6)</f>
        <v>12502.647546331935</v>
      </c>
      <c r="K6" s="10">
        <f t="shared" ref="K6:K23" si="1">AVERAGE(E6:I6)</f>
        <v>61294.52</v>
      </c>
      <c r="L6" s="11">
        <f t="shared" ref="L6:L63" si="2">J6/K6</f>
        <v>0.20397659605347976</v>
      </c>
      <c r="M6" s="10">
        <f t="shared" ref="M6:M63" si="3">ROUND((IF(L6&lt;=0.1,AVERAGE(E6:I6),IF(L6&gt;0.2,HARMEAN(E6:I6),GEOMEAN(E6:I6)))),0)</f>
        <v>58535</v>
      </c>
      <c r="N6" s="10">
        <f t="shared" ref="N6:N63" si="4">M6*D6</f>
        <v>117070</v>
      </c>
    </row>
    <row r="7" spans="1:14" ht="36.75" customHeight="1">
      <c r="A7" s="12">
        <v>3</v>
      </c>
      <c r="B7" s="13" t="s">
        <v>20</v>
      </c>
      <c r="C7" s="5" t="s">
        <v>18</v>
      </c>
      <c r="D7" s="6">
        <v>2</v>
      </c>
      <c r="E7" s="7">
        <f>15450*19/100+15450</f>
        <v>18385.5</v>
      </c>
      <c r="F7" s="7">
        <f>19360*19/100+19360</f>
        <v>23038.400000000001</v>
      </c>
      <c r="G7" s="7">
        <f>33000*19/100+33000</f>
        <v>39270</v>
      </c>
      <c r="H7" s="7">
        <f>21773*19/100+21773</f>
        <v>25909.87</v>
      </c>
      <c r="I7" s="8">
        <f>24074*0.19+24074</f>
        <v>28648.06</v>
      </c>
      <c r="J7" s="9">
        <f t="shared" si="0"/>
        <v>7815.8266728593908</v>
      </c>
      <c r="K7" s="10">
        <f t="shared" si="1"/>
        <v>27050.365999999998</v>
      </c>
      <c r="L7" s="11">
        <f t="shared" si="2"/>
        <v>0.2889360784567348</v>
      </c>
      <c r="M7" s="10">
        <f t="shared" si="3"/>
        <v>25411</v>
      </c>
      <c r="N7" s="10">
        <f t="shared" si="4"/>
        <v>50822</v>
      </c>
    </row>
    <row r="8" spans="1:14" ht="24.75" customHeight="1">
      <c r="A8" s="12">
        <v>4</v>
      </c>
      <c r="B8" s="13" t="s">
        <v>21</v>
      </c>
      <c r="C8" s="5" t="s">
        <v>18</v>
      </c>
      <c r="D8" s="6">
        <v>2</v>
      </c>
      <c r="E8" s="7">
        <f>51500*19/100+51500</f>
        <v>61285</v>
      </c>
      <c r="F8" s="7">
        <f>9680*19/100+9680</f>
        <v>11519.2</v>
      </c>
      <c r="G8" s="7">
        <f>68000*19/100+68000</f>
        <v>80920</v>
      </c>
      <c r="H8" s="7">
        <f>40200*19/100+40200</f>
        <v>47838</v>
      </c>
      <c r="I8" s="8">
        <f>75874*0.19+75874</f>
        <v>90290.06</v>
      </c>
      <c r="J8" s="9">
        <f t="shared" si="0"/>
        <v>30991.169867488381</v>
      </c>
      <c r="K8" s="10">
        <f t="shared" si="1"/>
        <v>58370.452000000005</v>
      </c>
      <c r="L8" s="11">
        <f t="shared" si="2"/>
        <v>0.5309393504009251</v>
      </c>
      <c r="M8" s="10">
        <f t="shared" si="3"/>
        <v>33906</v>
      </c>
      <c r="N8" s="10">
        <f t="shared" si="4"/>
        <v>67812</v>
      </c>
    </row>
    <row r="9" spans="1:14" ht="31.5" customHeight="1">
      <c r="A9" s="12">
        <v>5</v>
      </c>
      <c r="B9" s="13" t="s">
        <v>22</v>
      </c>
      <c r="C9" s="5" t="s">
        <v>18</v>
      </c>
      <c r="D9" s="6">
        <v>2</v>
      </c>
      <c r="E9" s="7">
        <f>226600*19/100+226600</f>
        <v>269654</v>
      </c>
      <c r="F9" s="7">
        <f>387200*19/100+387200</f>
        <v>460768</v>
      </c>
      <c r="G9" s="7">
        <f>203000*19/100+203000</f>
        <v>241570</v>
      </c>
      <c r="H9" s="7">
        <f>327359*19/100+327359</f>
        <v>389557.21</v>
      </c>
      <c r="I9" s="8">
        <f>293574*0.19+293574</f>
        <v>349353.06</v>
      </c>
      <c r="J9" s="9">
        <f t="shared" si="0"/>
        <v>89080.805081842947</v>
      </c>
      <c r="K9" s="10">
        <f t="shared" si="1"/>
        <v>342180.45400000003</v>
      </c>
      <c r="L9" s="11">
        <f t="shared" si="2"/>
        <v>0.26033282743216812</v>
      </c>
      <c r="M9" s="10">
        <f t="shared" si="3"/>
        <v>323671</v>
      </c>
      <c r="N9" s="10">
        <f t="shared" si="4"/>
        <v>647342</v>
      </c>
    </row>
    <row r="10" spans="1:14" ht="24" customHeight="1">
      <c r="A10" s="12">
        <v>6</v>
      </c>
      <c r="B10" s="13" t="s">
        <v>23</v>
      </c>
      <c r="C10" s="5" t="s">
        <v>18</v>
      </c>
      <c r="D10" s="6">
        <v>2</v>
      </c>
      <c r="E10" s="7">
        <f>56650*19/100+56650</f>
        <v>67413.5</v>
      </c>
      <c r="F10" s="7">
        <f>62920*19/100+62920</f>
        <v>74874.8</v>
      </c>
      <c r="G10" s="7">
        <f>63000*19/100+63000</f>
        <v>74970</v>
      </c>
      <c r="H10" s="7">
        <f>42000*19/100+42000</f>
        <v>49980</v>
      </c>
      <c r="I10" s="8">
        <f>68874*0.19+68874</f>
        <v>81960.06</v>
      </c>
      <c r="J10" s="9">
        <f t="shared" si="0"/>
        <v>12235.904821014276</v>
      </c>
      <c r="K10" s="10">
        <f t="shared" si="1"/>
        <v>69839.671999999991</v>
      </c>
      <c r="L10" s="11">
        <f t="shared" si="2"/>
        <v>0.17519991819283282</v>
      </c>
      <c r="M10" s="10">
        <f t="shared" si="3"/>
        <v>68877</v>
      </c>
      <c r="N10" s="10">
        <f t="shared" si="4"/>
        <v>137754</v>
      </c>
    </row>
    <row r="11" spans="1:14" ht="24" customHeight="1">
      <c r="A11" s="12">
        <v>7</v>
      </c>
      <c r="B11" s="13" t="s">
        <v>24</v>
      </c>
      <c r="C11" s="5" t="s">
        <v>18</v>
      </c>
      <c r="D11" s="6">
        <v>2</v>
      </c>
      <c r="E11" s="7">
        <f>750000*19/100+750000</f>
        <v>892500</v>
      </c>
      <c r="F11" s="7">
        <f>638000*19/100+638000</f>
        <v>759220</v>
      </c>
      <c r="G11" s="7">
        <f>263000*19/100+263000</f>
        <v>312970</v>
      </c>
      <c r="H11" s="7">
        <f>430962*19/100+430962</f>
        <v>512844.78</v>
      </c>
      <c r="I11" s="8">
        <f>964874*0.19+964874</f>
        <v>1148200.06</v>
      </c>
      <c r="J11" s="9">
        <f t="shared" si="0"/>
        <v>325232.22451783821</v>
      </c>
      <c r="K11" s="10">
        <f t="shared" si="1"/>
        <v>725146.96800000011</v>
      </c>
      <c r="L11" s="11">
        <f t="shared" si="2"/>
        <v>0.44850525323831758</v>
      </c>
      <c r="M11" s="10">
        <f t="shared" si="3"/>
        <v>591463</v>
      </c>
      <c r="N11" s="10">
        <f t="shared" si="4"/>
        <v>1182926</v>
      </c>
    </row>
    <row r="12" spans="1:14" ht="32.25" customHeight="1" thickBot="1">
      <c r="A12" s="12">
        <v>8</v>
      </c>
      <c r="B12" s="14" t="s">
        <v>25</v>
      </c>
      <c r="C12" s="5" t="s">
        <v>18</v>
      </c>
      <c r="D12" s="6">
        <v>2</v>
      </c>
      <c r="E12" s="7">
        <f>36050*19/100+36050</f>
        <v>42899.5</v>
      </c>
      <c r="F12" s="7">
        <f>54450*19/100+54450</f>
        <v>64795.5</v>
      </c>
      <c r="G12" s="7">
        <f>58000*19/100+58000</f>
        <v>69020</v>
      </c>
      <c r="H12" s="7">
        <f>57912*19/100+57912</f>
        <v>68915.28</v>
      </c>
      <c r="I12" s="8">
        <f>56274*0.19+56274</f>
        <v>66966.06</v>
      </c>
      <c r="J12" s="9">
        <f t="shared" si="0"/>
        <v>11102.465645329452</v>
      </c>
      <c r="K12" s="10">
        <f t="shared" si="1"/>
        <v>62519.267999999996</v>
      </c>
      <c r="L12" s="11">
        <f t="shared" si="2"/>
        <v>0.17758470309232433</v>
      </c>
      <c r="M12" s="10">
        <f t="shared" si="3"/>
        <v>61578</v>
      </c>
      <c r="N12" s="10">
        <f t="shared" si="4"/>
        <v>123156</v>
      </c>
    </row>
    <row r="13" spans="1:14" ht="17.25" customHeight="1">
      <c r="A13" s="37" t="s">
        <v>26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9"/>
    </row>
    <row r="14" spans="1:14" ht="24" customHeight="1">
      <c r="A14" s="12">
        <v>9</v>
      </c>
      <c r="B14" s="4" t="s">
        <v>27</v>
      </c>
      <c r="C14" s="5" t="s">
        <v>18</v>
      </c>
      <c r="D14" s="6">
        <v>2</v>
      </c>
      <c r="E14" s="7">
        <f>62830*19/100+62830</f>
        <v>74767.7</v>
      </c>
      <c r="F14" s="7">
        <f>75020*19/100+75020</f>
        <v>89273.8</v>
      </c>
      <c r="G14" s="7">
        <f>76000*19/100+76000</f>
        <v>90440</v>
      </c>
      <c r="H14" s="7">
        <f>94542*19/100+94542</f>
        <v>112504.98</v>
      </c>
      <c r="I14" s="8">
        <f>87074*0.19+87074</f>
        <v>103618.06</v>
      </c>
      <c r="J14" s="9">
        <f t="shared" si="0"/>
        <v>14489.30811815802</v>
      </c>
      <c r="K14" s="10">
        <f t="shared" si="1"/>
        <v>94120.907999999996</v>
      </c>
      <c r="L14" s="11">
        <f t="shared" si="2"/>
        <v>0.15394356499576078</v>
      </c>
      <c r="M14" s="10">
        <f t="shared" si="3"/>
        <v>93214</v>
      </c>
      <c r="N14" s="10">
        <f t="shared" si="4"/>
        <v>186428</v>
      </c>
    </row>
    <row r="15" spans="1:14" ht="45.75" customHeight="1">
      <c r="A15" s="12">
        <v>10</v>
      </c>
      <c r="B15" s="13" t="s">
        <v>28</v>
      </c>
      <c r="C15" s="5" t="s">
        <v>18</v>
      </c>
      <c r="D15" s="6">
        <v>2</v>
      </c>
      <c r="E15" s="7">
        <f>185400*19/100+185400</f>
        <v>220626</v>
      </c>
      <c r="F15" s="7">
        <f>363000*19/100+363000</f>
        <v>431970</v>
      </c>
      <c r="G15" s="7">
        <f>203000*19/100+203000</f>
        <v>241570</v>
      </c>
      <c r="H15" s="7">
        <f>295610*19/100+295610</f>
        <v>351775.9</v>
      </c>
      <c r="I15" s="8">
        <f>264874*0.19+264874</f>
        <v>315200.06</v>
      </c>
      <c r="J15" s="9">
        <f t="shared" si="0"/>
        <v>85578.174008162387</v>
      </c>
      <c r="K15" s="10">
        <f t="shared" si="1"/>
        <v>312228.39199999999</v>
      </c>
      <c r="L15" s="11">
        <f t="shared" si="2"/>
        <v>0.27408837953520382</v>
      </c>
      <c r="M15" s="10">
        <f t="shared" si="3"/>
        <v>294076</v>
      </c>
      <c r="N15" s="10">
        <f t="shared" si="4"/>
        <v>588152</v>
      </c>
    </row>
    <row r="16" spans="1:14" ht="46.5" customHeight="1">
      <c r="A16" s="12">
        <v>11</v>
      </c>
      <c r="B16" s="13" t="s">
        <v>29</v>
      </c>
      <c r="C16" s="5" t="s">
        <v>18</v>
      </c>
      <c r="D16" s="6">
        <v>2</v>
      </c>
      <c r="E16" s="7">
        <f>420000*19/100+420000</f>
        <v>499800</v>
      </c>
      <c r="F16" s="7">
        <f>242000*19/100+242000</f>
        <v>287980</v>
      </c>
      <c r="G16" s="7">
        <f>239000*19/100+239000</f>
        <v>284410</v>
      </c>
      <c r="H16" s="7">
        <f>269323*19/100+269323</f>
        <v>320494.37</v>
      </c>
      <c r="I16" s="8">
        <f>278874*0.19+278874</f>
        <v>331860.06</v>
      </c>
      <c r="J16" s="9">
        <f t="shared" si="0"/>
        <v>88964.334027878082</v>
      </c>
      <c r="K16" s="10">
        <f t="shared" si="1"/>
        <v>344908.88600000006</v>
      </c>
      <c r="L16" s="11">
        <f t="shared" si="2"/>
        <v>0.25793575532257546</v>
      </c>
      <c r="M16" s="10">
        <f t="shared" si="3"/>
        <v>330626</v>
      </c>
      <c r="N16" s="10">
        <f t="shared" si="4"/>
        <v>661252</v>
      </c>
    </row>
    <row r="17" spans="1:14" ht="36" customHeight="1">
      <c r="A17" s="12">
        <v>12</v>
      </c>
      <c r="B17" s="14" t="s">
        <v>30</v>
      </c>
      <c r="C17" s="5" t="s">
        <v>18</v>
      </c>
      <c r="D17" s="6">
        <v>1</v>
      </c>
      <c r="E17" s="7">
        <f>875500*19/100+875500</f>
        <v>1041845</v>
      </c>
      <c r="F17" s="7">
        <f>517000*19/100+517000</f>
        <v>615230</v>
      </c>
      <c r="G17" s="7">
        <f>503000*19/100+503000</f>
        <v>598570</v>
      </c>
      <c r="H17" s="7">
        <f>554094*19/100+554094</f>
        <v>659371.86</v>
      </c>
      <c r="I17" s="8">
        <f>642874*0.19+642874</f>
        <v>765020.06</v>
      </c>
      <c r="J17" s="9">
        <f t="shared" si="0"/>
        <v>182843.92064999454</v>
      </c>
      <c r="K17" s="10">
        <f t="shared" si="1"/>
        <v>736007.38399999996</v>
      </c>
      <c r="L17" s="11">
        <f t="shared" si="2"/>
        <v>0.2484267476452309</v>
      </c>
      <c r="M17" s="10">
        <f t="shared" si="3"/>
        <v>706250</v>
      </c>
      <c r="N17" s="10">
        <f t="shared" si="4"/>
        <v>706250</v>
      </c>
    </row>
    <row r="18" spans="1:14" ht="24" customHeight="1">
      <c r="A18" s="34" t="s">
        <v>31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6"/>
    </row>
    <row r="19" spans="1:14" ht="24" customHeight="1">
      <c r="A19" s="15">
        <v>13</v>
      </c>
      <c r="B19" s="13" t="s">
        <v>32</v>
      </c>
      <c r="C19" s="16" t="s">
        <v>18</v>
      </c>
      <c r="D19" s="16">
        <v>2</v>
      </c>
      <c r="E19" s="17">
        <f>18540*19/100+18540</f>
        <v>22062.6</v>
      </c>
      <c r="F19" s="7">
        <f>16940*19/100+16940</f>
        <v>20158.599999999999</v>
      </c>
      <c r="G19" s="7">
        <f>39000*19/100+39000</f>
        <v>46410</v>
      </c>
      <c r="H19" s="7">
        <f>28740*19/100+28740</f>
        <v>34200.6</v>
      </c>
      <c r="I19" s="8">
        <f>35274*0.19+35274</f>
        <v>41976.06</v>
      </c>
      <c r="J19" s="9">
        <f t="shared" si="0"/>
        <v>11687.173339260453</v>
      </c>
      <c r="K19" s="10">
        <f t="shared" si="1"/>
        <v>32961.572</v>
      </c>
      <c r="L19" s="11">
        <f t="shared" si="2"/>
        <v>0.35456965885184277</v>
      </c>
      <c r="M19" s="10">
        <f t="shared" si="3"/>
        <v>29491</v>
      </c>
      <c r="N19" s="10">
        <f t="shared" si="4"/>
        <v>58982</v>
      </c>
    </row>
    <row r="20" spans="1:14" ht="24" customHeight="1">
      <c r="A20" s="15">
        <v>14</v>
      </c>
      <c r="B20" s="13" t="s">
        <v>33</v>
      </c>
      <c r="C20" s="16" t="s">
        <v>18</v>
      </c>
      <c r="D20" s="16">
        <v>2</v>
      </c>
      <c r="E20" s="17">
        <f>20600*19/100+20600</f>
        <v>24514</v>
      </c>
      <c r="F20" s="7">
        <f>26620*19/100+26620</f>
        <v>31677.8</v>
      </c>
      <c r="G20" s="7">
        <f>44000*19/100+44000</f>
        <v>52360</v>
      </c>
      <c r="H20" s="7">
        <f>30000*19/100+30000</f>
        <v>35700</v>
      </c>
      <c r="I20" s="8">
        <f>42274*0.19+42274</f>
        <v>50306.06</v>
      </c>
      <c r="J20" s="9">
        <f t="shared" si="0"/>
        <v>12048.094289219373</v>
      </c>
      <c r="K20" s="10">
        <f t="shared" si="1"/>
        <v>38911.572</v>
      </c>
      <c r="L20" s="11">
        <f t="shared" si="2"/>
        <v>0.30962753931450965</v>
      </c>
      <c r="M20" s="10">
        <f t="shared" si="3"/>
        <v>35881</v>
      </c>
      <c r="N20" s="10">
        <f t="shared" si="4"/>
        <v>71762</v>
      </c>
    </row>
    <row r="21" spans="1:14" ht="24" customHeight="1">
      <c r="A21" s="34" t="s">
        <v>34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6"/>
    </row>
    <row r="22" spans="1:14" ht="24" customHeight="1">
      <c r="A22" s="15">
        <v>15</v>
      </c>
      <c r="B22" s="13" t="s">
        <v>35</v>
      </c>
      <c r="C22" s="16" t="s">
        <v>18</v>
      </c>
      <c r="D22" s="16">
        <v>2</v>
      </c>
      <c r="E22" s="17">
        <f>15450*19/100+15450</f>
        <v>18385.5</v>
      </c>
      <c r="F22" s="7">
        <f>16940*19/100+16940</f>
        <v>20158.599999999999</v>
      </c>
      <c r="G22" s="7">
        <f>35000*19/100+35000</f>
        <v>41650</v>
      </c>
      <c r="H22" s="7">
        <f>20520*19/100+20520</f>
        <v>24418.799999999999</v>
      </c>
      <c r="I22" s="8">
        <f>36674*0.19+36674</f>
        <v>43642.06</v>
      </c>
      <c r="J22" s="9">
        <f t="shared" si="0"/>
        <v>12084.275172442896</v>
      </c>
      <c r="K22" s="10">
        <f t="shared" si="1"/>
        <v>29650.992000000006</v>
      </c>
      <c r="L22" s="11">
        <f t="shared" si="2"/>
        <v>0.40755045134553658</v>
      </c>
      <c r="M22" s="10">
        <f t="shared" si="3"/>
        <v>26059</v>
      </c>
      <c r="N22" s="10">
        <f t="shared" si="4"/>
        <v>52118</v>
      </c>
    </row>
    <row r="23" spans="1:14" ht="24" customHeight="1">
      <c r="A23" s="15">
        <v>16</v>
      </c>
      <c r="B23" s="13" t="s">
        <v>36</v>
      </c>
      <c r="C23" s="16" t="s">
        <v>18</v>
      </c>
      <c r="D23" s="16">
        <v>2</v>
      </c>
      <c r="E23" s="17">
        <f t="shared" ref="E23:E24" si="5">15450*19/100+15450</f>
        <v>18385.5</v>
      </c>
      <c r="F23" s="7">
        <f>16940*19/100+16940</f>
        <v>20158.599999999999</v>
      </c>
      <c r="G23" s="7">
        <f t="shared" ref="G23:G24" si="6">35000*19/100+35000</f>
        <v>41650</v>
      </c>
      <c r="H23" s="7">
        <f t="shared" ref="H23:H24" si="7">20520*19/100+20520</f>
        <v>24418.799999999999</v>
      </c>
      <c r="I23" s="8">
        <f>36674*0.19+36674</f>
        <v>43642.06</v>
      </c>
      <c r="J23" s="9">
        <f t="shared" si="0"/>
        <v>12084.275172442896</v>
      </c>
      <c r="K23" s="10">
        <f t="shared" si="1"/>
        <v>29650.992000000006</v>
      </c>
      <c r="L23" s="11">
        <f t="shared" si="2"/>
        <v>0.40755045134553658</v>
      </c>
      <c r="M23" s="10">
        <f t="shared" si="3"/>
        <v>26059</v>
      </c>
      <c r="N23" s="10">
        <f t="shared" si="4"/>
        <v>52118</v>
      </c>
    </row>
    <row r="24" spans="1:14" ht="24" customHeight="1">
      <c r="A24" s="15">
        <v>17</v>
      </c>
      <c r="B24" s="13" t="s">
        <v>37</v>
      </c>
      <c r="C24" s="16" t="s">
        <v>18</v>
      </c>
      <c r="D24" s="16">
        <v>2</v>
      </c>
      <c r="E24" s="17">
        <f t="shared" si="5"/>
        <v>18385.5</v>
      </c>
      <c r="F24" s="7">
        <f>21780*19/100+21780</f>
        <v>25918.2</v>
      </c>
      <c r="G24" s="7">
        <f t="shared" si="6"/>
        <v>41650</v>
      </c>
      <c r="H24" s="7">
        <f t="shared" si="7"/>
        <v>24418.799999999999</v>
      </c>
      <c r="I24" s="8">
        <f>57674*0.19+57674</f>
        <v>68632.06</v>
      </c>
      <c r="J24" s="9">
        <f t="shared" si="0"/>
        <v>20264.582123836648</v>
      </c>
      <c r="K24" s="10">
        <f t="shared" ref="K24:K63" si="8">AVERAGE(E24:I24)</f>
        <v>35800.911999999997</v>
      </c>
      <c r="L24" s="11">
        <f t="shared" si="2"/>
        <v>0.56603536032368806</v>
      </c>
      <c r="M24" s="10">
        <f t="shared" si="3"/>
        <v>28985</v>
      </c>
      <c r="N24" s="10">
        <f t="shared" si="4"/>
        <v>57970</v>
      </c>
    </row>
    <row r="25" spans="1:14" ht="24" customHeight="1">
      <c r="A25" s="15">
        <v>18</v>
      </c>
      <c r="B25" s="13" t="s">
        <v>38</v>
      </c>
      <c r="C25" s="16" t="s">
        <v>18</v>
      </c>
      <c r="D25" s="16">
        <v>2</v>
      </c>
      <c r="E25" s="17">
        <f>41200*19/100+41200</f>
        <v>49028</v>
      </c>
      <c r="F25" s="7">
        <f>48400*19/100+48400</f>
        <v>57596</v>
      </c>
      <c r="G25" s="7">
        <f>73000*19/100+73000</f>
        <v>86870</v>
      </c>
      <c r="H25" s="7">
        <f>40620*19/100+40620</f>
        <v>48337.8</v>
      </c>
      <c r="I25" s="8">
        <f>57674*0.19+57674</f>
        <v>68632.06</v>
      </c>
      <c r="J25" s="9">
        <f t="shared" si="0"/>
        <v>16099.548095083943</v>
      </c>
      <c r="K25" s="10">
        <f t="shared" si="8"/>
        <v>62092.771999999997</v>
      </c>
      <c r="L25" s="11">
        <f t="shared" si="2"/>
        <v>0.25928216081388578</v>
      </c>
      <c r="M25" s="10">
        <f t="shared" si="3"/>
        <v>59152</v>
      </c>
      <c r="N25" s="10">
        <f t="shared" si="4"/>
        <v>118304</v>
      </c>
    </row>
    <row r="26" spans="1:14" ht="24" customHeight="1">
      <c r="A26" s="34" t="s">
        <v>39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6"/>
    </row>
    <row r="27" spans="1:14" ht="24" customHeight="1">
      <c r="A27" s="15">
        <v>19</v>
      </c>
      <c r="B27" s="13" t="s">
        <v>40</v>
      </c>
      <c r="C27" s="16" t="s">
        <v>18</v>
      </c>
      <c r="D27" s="18">
        <v>2</v>
      </c>
      <c r="E27" s="17">
        <f>56650*19/100+56650</f>
        <v>67413.5</v>
      </c>
      <c r="F27" s="7">
        <f>66550*19/100+66550</f>
        <v>79194.5</v>
      </c>
      <c r="G27" s="7">
        <f>83000*19/100+83000</f>
        <v>98770</v>
      </c>
      <c r="H27" s="7">
        <f>57042*19/100+57042</f>
        <v>67879.98</v>
      </c>
      <c r="I27" s="8">
        <f>129774*0.19+129774</f>
        <v>154431.06</v>
      </c>
      <c r="J27" s="9">
        <f t="shared" si="0"/>
        <v>36338.33396978899</v>
      </c>
      <c r="K27" s="10">
        <f t="shared" si="8"/>
        <v>93537.80799999999</v>
      </c>
      <c r="L27" s="11">
        <f t="shared" si="2"/>
        <v>0.38848819260110301</v>
      </c>
      <c r="M27" s="10">
        <f t="shared" si="3"/>
        <v>85044</v>
      </c>
      <c r="N27" s="10">
        <f t="shared" si="4"/>
        <v>170088</v>
      </c>
    </row>
    <row r="28" spans="1:14" ht="24" customHeight="1">
      <c r="A28" s="15">
        <v>20</v>
      </c>
      <c r="B28" s="13" t="s">
        <v>41</v>
      </c>
      <c r="C28" s="16" t="s">
        <v>18</v>
      </c>
      <c r="D28" s="18">
        <v>2</v>
      </c>
      <c r="E28" s="17">
        <f>15450*19/100+15450</f>
        <v>18385.5</v>
      </c>
      <c r="F28" s="7">
        <f>16940*19/100+16940</f>
        <v>20158.599999999999</v>
      </c>
      <c r="G28" s="7">
        <f>35000*19/100+35000</f>
        <v>41650</v>
      </c>
      <c r="H28" s="7">
        <f>15000*19/100+15000</f>
        <v>17850</v>
      </c>
      <c r="I28" s="8">
        <f>29674*0.19+29674</f>
        <v>35312.06</v>
      </c>
      <c r="J28" s="9">
        <f t="shared" si="0"/>
        <v>11044.334109221787</v>
      </c>
      <c r="K28" s="10">
        <f t="shared" si="8"/>
        <v>26671.232</v>
      </c>
      <c r="L28" s="11">
        <f t="shared" si="2"/>
        <v>0.41409163660762976</v>
      </c>
      <c r="M28" s="10">
        <f t="shared" si="3"/>
        <v>23546</v>
      </c>
      <c r="N28" s="10">
        <f t="shared" si="4"/>
        <v>47092</v>
      </c>
    </row>
    <row r="29" spans="1:14" ht="24" customHeight="1">
      <c r="A29" s="15">
        <v>21</v>
      </c>
      <c r="B29" s="13" t="s">
        <v>42</v>
      </c>
      <c r="C29" s="16" t="s">
        <v>18</v>
      </c>
      <c r="D29" s="18">
        <v>1</v>
      </c>
      <c r="E29" s="17">
        <f>56650*19/100+56650</f>
        <v>67413.5</v>
      </c>
      <c r="F29" s="7">
        <f>38720*19/100+38720</f>
        <v>46076.800000000003</v>
      </c>
      <c r="G29" s="7">
        <f>48000*19/100+48000</f>
        <v>57120</v>
      </c>
      <c r="H29" s="7">
        <f>25193*19/100+25193</f>
        <v>29979.67</v>
      </c>
      <c r="I29" s="8">
        <f>50394*0.19+50394</f>
        <v>59968.86</v>
      </c>
      <c r="J29" s="9">
        <f t="shared" si="0"/>
        <v>14553.435035282269</v>
      </c>
      <c r="K29" s="10">
        <f t="shared" si="8"/>
        <v>52111.765999999989</v>
      </c>
      <c r="L29" s="11">
        <f t="shared" si="2"/>
        <v>0.27927349526558498</v>
      </c>
      <c r="M29" s="10">
        <f t="shared" si="3"/>
        <v>48042</v>
      </c>
      <c r="N29" s="10">
        <f t="shared" si="4"/>
        <v>48042</v>
      </c>
    </row>
    <row r="30" spans="1:14" ht="24" customHeight="1">
      <c r="A30" s="15">
        <v>22</v>
      </c>
      <c r="B30" s="13" t="s">
        <v>43</v>
      </c>
      <c r="C30" s="16" t="s">
        <v>18</v>
      </c>
      <c r="D30" s="18">
        <v>2</v>
      </c>
      <c r="E30" s="17">
        <f>15450*19/100+15450</f>
        <v>18385.5</v>
      </c>
      <c r="F30" s="7">
        <f>19360*19/100+19360</f>
        <v>23038.400000000001</v>
      </c>
      <c r="G30" s="7">
        <f>35000*19/100+35000</f>
        <v>41650</v>
      </c>
      <c r="H30" s="7">
        <f>25193*19/100+25193</f>
        <v>29979.67</v>
      </c>
      <c r="I30" s="8">
        <f>26874*0.19+26874</f>
        <v>31980.06</v>
      </c>
      <c r="J30" s="9">
        <f t="shared" si="0"/>
        <v>8917.2735396969802</v>
      </c>
      <c r="K30" s="10">
        <f t="shared" si="8"/>
        <v>29006.726000000002</v>
      </c>
      <c r="L30" s="11">
        <f t="shared" si="2"/>
        <v>0.30742089057886018</v>
      </c>
      <c r="M30" s="10">
        <f t="shared" si="3"/>
        <v>26820</v>
      </c>
      <c r="N30" s="10">
        <f t="shared" si="4"/>
        <v>53640</v>
      </c>
    </row>
    <row r="31" spans="1:14" ht="24" customHeight="1">
      <c r="A31" s="15">
        <v>23</v>
      </c>
      <c r="B31" s="13" t="s">
        <v>44</v>
      </c>
      <c r="C31" s="16" t="s">
        <v>18</v>
      </c>
      <c r="D31" s="18">
        <v>2</v>
      </c>
      <c r="E31" s="17">
        <f>22660*19/100+22660</f>
        <v>26965.4</v>
      </c>
      <c r="F31" s="7">
        <f>24200*19/100+24200</f>
        <v>28798</v>
      </c>
      <c r="G31" s="7">
        <f>47000*19/100+47000</f>
        <v>55930</v>
      </c>
      <c r="H31" s="7">
        <f>37990*19/100+37990</f>
        <v>45208.1</v>
      </c>
      <c r="I31" s="8">
        <f>46474*0.19+46474</f>
        <v>55304.06</v>
      </c>
      <c r="J31" s="9">
        <f t="shared" si="0"/>
        <v>13970.450245705037</v>
      </c>
      <c r="K31" s="10">
        <f t="shared" si="8"/>
        <v>42441.112000000001</v>
      </c>
      <c r="L31" s="11">
        <f t="shared" si="2"/>
        <v>0.32917257789345944</v>
      </c>
      <c r="M31" s="10">
        <f t="shared" si="3"/>
        <v>38494</v>
      </c>
      <c r="N31" s="10">
        <f t="shared" si="4"/>
        <v>76988</v>
      </c>
    </row>
    <row r="32" spans="1:14" ht="24" customHeight="1">
      <c r="A32" s="34" t="s">
        <v>45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6"/>
    </row>
    <row r="33" spans="1:14" ht="24" customHeight="1">
      <c r="A33" s="15">
        <v>24</v>
      </c>
      <c r="B33" s="13" t="s">
        <v>46</v>
      </c>
      <c r="C33" s="16" t="s">
        <v>18</v>
      </c>
      <c r="D33" s="18">
        <v>2</v>
      </c>
      <c r="E33" s="17">
        <f>27810*19/100+27810</f>
        <v>33093.9</v>
      </c>
      <c r="F33" s="7">
        <f>24200*19/100+24200</f>
        <v>28798</v>
      </c>
      <c r="G33" s="7">
        <f>35000*19/100+35000</f>
        <v>41650</v>
      </c>
      <c r="H33" s="7">
        <f>35837*19/100+35837</f>
        <v>42646.03</v>
      </c>
      <c r="I33" s="8">
        <f>75874*0.19+75874</f>
        <v>90290.06</v>
      </c>
      <c r="J33" s="9">
        <f t="shared" si="0"/>
        <v>24727.840483382686</v>
      </c>
      <c r="K33" s="10">
        <f t="shared" si="8"/>
        <v>47295.597999999998</v>
      </c>
      <c r="L33" s="11">
        <f t="shared" si="2"/>
        <v>0.52283598324272562</v>
      </c>
      <c r="M33" s="10">
        <f t="shared" si="3"/>
        <v>40494</v>
      </c>
      <c r="N33" s="10">
        <f t="shared" si="4"/>
        <v>80988</v>
      </c>
    </row>
    <row r="34" spans="1:14" ht="24" customHeight="1">
      <c r="A34" s="15">
        <v>25</v>
      </c>
      <c r="B34" s="13" t="s">
        <v>47</v>
      </c>
      <c r="C34" s="16" t="s">
        <v>18</v>
      </c>
      <c r="D34" s="18">
        <v>1</v>
      </c>
      <c r="E34" s="17">
        <f t="shared" ref="E34:E52" si="9">27810*19/100+27810</f>
        <v>33093.9</v>
      </c>
      <c r="F34" s="7">
        <f>65751*19/100+65751</f>
        <v>78243.69</v>
      </c>
      <c r="G34" s="7">
        <f>35000*19/100+35000</f>
        <v>41650</v>
      </c>
      <c r="H34" s="7">
        <f>32400*19/100+32400</f>
        <v>38556</v>
      </c>
      <c r="I34" s="8">
        <f>45074*0.19+45074</f>
        <v>53638.06</v>
      </c>
      <c r="J34" s="9">
        <f t="shared" si="0"/>
        <v>17977.778361391036</v>
      </c>
      <c r="K34" s="10">
        <f t="shared" si="8"/>
        <v>49036.33</v>
      </c>
      <c r="L34" s="11">
        <f t="shared" si="2"/>
        <v>0.36662161220856121</v>
      </c>
      <c r="M34" s="10">
        <f t="shared" si="3"/>
        <v>44808</v>
      </c>
      <c r="N34" s="10">
        <f t="shared" si="4"/>
        <v>44808</v>
      </c>
    </row>
    <row r="35" spans="1:14" ht="24" customHeight="1">
      <c r="A35" s="15">
        <v>26</v>
      </c>
      <c r="B35" s="13" t="s">
        <v>48</v>
      </c>
      <c r="C35" s="16" t="s">
        <v>18</v>
      </c>
      <c r="D35" s="18">
        <v>1</v>
      </c>
      <c r="E35" s="17">
        <f>36050*19/100+36050</f>
        <v>42899.5</v>
      </c>
      <c r="F35" s="7">
        <f>60500*19/100+60500</f>
        <v>71995</v>
      </c>
      <c r="G35" s="7">
        <f>48000*19/100+48000</f>
        <v>57120</v>
      </c>
      <c r="H35" s="7">
        <f t="shared" ref="H35:H37" si="10">32400*19/100+32400</f>
        <v>38556</v>
      </c>
      <c r="I35" s="8">
        <f>45074*0.19+45074</f>
        <v>53638.06</v>
      </c>
      <c r="J35" s="9">
        <f t="shared" si="0"/>
        <v>13121.69488251115</v>
      </c>
      <c r="K35" s="10">
        <f t="shared" si="8"/>
        <v>52841.712</v>
      </c>
      <c r="L35" s="11">
        <f t="shared" si="2"/>
        <v>0.24832077512006331</v>
      </c>
      <c r="M35" s="10">
        <f t="shared" si="3"/>
        <v>50359</v>
      </c>
      <c r="N35" s="10">
        <f t="shared" si="4"/>
        <v>50359</v>
      </c>
    </row>
    <row r="36" spans="1:14" ht="24" customHeight="1">
      <c r="A36" s="15">
        <v>27</v>
      </c>
      <c r="B36" s="13" t="s">
        <v>49</v>
      </c>
      <c r="C36" s="16" t="s">
        <v>18</v>
      </c>
      <c r="D36" s="18">
        <v>1</v>
      </c>
      <c r="E36" s="17">
        <f t="shared" si="9"/>
        <v>33093.9</v>
      </c>
      <c r="F36" s="7">
        <f>47916*19/100+47916</f>
        <v>57020.04</v>
      </c>
      <c r="G36" s="7">
        <f>50000*19/100+50000</f>
        <v>59500</v>
      </c>
      <c r="H36" s="7">
        <f t="shared" si="10"/>
        <v>38556</v>
      </c>
      <c r="I36" s="8">
        <f>75874*0.19+75874</f>
        <v>90290.06</v>
      </c>
      <c r="J36" s="9">
        <f t="shared" si="0"/>
        <v>22458.889830171927</v>
      </c>
      <c r="K36" s="10">
        <f t="shared" si="8"/>
        <v>55692</v>
      </c>
      <c r="L36" s="11">
        <f t="shared" si="2"/>
        <v>0.40326958683782099</v>
      </c>
      <c r="M36" s="10">
        <f t="shared" si="3"/>
        <v>49226</v>
      </c>
      <c r="N36" s="10">
        <f t="shared" si="4"/>
        <v>49226</v>
      </c>
    </row>
    <row r="37" spans="1:14" ht="24" customHeight="1">
      <c r="A37" s="15">
        <v>28</v>
      </c>
      <c r="B37" s="13" t="s">
        <v>50</v>
      </c>
      <c r="C37" s="16" t="s">
        <v>18</v>
      </c>
      <c r="D37" s="18">
        <v>1</v>
      </c>
      <c r="E37" s="17">
        <f t="shared" si="9"/>
        <v>33093.9</v>
      </c>
      <c r="F37" s="7">
        <f t="shared" ref="F37:F54" si="11">47916*19/100+47916</f>
        <v>57020.04</v>
      </c>
      <c r="G37" s="7">
        <f>59000*19/100+59000</f>
        <v>70210</v>
      </c>
      <c r="H37" s="7">
        <f t="shared" si="10"/>
        <v>38556</v>
      </c>
      <c r="I37" s="8">
        <f t="shared" ref="I37:I38" si="12">45074*0.19+45074</f>
        <v>53638.06</v>
      </c>
      <c r="J37" s="9">
        <f t="shared" si="0"/>
        <v>14886.855196575259</v>
      </c>
      <c r="K37" s="10">
        <f t="shared" si="8"/>
        <v>50503.6</v>
      </c>
      <c r="L37" s="11">
        <f t="shared" si="2"/>
        <v>0.29476819863485493</v>
      </c>
      <c r="M37" s="10">
        <f t="shared" si="3"/>
        <v>46914</v>
      </c>
      <c r="N37" s="10">
        <f t="shared" si="4"/>
        <v>46914</v>
      </c>
    </row>
    <row r="38" spans="1:14" ht="24" customHeight="1">
      <c r="A38" s="15">
        <v>29</v>
      </c>
      <c r="B38" s="13" t="s">
        <v>51</v>
      </c>
      <c r="C38" s="16" t="s">
        <v>18</v>
      </c>
      <c r="D38" s="18">
        <v>1</v>
      </c>
      <c r="E38" s="17">
        <f>46350*19/100+46350</f>
        <v>55156.5</v>
      </c>
      <c r="F38" s="7">
        <f t="shared" si="11"/>
        <v>57020.04</v>
      </c>
      <c r="G38" s="7">
        <f>46000*19/100+46000</f>
        <v>54740</v>
      </c>
      <c r="H38" s="7">
        <f>35837*19/100+35837</f>
        <v>42646.03</v>
      </c>
      <c r="I38" s="8">
        <f t="shared" si="12"/>
        <v>53638.06</v>
      </c>
      <c r="J38" s="9">
        <f t="shared" si="0"/>
        <v>5718.4587673760489</v>
      </c>
      <c r="K38" s="10">
        <f t="shared" si="8"/>
        <v>52640.126000000004</v>
      </c>
      <c r="L38" s="11">
        <f t="shared" si="2"/>
        <v>0.10863307522052756</v>
      </c>
      <c r="M38" s="10">
        <f t="shared" si="3"/>
        <v>52367</v>
      </c>
      <c r="N38" s="10">
        <f t="shared" si="4"/>
        <v>52367</v>
      </c>
    </row>
    <row r="39" spans="1:14" ht="24" customHeight="1">
      <c r="A39" s="15">
        <v>30</v>
      </c>
      <c r="B39" s="13" t="s">
        <v>52</v>
      </c>
      <c r="C39" s="16" t="s">
        <v>18</v>
      </c>
      <c r="D39" s="18">
        <v>2</v>
      </c>
      <c r="E39" s="17">
        <f t="shared" si="9"/>
        <v>33093.9</v>
      </c>
      <c r="F39" s="7">
        <f>36300*19/100+36300</f>
        <v>43197</v>
      </c>
      <c r="G39" s="7">
        <f>46000*19/100+46000</f>
        <v>54740</v>
      </c>
      <c r="H39" s="7">
        <f>36000*19/100+36000</f>
        <v>42840</v>
      </c>
      <c r="I39" s="8">
        <f>75874*0.19+75874</f>
        <v>90290.06</v>
      </c>
      <c r="J39" s="9">
        <f t="shared" si="0"/>
        <v>22299.173770508194</v>
      </c>
      <c r="K39" s="10">
        <f t="shared" si="8"/>
        <v>52832.191999999995</v>
      </c>
      <c r="L39" s="11">
        <f t="shared" si="2"/>
        <v>0.42207549841029113</v>
      </c>
      <c r="M39" s="10">
        <f t="shared" si="3"/>
        <v>47146</v>
      </c>
      <c r="N39" s="10">
        <f t="shared" si="4"/>
        <v>94292</v>
      </c>
    </row>
    <row r="40" spans="1:14" ht="24" customHeight="1">
      <c r="A40" s="15">
        <v>31</v>
      </c>
      <c r="B40" s="13" t="s">
        <v>53</v>
      </c>
      <c r="C40" s="16" t="s">
        <v>18</v>
      </c>
      <c r="D40" s="18">
        <v>2</v>
      </c>
      <c r="E40" s="17">
        <f t="shared" si="9"/>
        <v>33093.9</v>
      </c>
      <c r="F40" s="7">
        <f>36300*19/100+36300</f>
        <v>43197</v>
      </c>
      <c r="G40" s="7">
        <f>35000*19/100+35000</f>
        <v>41650</v>
      </c>
      <c r="H40" s="7">
        <f>36000*19/100+36000</f>
        <v>42840</v>
      </c>
      <c r="I40" s="8">
        <f t="shared" ref="I40:I42" si="13">45074*0.19+45074</f>
        <v>53638.06</v>
      </c>
      <c r="J40" s="9">
        <f t="shared" si="0"/>
        <v>7299.2897818431766</v>
      </c>
      <c r="K40" s="10">
        <f t="shared" si="8"/>
        <v>42883.792000000001</v>
      </c>
      <c r="L40" s="11">
        <f t="shared" si="2"/>
        <v>0.17021092215546554</v>
      </c>
      <c r="M40" s="10">
        <f t="shared" si="3"/>
        <v>42387</v>
      </c>
      <c r="N40" s="10">
        <f t="shared" si="4"/>
        <v>84774</v>
      </c>
    </row>
    <row r="41" spans="1:14" ht="24" customHeight="1">
      <c r="A41" s="15">
        <v>32</v>
      </c>
      <c r="B41" s="13" t="s">
        <v>54</v>
      </c>
      <c r="C41" s="16" t="s">
        <v>18</v>
      </c>
      <c r="D41" s="18">
        <v>1</v>
      </c>
      <c r="E41" s="17">
        <f t="shared" si="9"/>
        <v>33093.9</v>
      </c>
      <c r="F41" s="7">
        <f>33880*19/100+33880</f>
        <v>40317.199999999997</v>
      </c>
      <c r="G41" s="7">
        <f>35000*19/100+35000</f>
        <v>41650</v>
      </c>
      <c r="H41" s="7">
        <f>29242*19/100+29242</f>
        <v>34797.979999999996</v>
      </c>
      <c r="I41" s="8">
        <f t="shared" si="13"/>
        <v>53638.06</v>
      </c>
      <c r="J41" s="9">
        <f t="shared" si="0"/>
        <v>8079.7436230687081</v>
      </c>
      <c r="K41" s="10">
        <f t="shared" si="8"/>
        <v>40699.428</v>
      </c>
      <c r="L41" s="11">
        <f t="shared" si="2"/>
        <v>0.19852228938128338</v>
      </c>
      <c r="M41" s="10">
        <f t="shared" si="3"/>
        <v>40103</v>
      </c>
      <c r="N41" s="10">
        <f t="shared" si="4"/>
        <v>40103</v>
      </c>
    </row>
    <row r="42" spans="1:14" ht="24" customHeight="1">
      <c r="A42" s="15">
        <v>33</v>
      </c>
      <c r="B42" s="13" t="s">
        <v>55</v>
      </c>
      <c r="C42" s="16" t="s">
        <v>18</v>
      </c>
      <c r="D42" s="18">
        <v>2</v>
      </c>
      <c r="E42" s="17">
        <f t="shared" si="9"/>
        <v>33093.9</v>
      </c>
      <c r="F42" s="7">
        <f>36300*19/100+36300</f>
        <v>43197</v>
      </c>
      <c r="G42" s="7">
        <f>35000*19/100+35000</f>
        <v>41650</v>
      </c>
      <c r="H42" s="7">
        <f>36000*19/100+36000</f>
        <v>42840</v>
      </c>
      <c r="I42" s="8">
        <f t="shared" si="13"/>
        <v>53638.06</v>
      </c>
      <c r="J42" s="9">
        <f t="shared" si="0"/>
        <v>7299.2897818431766</v>
      </c>
      <c r="K42" s="10">
        <f t="shared" si="8"/>
        <v>42883.792000000001</v>
      </c>
      <c r="L42" s="11">
        <f t="shared" si="2"/>
        <v>0.17021092215546554</v>
      </c>
      <c r="M42" s="10">
        <f t="shared" si="3"/>
        <v>42387</v>
      </c>
      <c r="N42" s="10">
        <f t="shared" si="4"/>
        <v>84774</v>
      </c>
    </row>
    <row r="43" spans="1:14" ht="24" customHeight="1">
      <c r="A43" s="15">
        <v>34</v>
      </c>
      <c r="B43" s="13" t="s">
        <v>56</v>
      </c>
      <c r="C43" s="16" t="s">
        <v>18</v>
      </c>
      <c r="D43" s="18">
        <v>2</v>
      </c>
      <c r="E43" s="17">
        <f t="shared" si="9"/>
        <v>33093.9</v>
      </c>
      <c r="F43" s="7">
        <f>36300*19/100+36300</f>
        <v>43197</v>
      </c>
      <c r="G43" s="7">
        <f>35000*19/100+35000</f>
        <v>41650</v>
      </c>
      <c r="H43" s="7">
        <f>36000*19/100+36000</f>
        <v>42840</v>
      </c>
      <c r="I43" s="8">
        <f>75874*0.19+75874</f>
        <v>90290.06</v>
      </c>
      <c r="J43" s="9">
        <f t="shared" si="0"/>
        <v>22782.365274205396</v>
      </c>
      <c r="K43" s="10">
        <f t="shared" si="8"/>
        <v>50214.191999999995</v>
      </c>
      <c r="L43" s="11">
        <f t="shared" si="2"/>
        <v>0.45370371137716203</v>
      </c>
      <c r="M43" s="10">
        <f t="shared" si="3"/>
        <v>44725</v>
      </c>
      <c r="N43" s="10">
        <f t="shared" si="4"/>
        <v>89450</v>
      </c>
    </row>
    <row r="44" spans="1:14" ht="24" customHeight="1">
      <c r="A44" s="15">
        <v>35</v>
      </c>
      <c r="B44" s="13" t="s">
        <v>57</v>
      </c>
      <c r="C44" s="16" t="s">
        <v>18</v>
      </c>
      <c r="D44" s="18">
        <v>1</v>
      </c>
      <c r="E44" s="17">
        <f>36050*19/100+36050</f>
        <v>42899.5</v>
      </c>
      <c r="F44" s="7">
        <f t="shared" si="11"/>
        <v>57020.04</v>
      </c>
      <c r="G44" s="7">
        <f>78000*19/100+78000</f>
        <v>92820</v>
      </c>
      <c r="H44" s="7">
        <f t="shared" ref="H44" si="14">32400*19/100+32400</f>
        <v>38556</v>
      </c>
      <c r="I44" s="8">
        <f>45074*0.19+45074</f>
        <v>53638.06</v>
      </c>
      <c r="J44" s="9">
        <f t="shared" si="0"/>
        <v>21408.992249888837</v>
      </c>
      <c r="K44" s="10">
        <f t="shared" si="8"/>
        <v>56986.719999999994</v>
      </c>
      <c r="L44" s="11">
        <f t="shared" si="2"/>
        <v>0.37568388301500488</v>
      </c>
      <c r="M44" s="10">
        <f t="shared" si="3"/>
        <v>51974</v>
      </c>
      <c r="N44" s="10">
        <f t="shared" si="4"/>
        <v>51974</v>
      </c>
    </row>
    <row r="45" spans="1:14" ht="24" customHeight="1">
      <c r="A45" s="15">
        <v>36</v>
      </c>
      <c r="B45" s="13" t="s">
        <v>58</v>
      </c>
      <c r="C45" s="16" t="s">
        <v>18</v>
      </c>
      <c r="D45" s="18">
        <v>2</v>
      </c>
      <c r="E45" s="17">
        <f t="shared" si="9"/>
        <v>33093.9</v>
      </c>
      <c r="F45" s="7">
        <f>36300*19/100+36300</f>
        <v>43197</v>
      </c>
      <c r="G45" s="7">
        <f>35000*19/100+35000</f>
        <v>41650</v>
      </c>
      <c r="H45" s="7">
        <f>36000*19/100+36000</f>
        <v>42840</v>
      </c>
      <c r="I45" s="8">
        <f t="shared" ref="I45:I47" si="15">45074*0.19+45074</f>
        <v>53638.06</v>
      </c>
      <c r="J45" s="9">
        <f t="shared" si="0"/>
        <v>7299.2897818431766</v>
      </c>
      <c r="K45" s="10">
        <f t="shared" si="8"/>
        <v>42883.792000000001</v>
      </c>
      <c r="L45" s="11">
        <f t="shared" si="2"/>
        <v>0.17021092215546554</v>
      </c>
      <c r="M45" s="10">
        <f t="shared" si="3"/>
        <v>42387</v>
      </c>
      <c r="N45" s="10">
        <f t="shared" si="4"/>
        <v>84774</v>
      </c>
    </row>
    <row r="46" spans="1:14" ht="24" customHeight="1">
      <c r="A46" s="15">
        <v>37</v>
      </c>
      <c r="B46" s="13" t="s">
        <v>59</v>
      </c>
      <c r="C46" s="16" t="s">
        <v>18</v>
      </c>
      <c r="D46" s="18">
        <v>1</v>
      </c>
      <c r="E46" s="17">
        <f>46350*19/100+46350</f>
        <v>55156.5</v>
      </c>
      <c r="F46" s="7">
        <f t="shared" ref="F46:F47" si="16">36300*19/100+36300</f>
        <v>43197</v>
      </c>
      <c r="G46" s="7">
        <f t="shared" ref="G46:G47" si="17">35000*19/100+35000</f>
        <v>41650</v>
      </c>
      <c r="H46" s="7">
        <f t="shared" ref="H46:H47" si="18">36000*19/100+36000</f>
        <v>42840</v>
      </c>
      <c r="I46" s="8">
        <f t="shared" si="15"/>
        <v>53638.06</v>
      </c>
      <c r="J46" s="9">
        <f t="shared" si="0"/>
        <v>6529.62935025563</v>
      </c>
      <c r="K46" s="10">
        <f t="shared" si="8"/>
        <v>47296.311999999998</v>
      </c>
      <c r="L46" s="11">
        <f t="shared" si="2"/>
        <v>0.13805789657036324</v>
      </c>
      <c r="M46" s="10">
        <f t="shared" si="3"/>
        <v>46946</v>
      </c>
      <c r="N46" s="10">
        <f t="shared" si="4"/>
        <v>46946</v>
      </c>
    </row>
    <row r="47" spans="1:14" ht="24" customHeight="1">
      <c r="A47" s="15">
        <v>38</v>
      </c>
      <c r="B47" s="13" t="s">
        <v>60</v>
      </c>
      <c r="C47" s="16" t="s">
        <v>18</v>
      </c>
      <c r="D47" s="18">
        <v>1</v>
      </c>
      <c r="E47" s="17">
        <f t="shared" si="9"/>
        <v>33093.9</v>
      </c>
      <c r="F47" s="7">
        <f t="shared" si="16"/>
        <v>43197</v>
      </c>
      <c r="G47" s="7">
        <f t="shared" si="17"/>
        <v>41650</v>
      </c>
      <c r="H47" s="7">
        <f t="shared" si="18"/>
        <v>42840</v>
      </c>
      <c r="I47" s="8">
        <f t="shared" si="15"/>
        <v>53638.06</v>
      </c>
      <c r="J47" s="9">
        <f t="shared" si="0"/>
        <v>7299.2897818431766</v>
      </c>
      <c r="K47" s="10">
        <f t="shared" si="8"/>
        <v>42883.792000000001</v>
      </c>
      <c r="L47" s="11">
        <f t="shared" si="2"/>
        <v>0.17021092215546554</v>
      </c>
      <c r="M47" s="10">
        <f t="shared" si="3"/>
        <v>42387</v>
      </c>
      <c r="N47" s="10">
        <f t="shared" si="4"/>
        <v>42387</v>
      </c>
    </row>
    <row r="48" spans="1:14" ht="24" customHeight="1">
      <c r="A48" s="15">
        <v>39</v>
      </c>
      <c r="B48" s="13" t="s">
        <v>61</v>
      </c>
      <c r="C48" s="16" t="s">
        <v>18</v>
      </c>
      <c r="D48" s="18">
        <v>2</v>
      </c>
      <c r="E48" s="17">
        <f>46350*19/100+46350</f>
        <v>55156.5</v>
      </c>
      <c r="F48" s="7">
        <f>60500*19/100+60500</f>
        <v>71995</v>
      </c>
      <c r="G48" s="7">
        <f>74000*19/100+74000</f>
        <v>88060</v>
      </c>
      <c r="H48" s="7">
        <f>45600*19/100+45600</f>
        <v>54264</v>
      </c>
      <c r="I48" s="8">
        <f>75874*19/100+75874</f>
        <v>90290.06</v>
      </c>
      <c r="J48" s="9">
        <f t="shared" si="0"/>
        <v>17253.319359118104</v>
      </c>
      <c r="K48" s="10">
        <f t="shared" si="8"/>
        <v>71953.111999999994</v>
      </c>
      <c r="L48" s="11">
        <f t="shared" si="2"/>
        <v>0.23978558924759372</v>
      </c>
      <c r="M48" s="10">
        <f t="shared" si="3"/>
        <v>68606</v>
      </c>
      <c r="N48" s="10">
        <f t="shared" si="4"/>
        <v>137212</v>
      </c>
    </row>
    <row r="49" spans="1:14" ht="24" customHeight="1">
      <c r="A49" s="15">
        <v>40</v>
      </c>
      <c r="B49" s="13" t="s">
        <v>62</v>
      </c>
      <c r="C49" s="16" t="s">
        <v>18</v>
      </c>
      <c r="D49" s="18">
        <v>1</v>
      </c>
      <c r="E49" s="17">
        <f t="shared" si="9"/>
        <v>33093.9</v>
      </c>
      <c r="F49" s="7">
        <f>47916*19/100+47916</f>
        <v>57020.04</v>
      </c>
      <c r="G49" s="7">
        <f>35000*19/100+35000</f>
        <v>41650</v>
      </c>
      <c r="H49" s="7">
        <f t="shared" ref="H49" si="19">32400*19/100+32400</f>
        <v>38556</v>
      </c>
      <c r="I49" s="8">
        <f>45074*0.19+45074</f>
        <v>53638.06</v>
      </c>
      <c r="J49" s="9">
        <f t="shared" si="0"/>
        <v>10165.912927219069</v>
      </c>
      <c r="K49" s="10">
        <f t="shared" si="8"/>
        <v>44791.6</v>
      </c>
      <c r="L49" s="11">
        <f t="shared" si="2"/>
        <v>0.22696025431596706</v>
      </c>
      <c r="M49" s="10">
        <f t="shared" si="3"/>
        <v>42976</v>
      </c>
      <c r="N49" s="10">
        <f t="shared" si="4"/>
        <v>42976</v>
      </c>
    </row>
    <row r="50" spans="1:14" ht="24" customHeight="1">
      <c r="A50" s="15">
        <v>41</v>
      </c>
      <c r="B50" s="13" t="s">
        <v>63</v>
      </c>
      <c r="C50" s="16" t="s">
        <v>18</v>
      </c>
      <c r="D50" s="18">
        <v>2</v>
      </c>
      <c r="E50" s="17">
        <f t="shared" si="9"/>
        <v>33093.9</v>
      </c>
      <c r="F50" s="7">
        <f>36300*19/100+36300</f>
        <v>43197</v>
      </c>
      <c r="G50" s="7">
        <f t="shared" ref="G50:G52" si="20">35000*19/100+35000</f>
        <v>41650</v>
      </c>
      <c r="H50" s="7">
        <f t="shared" ref="H50:H52" si="21">36000*19/100+36000</f>
        <v>42840</v>
      </c>
      <c r="I50" s="8">
        <f t="shared" ref="I50:I51" si="22">45074*0.19+45074</f>
        <v>53638.06</v>
      </c>
      <c r="J50" s="9">
        <f t="shared" si="0"/>
        <v>7299.2897818431766</v>
      </c>
      <c r="K50" s="10">
        <f t="shared" si="8"/>
        <v>42883.792000000001</v>
      </c>
      <c r="L50" s="11">
        <f t="shared" si="2"/>
        <v>0.17021092215546554</v>
      </c>
      <c r="M50" s="10">
        <f t="shared" si="3"/>
        <v>42387</v>
      </c>
      <c r="N50" s="10">
        <f t="shared" si="4"/>
        <v>84774</v>
      </c>
    </row>
    <row r="51" spans="1:14" ht="24" customHeight="1">
      <c r="A51" s="15">
        <v>42</v>
      </c>
      <c r="B51" s="13" t="s">
        <v>64</v>
      </c>
      <c r="C51" s="16" t="s">
        <v>18</v>
      </c>
      <c r="D51" s="18">
        <v>2</v>
      </c>
      <c r="E51" s="17">
        <f t="shared" si="9"/>
        <v>33093.9</v>
      </c>
      <c r="F51" s="7">
        <f>36300*19/100+36300</f>
        <v>43197</v>
      </c>
      <c r="G51" s="7">
        <f t="shared" si="20"/>
        <v>41650</v>
      </c>
      <c r="H51" s="7">
        <f t="shared" si="21"/>
        <v>42840</v>
      </c>
      <c r="I51" s="8">
        <f t="shared" si="22"/>
        <v>53638.06</v>
      </c>
      <c r="J51" s="9">
        <f t="shared" si="0"/>
        <v>7299.2897818431766</v>
      </c>
      <c r="K51" s="10">
        <f t="shared" si="8"/>
        <v>42883.792000000001</v>
      </c>
      <c r="L51" s="11">
        <f t="shared" si="2"/>
        <v>0.17021092215546554</v>
      </c>
      <c r="M51" s="10">
        <f t="shared" si="3"/>
        <v>42387</v>
      </c>
      <c r="N51" s="10">
        <f t="shared" si="4"/>
        <v>84774</v>
      </c>
    </row>
    <row r="52" spans="1:14" ht="24" customHeight="1">
      <c r="A52" s="15">
        <v>43</v>
      </c>
      <c r="B52" s="13" t="s">
        <v>65</v>
      </c>
      <c r="C52" s="16" t="s">
        <v>18</v>
      </c>
      <c r="D52" s="18">
        <v>2</v>
      </c>
      <c r="E52" s="17">
        <f t="shared" si="9"/>
        <v>33093.9</v>
      </c>
      <c r="F52" s="7">
        <f>36300*19/100+36300</f>
        <v>43197</v>
      </c>
      <c r="G52" s="7">
        <f t="shared" si="20"/>
        <v>41650</v>
      </c>
      <c r="H52" s="7">
        <f t="shared" si="21"/>
        <v>42840</v>
      </c>
      <c r="I52" s="8">
        <f>75874*0.19+75874</f>
        <v>90290.06</v>
      </c>
      <c r="J52" s="9">
        <f t="shared" si="0"/>
        <v>22782.365274205396</v>
      </c>
      <c r="K52" s="10">
        <f t="shared" si="8"/>
        <v>50214.191999999995</v>
      </c>
      <c r="L52" s="11">
        <f t="shared" si="2"/>
        <v>0.45370371137716203</v>
      </c>
      <c r="M52" s="10">
        <f t="shared" si="3"/>
        <v>44725</v>
      </c>
      <c r="N52" s="10">
        <f t="shared" si="4"/>
        <v>89450</v>
      </c>
    </row>
    <row r="53" spans="1:14" ht="24" customHeight="1">
      <c r="A53" s="15">
        <v>44</v>
      </c>
      <c r="B53" s="13" t="s">
        <v>66</v>
      </c>
      <c r="C53" s="16" t="s">
        <v>18</v>
      </c>
      <c r="D53" s="18">
        <v>1</v>
      </c>
      <c r="E53" s="17">
        <f>36050*19/100+36050</f>
        <v>42899.5</v>
      </c>
      <c r="F53" s="7">
        <f>60500*19/100+60500</f>
        <v>71995</v>
      </c>
      <c r="G53" s="7">
        <f>53000*19/100+53000</f>
        <v>63070</v>
      </c>
      <c r="H53" s="7">
        <f t="shared" ref="H53:H54" si="23">32400*19/100+32400</f>
        <v>38556</v>
      </c>
      <c r="I53" s="8">
        <f t="shared" ref="I53:I55" si="24">45074*0.19+45074</f>
        <v>53638.06</v>
      </c>
      <c r="J53" s="9">
        <f t="shared" si="0"/>
        <v>13855.947581804699</v>
      </c>
      <c r="K53" s="10">
        <f t="shared" si="8"/>
        <v>54031.712</v>
      </c>
      <c r="L53" s="11">
        <f t="shared" si="2"/>
        <v>0.25644102451916939</v>
      </c>
      <c r="M53" s="10">
        <f t="shared" si="3"/>
        <v>51211</v>
      </c>
      <c r="N53" s="10">
        <f t="shared" si="4"/>
        <v>51211</v>
      </c>
    </row>
    <row r="54" spans="1:14" ht="24" customHeight="1">
      <c r="A54" s="15">
        <v>45</v>
      </c>
      <c r="B54" s="13" t="s">
        <v>67</v>
      </c>
      <c r="C54" s="16" t="s">
        <v>18</v>
      </c>
      <c r="D54" s="18">
        <v>1</v>
      </c>
      <c r="E54" s="17">
        <f>46350*19/100+46350</f>
        <v>55156.5</v>
      </c>
      <c r="F54" s="7">
        <f t="shared" si="11"/>
        <v>57020.04</v>
      </c>
      <c r="G54" s="7">
        <f>70000*19/100+70000</f>
        <v>83300</v>
      </c>
      <c r="H54" s="7">
        <f t="shared" si="23"/>
        <v>38556</v>
      </c>
      <c r="I54" s="8">
        <f t="shared" si="24"/>
        <v>53638.06</v>
      </c>
      <c r="J54" s="9">
        <f t="shared" si="0"/>
        <v>16164.360871553206</v>
      </c>
      <c r="K54" s="10">
        <f t="shared" si="8"/>
        <v>57534.119999999995</v>
      </c>
      <c r="L54" s="11">
        <f t="shared" si="2"/>
        <v>0.28095260467272654</v>
      </c>
      <c r="M54" s="10">
        <f t="shared" si="3"/>
        <v>54199</v>
      </c>
      <c r="N54" s="10">
        <f t="shared" si="4"/>
        <v>54199</v>
      </c>
    </row>
    <row r="55" spans="1:14" ht="24" customHeight="1">
      <c r="A55" s="15">
        <v>46</v>
      </c>
      <c r="B55" s="13" t="s">
        <v>68</v>
      </c>
      <c r="C55" s="16" t="s">
        <v>18</v>
      </c>
      <c r="D55" s="18">
        <v>1</v>
      </c>
      <c r="E55" s="17">
        <f>36050*19/100+36050</f>
        <v>42899.5</v>
      </c>
      <c r="F55" s="7">
        <f>7150*19/100+7150</f>
        <v>8508.5</v>
      </c>
      <c r="G55" s="7">
        <f>46000*19/100+46000</f>
        <v>54740</v>
      </c>
      <c r="H55" s="7">
        <f t="shared" ref="H55" si="25">36000*19/100+36000</f>
        <v>42840</v>
      </c>
      <c r="I55" s="8">
        <f t="shared" si="24"/>
        <v>53638.06</v>
      </c>
      <c r="J55" s="9">
        <f t="shared" si="0"/>
        <v>18775.464806755648</v>
      </c>
      <c r="K55" s="10">
        <f t="shared" si="8"/>
        <v>40525.212</v>
      </c>
      <c r="L55" s="11">
        <f t="shared" si="2"/>
        <v>0.46330330873421832</v>
      </c>
      <c r="M55" s="10">
        <f t="shared" si="3"/>
        <v>24864</v>
      </c>
      <c r="N55" s="10">
        <f t="shared" si="4"/>
        <v>24864</v>
      </c>
    </row>
    <row r="56" spans="1:14" ht="24" customHeight="1">
      <c r="A56" s="34" t="s">
        <v>69</v>
      </c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6"/>
    </row>
    <row r="57" spans="1:14" ht="24" customHeight="1">
      <c r="A57" s="15">
        <v>47</v>
      </c>
      <c r="B57" s="13" t="s">
        <v>70</v>
      </c>
      <c r="C57" s="16" t="s">
        <v>18</v>
      </c>
      <c r="D57" s="18">
        <v>2</v>
      </c>
      <c r="E57" s="17">
        <f>8240*19/100+8240</f>
        <v>9805.6</v>
      </c>
      <c r="F57" s="7">
        <f>12100*19/100+12100</f>
        <v>14399</v>
      </c>
      <c r="G57" s="7">
        <f>28000*19/100+28000</f>
        <v>33320</v>
      </c>
      <c r="H57" s="7">
        <f>10944*19/100+10944</f>
        <v>13023.36</v>
      </c>
      <c r="I57" s="8">
        <f>24074*0.19+24074</f>
        <v>28648.06</v>
      </c>
      <c r="J57" s="9">
        <f t="shared" si="0"/>
        <v>10440.935818272234</v>
      </c>
      <c r="K57" s="10">
        <f t="shared" si="8"/>
        <v>19839.203999999998</v>
      </c>
      <c r="L57" s="11">
        <f t="shared" si="2"/>
        <v>0.52627796046011899</v>
      </c>
      <c r="M57" s="10">
        <f t="shared" si="3"/>
        <v>15968</v>
      </c>
      <c r="N57" s="10">
        <f t="shared" si="4"/>
        <v>31936</v>
      </c>
    </row>
    <row r="58" spans="1:14" ht="24" customHeight="1">
      <c r="A58" s="15">
        <v>48</v>
      </c>
      <c r="B58" s="13" t="s">
        <v>71</v>
      </c>
      <c r="C58" s="16" t="s">
        <v>18</v>
      </c>
      <c r="D58" s="18">
        <v>2</v>
      </c>
      <c r="E58" s="17">
        <f t="shared" ref="E58:E60" si="26">8240*19/100+8240</f>
        <v>9805.6</v>
      </c>
      <c r="F58" s="7">
        <f t="shared" ref="F58:F60" si="27">12100*19/100+12100</f>
        <v>14399</v>
      </c>
      <c r="G58" s="7">
        <f t="shared" ref="G58" si="28">28000*19/100+28000</f>
        <v>33320</v>
      </c>
      <c r="H58" s="7">
        <f>9600*19/100+9600</f>
        <v>11424</v>
      </c>
      <c r="I58" s="8">
        <f>24074*0.19+24074</f>
        <v>28648.06</v>
      </c>
      <c r="J58" s="9">
        <f t="shared" si="0"/>
        <v>10722.650109610027</v>
      </c>
      <c r="K58" s="10">
        <f t="shared" si="8"/>
        <v>19519.332000000002</v>
      </c>
      <c r="L58" s="11">
        <f t="shared" si="2"/>
        <v>0.54933489064123842</v>
      </c>
      <c r="M58" s="10">
        <f t="shared" si="3"/>
        <v>15438</v>
      </c>
      <c r="N58" s="10">
        <f t="shared" si="4"/>
        <v>30876</v>
      </c>
    </row>
    <row r="59" spans="1:14" ht="24" customHeight="1">
      <c r="A59" s="15">
        <v>49</v>
      </c>
      <c r="B59" s="13" t="s">
        <v>72</v>
      </c>
      <c r="C59" s="16" t="s">
        <v>18</v>
      </c>
      <c r="D59" s="18">
        <v>2</v>
      </c>
      <c r="E59" s="17">
        <f t="shared" si="26"/>
        <v>9805.6</v>
      </c>
      <c r="F59" s="7">
        <f t="shared" si="27"/>
        <v>14399</v>
      </c>
      <c r="G59" s="7">
        <f>29000*19/100+29000</f>
        <v>34510</v>
      </c>
      <c r="H59" s="7">
        <f>14466*19/100+14466</f>
        <v>17214.54</v>
      </c>
      <c r="I59" s="8">
        <f>25474*0.19+25474</f>
        <v>30314.06</v>
      </c>
      <c r="J59" s="9">
        <f t="shared" si="0"/>
        <v>10632.264624801248</v>
      </c>
      <c r="K59" s="10">
        <f t="shared" si="8"/>
        <v>21248.639999999999</v>
      </c>
      <c r="L59" s="11">
        <f t="shared" si="2"/>
        <v>0.50037388862540133</v>
      </c>
      <c r="M59" s="10">
        <f t="shared" si="3"/>
        <v>17153</v>
      </c>
      <c r="N59" s="10">
        <f t="shared" si="4"/>
        <v>34306</v>
      </c>
    </row>
    <row r="60" spans="1:14" ht="24" customHeight="1">
      <c r="A60" s="15">
        <v>50</v>
      </c>
      <c r="B60" s="13" t="s">
        <v>73</v>
      </c>
      <c r="C60" s="16" t="s">
        <v>18</v>
      </c>
      <c r="D60" s="18">
        <v>2</v>
      </c>
      <c r="E60" s="17">
        <f t="shared" si="26"/>
        <v>9805.6</v>
      </c>
      <c r="F60" s="7">
        <f t="shared" si="27"/>
        <v>14399</v>
      </c>
      <c r="G60" s="7">
        <f>29000*19/100+29000</f>
        <v>34510</v>
      </c>
      <c r="H60" s="7">
        <f>7800*19/100+7800</f>
        <v>9282</v>
      </c>
      <c r="I60" s="8">
        <f>25474*0.19+25474</f>
        <v>30314.06</v>
      </c>
      <c r="J60" s="9">
        <f t="shared" si="0"/>
        <v>11900.857911475121</v>
      </c>
      <c r="K60" s="10">
        <f t="shared" si="8"/>
        <v>19662.132000000001</v>
      </c>
      <c r="L60" s="11">
        <f t="shared" si="2"/>
        <v>0.60526792880218283</v>
      </c>
      <c r="M60" s="10">
        <f t="shared" si="3"/>
        <v>14657</v>
      </c>
      <c r="N60" s="10">
        <f t="shared" si="4"/>
        <v>29314</v>
      </c>
    </row>
    <row r="61" spans="1:14" ht="24" customHeight="1">
      <c r="A61" s="15">
        <v>51</v>
      </c>
      <c r="B61" s="13" t="s">
        <v>74</v>
      </c>
      <c r="C61" s="16" t="s">
        <v>18</v>
      </c>
      <c r="D61" s="18">
        <v>2</v>
      </c>
      <c r="E61" s="17">
        <f>25750*19/100+25750</f>
        <v>30642.5</v>
      </c>
      <c r="F61" s="7">
        <f>26620*19/100+26620</f>
        <v>31677.8</v>
      </c>
      <c r="G61" s="7">
        <f>39000*19/100+39000</f>
        <v>46410</v>
      </c>
      <c r="H61" s="7">
        <f>17842*19/100+17842</f>
        <v>21231.98</v>
      </c>
      <c r="I61" s="8">
        <f>40874*0.19+40874</f>
        <v>48640.06</v>
      </c>
      <c r="J61" s="9">
        <f t="shared" si="0"/>
        <v>11545.855965657987</v>
      </c>
      <c r="K61" s="10">
        <f t="shared" si="8"/>
        <v>35720.468000000001</v>
      </c>
      <c r="L61" s="11">
        <f t="shared" si="2"/>
        <v>0.32322801497611919</v>
      </c>
      <c r="M61" s="10">
        <f t="shared" si="3"/>
        <v>32593</v>
      </c>
      <c r="N61" s="10">
        <f t="shared" si="4"/>
        <v>65186</v>
      </c>
    </row>
    <row r="62" spans="1:14" ht="24" customHeight="1">
      <c r="A62" s="34" t="s">
        <v>75</v>
      </c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6"/>
    </row>
    <row r="63" spans="1:14" ht="31.5" customHeight="1">
      <c r="A63" s="15">
        <v>52</v>
      </c>
      <c r="B63" s="13" t="s">
        <v>76</v>
      </c>
      <c r="C63" s="16" t="s">
        <v>18</v>
      </c>
      <c r="D63" s="18">
        <v>2</v>
      </c>
      <c r="E63" s="17">
        <f>750000*19/100+750000</f>
        <v>892500</v>
      </c>
      <c r="F63" s="17">
        <f>1800000*19/100+1800000</f>
        <v>2142000</v>
      </c>
      <c r="G63" s="7">
        <f>330000*19/100+330000</f>
        <v>392700</v>
      </c>
      <c r="H63" s="7">
        <f>2561150*19/100+2561150</f>
        <v>3047768.5</v>
      </c>
      <c r="I63" s="8">
        <f>300000*0.19+300000</f>
        <v>357000</v>
      </c>
      <c r="J63" s="9">
        <f t="shared" si="0"/>
        <v>1185339.2607808325</v>
      </c>
      <c r="K63" s="10">
        <f t="shared" si="8"/>
        <v>1366393.7</v>
      </c>
      <c r="L63" s="11">
        <f t="shared" si="2"/>
        <v>0.86749467652026835</v>
      </c>
      <c r="M63" s="10">
        <f t="shared" si="3"/>
        <v>688420</v>
      </c>
      <c r="N63" s="10">
        <f t="shared" si="4"/>
        <v>1376840</v>
      </c>
    </row>
    <row r="64" spans="1:14" ht="38.25" customHeight="1">
      <c r="A64" s="26" t="s">
        <v>77</v>
      </c>
      <c r="B64" s="27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9"/>
      <c r="N64" s="19">
        <f>SUM(N5:N63)</f>
        <v>8474088</v>
      </c>
    </row>
    <row r="65" spans="1:14">
      <c r="A65" s="1"/>
      <c r="B65" s="20"/>
      <c r="C65" s="21"/>
      <c r="D65" s="21"/>
      <c r="E65" s="21"/>
      <c r="F65" s="21"/>
      <c r="G65" s="21"/>
      <c r="H65" s="21"/>
      <c r="I65" s="22"/>
    </row>
    <row r="66" spans="1:14">
      <c r="A66" s="1"/>
      <c r="B66" s="20"/>
      <c r="C66" s="21"/>
      <c r="D66" s="21"/>
      <c r="E66" s="22"/>
      <c r="F66" s="22"/>
      <c r="G66" s="22"/>
      <c r="H66" s="22"/>
      <c r="I66" s="22"/>
    </row>
    <row r="67" spans="1:14">
      <c r="A67" s="1"/>
      <c r="B67" s="20"/>
      <c r="C67" s="21"/>
      <c r="D67" s="21"/>
      <c r="E67" s="21"/>
      <c r="F67" s="21"/>
      <c r="G67" s="21"/>
      <c r="H67" s="21"/>
      <c r="N67" s="23"/>
    </row>
    <row r="68" spans="1:14">
      <c r="A68" s="1"/>
      <c r="B68" s="20"/>
      <c r="C68" s="23"/>
      <c r="D68" s="23"/>
      <c r="E68" s="23"/>
      <c r="F68" s="23"/>
      <c r="G68" s="23"/>
      <c r="H68" s="23"/>
    </row>
    <row r="69" spans="1:14">
      <c r="A69" s="1"/>
      <c r="K69" s="23"/>
      <c r="L69" s="23"/>
    </row>
    <row r="70" spans="1:14">
      <c r="A70" s="1"/>
    </row>
    <row r="71" spans="1:14">
      <c r="A71" s="1"/>
    </row>
    <row r="72" spans="1:14">
      <c r="A72" s="1"/>
      <c r="M72" s="24"/>
    </row>
    <row r="73" spans="1:14">
      <c r="A73" s="1"/>
    </row>
    <row r="74" spans="1:14">
      <c r="A74" s="1"/>
    </row>
    <row r="75" spans="1:14">
      <c r="A75" s="1"/>
    </row>
    <row r="76" spans="1:14">
      <c r="A76" s="1"/>
    </row>
    <row r="77" spans="1:14">
      <c r="A77" s="1"/>
    </row>
    <row r="78" spans="1:14">
      <c r="A78" s="1"/>
    </row>
    <row r="79" spans="1:14">
      <c r="A79" s="1"/>
    </row>
    <row r="80" spans="1:14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</sheetData>
  <mergeCells count="19">
    <mergeCell ref="A32:N32"/>
    <mergeCell ref="A4:N4"/>
    <mergeCell ref="A18:N18"/>
    <mergeCell ref="A64:M64"/>
    <mergeCell ref="A1:N1"/>
    <mergeCell ref="A2:A3"/>
    <mergeCell ref="B2:B3"/>
    <mergeCell ref="C2:C3"/>
    <mergeCell ref="D2:D3"/>
    <mergeCell ref="J2:J3"/>
    <mergeCell ref="K2:K3"/>
    <mergeCell ref="L2:L3"/>
    <mergeCell ref="M2:M3"/>
    <mergeCell ref="N2:N3"/>
    <mergeCell ref="A56:N56"/>
    <mergeCell ref="A62:N62"/>
    <mergeCell ref="A13:N13"/>
    <mergeCell ref="A21:N21"/>
    <mergeCell ref="A26:N26"/>
  </mergeCells>
  <pageMargins left="0.70866141732283472" right="0.70866141732283472" top="0.74803149606299213" bottom="0.74803149606299213" header="0.31496062992125984" footer="0.31496062992125984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Hernan David Salamanca Avila</dc:creator>
  <cp:keywords/>
  <dc:description/>
  <cp:lastModifiedBy>Faber Alonso Mora Beltran</cp:lastModifiedBy>
  <cp:revision/>
  <dcterms:created xsi:type="dcterms:W3CDTF">2021-12-20T22:24:41Z</dcterms:created>
  <dcterms:modified xsi:type="dcterms:W3CDTF">2022-11-24T16:57:13Z</dcterms:modified>
  <cp:category/>
  <cp:contentStatus/>
</cp:coreProperties>
</file>