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david\OneDrive\Desktop\1. AGUAS Y ASEO_2022\7. Precontractuales Obras\REDES SANTUARIO LP-05-2022\"/>
    </mc:Choice>
  </mc:AlternateContent>
  <xr:revisionPtr revIDLastSave="0" documentId="13_ncr:1_{D5DC5159-517C-4AA9-8C56-152EE8BFE632}" xr6:coauthVersionLast="47" xr6:coauthVersionMax="47" xr10:uidLastSave="{00000000-0000-0000-0000-000000000000}"/>
  <bookViews>
    <workbookView xWindow="28680" yWindow="-120" windowWidth="24240" windowHeight="13140" tabRatio="684" xr2:uid="{00000000-000D-0000-FFFF-FFFF00000000}"/>
  </bookViews>
  <sheets>
    <sheet name="Presupuesto_OFICIAL" sheetId="2" r:id="rId1"/>
    <sheet name="APUS" sheetId="7" r:id="rId2"/>
    <sheet name="AU" sheetId="10" r:id="rId3"/>
    <sheet name="Interventoria" sheetId="11" r:id="rId4"/>
    <sheet name="F.M. INTERV" sheetId="12" r:id="rId5"/>
    <sheet name="MO" sheetId="4" state="hidden" r:id="rId6"/>
    <sheet name="BD" sheetId="5" state="hidden" r:id="rId7"/>
    <sheet name="Cantidades" sheetId="1" state="hidden" r:id="rId8"/>
  </sheets>
  <externalReferences>
    <externalReference r:id="rId9"/>
    <externalReference r:id="rId10"/>
    <externalReference r:id="rId11"/>
  </externalReferences>
  <definedNames>
    <definedName name="_xlnm._FilterDatabase" localSheetId="1" hidden="1">APUS!$D$1:$D$538</definedName>
    <definedName name="_xlnm._FilterDatabase" localSheetId="6" hidden="1">BD!$A$29:$E$706</definedName>
    <definedName name="_xlnm._FilterDatabase" localSheetId="0" hidden="1">Presupuesto_OFICIAL!$A$6:$G$72</definedName>
    <definedName name="Analis">#REF!</definedName>
    <definedName name="Andres123">#REF!</definedName>
    <definedName name="_xlnm.Print_Area" localSheetId="1">APUS!$B$1:$I$539</definedName>
    <definedName name="_xlnm.Print_Area" localSheetId="2">AU!$A$1:$G$63</definedName>
    <definedName name="_xlnm.Print_Area" localSheetId="6">BD!$A$1:$F$706</definedName>
    <definedName name="_xlnm.Print_Area" localSheetId="3">Interventoria!$A$1:$G$38</definedName>
    <definedName name="_xlnm.Print_Area" localSheetId="5">MO!$A$1:$F$63</definedName>
    <definedName name="_xlnm.Print_Area" localSheetId="0">Presupuesto_OFICIAL!$A$1:$G$98</definedName>
    <definedName name="CompanyAddress" localSheetId="1">#REF!</definedName>
    <definedName name="CompanyAddress" localSheetId="5">#REF!</definedName>
    <definedName name="CompanyAddress">#REF!</definedName>
    <definedName name="CompanyCity" localSheetId="1">#REF!</definedName>
    <definedName name="CompanyCity" localSheetId="5">#REF!</definedName>
    <definedName name="CompanyCity">#REF!</definedName>
    <definedName name="CompanyContactsHeader">#REF!</definedName>
    <definedName name="CompanyCountry" localSheetId="1">#REF!</definedName>
    <definedName name="CompanyCountry" localSheetId="5">#REF!</definedName>
    <definedName name="CompanyCountry">#REF!</definedName>
    <definedName name="CompanyName" localSheetId="1">#REF!</definedName>
    <definedName name="CompanyName" localSheetId="5">#REF!</definedName>
    <definedName name="CompanyName">#REF!</definedName>
    <definedName name="CompanyState" localSheetId="1">#REF!</definedName>
    <definedName name="CompanyState" localSheetId="5">#REF!</definedName>
    <definedName name="CompanyState">#REF!</definedName>
    <definedName name="CompanyZip" localSheetId="1">#REF!</definedName>
    <definedName name="CompanyZip" localSheetId="5">#REF!</definedName>
    <definedName name="CompanyZip">#REF!</definedName>
    <definedName name="curva">"Chart 11"</definedName>
    <definedName name="DataDisplayed">"Ejemplo"</definedName>
    <definedName name="Slicer_Contact_Type">#N/A</definedName>
    <definedName name="solver_adj" localSheetId="3" hidden="1">Interventoria!#REF!</definedName>
    <definedName name="solver_adj" localSheetId="0" hidden="1">Presupuesto_OFICIAL!$F$86</definedName>
    <definedName name="solver_cvg" localSheetId="3" hidden="1">0.0001</definedName>
    <definedName name="solver_cvg" localSheetId="0" hidden="1">0.0001</definedName>
    <definedName name="solver_drv" localSheetId="3" hidden="1">1</definedName>
    <definedName name="solver_drv" localSheetId="0" hidden="1">1</definedName>
    <definedName name="solver_eng" localSheetId="3" hidden="1">1</definedName>
    <definedName name="solver_eng" localSheetId="0" hidden="1">1</definedName>
    <definedName name="solver_est" localSheetId="3" hidden="1">1</definedName>
    <definedName name="solver_est" localSheetId="0" hidden="1">1</definedName>
    <definedName name="solver_itr" localSheetId="3" hidden="1">2147483647</definedName>
    <definedName name="solver_itr" localSheetId="0" hidden="1">2147483647</definedName>
    <definedName name="solver_lhs1" localSheetId="3" hidden="1">Interventoria!$C$3</definedName>
    <definedName name="solver_lhs1" localSheetId="0" hidden="1">Presupuesto_OFICIAL!$G$86</definedName>
    <definedName name="solver_mip" localSheetId="3" hidden="1">2147483647</definedName>
    <definedName name="solver_mip" localSheetId="0" hidden="1">2147483647</definedName>
    <definedName name="solver_mni" localSheetId="3" hidden="1">30</definedName>
    <definedName name="solver_mni" localSheetId="0" hidden="1">30</definedName>
    <definedName name="solver_mrt" localSheetId="3" hidden="1">0.075</definedName>
    <definedName name="solver_mrt" localSheetId="0" hidden="1">0.075</definedName>
    <definedName name="solver_msl" localSheetId="3" hidden="1">2</definedName>
    <definedName name="solver_msl" localSheetId="0" hidden="1">2</definedName>
    <definedName name="solver_neg" localSheetId="3" hidden="1">1</definedName>
    <definedName name="solver_neg" localSheetId="0" hidden="1">1</definedName>
    <definedName name="solver_nod" localSheetId="3" hidden="1">2147483647</definedName>
    <definedName name="solver_nod" localSheetId="0" hidden="1">2147483647</definedName>
    <definedName name="solver_num" localSheetId="3" hidden="1">1</definedName>
    <definedName name="solver_num" localSheetId="0" hidden="1">1</definedName>
    <definedName name="solver_nwt" localSheetId="3" hidden="1">1</definedName>
    <definedName name="solver_nwt" localSheetId="0" hidden="1">1</definedName>
    <definedName name="solver_opt" localSheetId="3" hidden="1">Interventoria!#REF!</definedName>
    <definedName name="solver_opt" localSheetId="0" hidden="1">Presupuesto_OFICIAL!$F$86</definedName>
    <definedName name="solver_pre" localSheetId="3" hidden="1">0.000001</definedName>
    <definedName name="solver_pre" localSheetId="0" hidden="1">0.000001</definedName>
    <definedName name="solver_rbv" localSheetId="3" hidden="1">1</definedName>
    <definedName name="solver_rbv" localSheetId="0" hidden="1">1</definedName>
    <definedName name="solver_rel1" localSheetId="3" hidden="1">2</definedName>
    <definedName name="solver_rel1" localSheetId="0" hidden="1">2</definedName>
    <definedName name="solver_rhs1" localSheetId="3" hidden="1">Interventoria!$I$3</definedName>
    <definedName name="solver_rhs1" localSheetId="0" hidden="1">Presupuesto_OFICIAL!#REF!</definedName>
    <definedName name="solver_rlx" localSheetId="3" hidden="1">2</definedName>
    <definedName name="solver_rlx" localSheetId="0" hidden="1">2</definedName>
    <definedName name="solver_rsd" localSheetId="3" hidden="1">0</definedName>
    <definedName name="solver_rsd" localSheetId="0" hidden="1">0</definedName>
    <definedName name="solver_scl" localSheetId="3" hidden="1">1</definedName>
    <definedName name="solver_scl" localSheetId="0" hidden="1">1</definedName>
    <definedName name="solver_sho" localSheetId="3" hidden="1">2</definedName>
    <definedName name="solver_sho" localSheetId="0" hidden="1">2</definedName>
    <definedName name="solver_ssz" localSheetId="3" hidden="1">100</definedName>
    <definedName name="solver_ssz" localSheetId="0" hidden="1">100</definedName>
    <definedName name="solver_tim" localSheetId="3" hidden="1">2147483647</definedName>
    <definedName name="solver_tim" localSheetId="0" hidden="1">2147483647</definedName>
    <definedName name="solver_tol" localSheetId="3" hidden="1">0.01</definedName>
    <definedName name="solver_tol" localSheetId="0" hidden="1">0.01</definedName>
    <definedName name="solver_typ" localSheetId="3" hidden="1">1</definedName>
    <definedName name="solver_typ" localSheetId="0" hidden="1">1</definedName>
    <definedName name="solver_val" localSheetId="3" hidden="1">0</definedName>
    <definedName name="solver_val" localSheetId="0" hidden="1">0</definedName>
    <definedName name="solver_ver" localSheetId="3" hidden="1">3</definedName>
    <definedName name="solver_ver" localSheetId="0" hidden="1">3</definedName>
    <definedName name="tablonx" localSheetId="1">'[1]BASE DE DATOS'!#REF!</definedName>
    <definedName name="tablonx" localSheetId="2">'[2]Lista de Precios'!#REF!</definedName>
    <definedName name="tablonx" localSheetId="3">'[2]Lista de Precios'!#REF!</definedName>
    <definedName name="tablonx">BD!#REF!</definedName>
    <definedName name="_xlnm.Print_Titles" localSheetId="1">APUS!$1:$4</definedName>
    <definedName name="_xlnm.Print_Titles" localSheetId="2">AU!$1:$2</definedName>
    <definedName name="_xlnm.Print_Titles" localSheetId="6">BD!$A:$B,BD!$5:$5</definedName>
    <definedName name="_xlnm.Print_Titles" localSheetId="3">Interventoria!$1:$1</definedName>
    <definedName name="_xlnm.Print_Titles" localSheetId="0">Presupuesto_OFICIAL!$1:$6</definedName>
    <definedName name="x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4" i="2" l="1"/>
  <c r="E36" i="12"/>
  <c r="E26" i="12"/>
  <c r="E8" i="12"/>
  <c r="E24" i="12" s="1"/>
  <c r="E47" i="12" s="1"/>
  <c r="E49" i="12" l="1"/>
  <c r="E51" i="12" s="1"/>
  <c r="C70" i="2" l="1"/>
  <c r="F18" i="11"/>
  <c r="F17" i="11"/>
  <c r="F19" i="11" s="1"/>
  <c r="F22" i="11" s="1"/>
  <c r="E17" i="11"/>
  <c r="F16" i="11"/>
  <c r="F9" i="11"/>
  <c r="E8" i="11"/>
  <c r="F8" i="11" s="1"/>
  <c r="F7" i="11"/>
  <c r="E7" i="11"/>
  <c r="F10" i="11" l="1"/>
  <c r="F13" i="11" s="1"/>
  <c r="F25" i="11" s="1"/>
  <c r="F26" i="11" l="1"/>
  <c r="F27" i="11" s="1"/>
  <c r="C3" i="11" l="1"/>
  <c r="J52" i="10" l="1"/>
  <c r="G78" i="2"/>
  <c r="G71" i="2"/>
  <c r="G61" i="2"/>
  <c r="G51" i="2"/>
  <c r="G41" i="2"/>
  <c r="G40" i="2"/>
  <c r="G30" i="2"/>
  <c r="G31" i="2"/>
  <c r="G32" i="2"/>
  <c r="G33" i="2"/>
  <c r="G36" i="2"/>
  <c r="G38" i="2"/>
  <c r="G22" i="2"/>
  <c r="G12" i="2"/>
  <c r="G13" i="2"/>
  <c r="G14" i="2"/>
  <c r="G15" i="2"/>
  <c r="G16" i="2"/>
  <c r="G17" i="2"/>
  <c r="R12" i="1"/>
  <c r="P12" i="1"/>
  <c r="Q12" i="1"/>
  <c r="G39" i="2" l="1"/>
  <c r="S12" i="1"/>
  <c r="D66" i="7"/>
  <c r="D70" i="7"/>
  <c r="D69" i="7"/>
  <c r="D68" i="7"/>
  <c r="D65" i="7"/>
  <c r="I64" i="7"/>
  <c r="D64" i="7"/>
  <c r="A28" i="2" l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M8" i="1"/>
  <c r="M7" i="1"/>
  <c r="M6" i="1"/>
  <c r="C61" i="2" l="1"/>
  <c r="L12" i="1" l="1"/>
  <c r="F12" i="1"/>
  <c r="C12" i="1"/>
  <c r="J12" i="1" s="1"/>
  <c r="G8" i="1"/>
  <c r="I8" i="1" s="1"/>
  <c r="G7" i="1"/>
  <c r="I7" i="1" s="1"/>
  <c r="K12" i="1" l="1"/>
  <c r="D48" i="10"/>
  <c r="F48" i="10" s="1"/>
  <c r="D481" i="7" l="1"/>
  <c r="I473" i="7"/>
  <c r="I472" i="7"/>
  <c r="I471" i="7"/>
  <c r="I470" i="7"/>
  <c r="I469" i="7"/>
  <c r="I468" i="7"/>
  <c r="I467" i="7"/>
  <c r="I465" i="7"/>
  <c r="I464" i="7"/>
  <c r="I463" i="7"/>
  <c r="I462" i="7"/>
  <c r="I461" i="7"/>
  <c r="I460" i="7"/>
  <c r="I459" i="7"/>
  <c r="I458" i="7"/>
  <c r="I456" i="7"/>
  <c r="I455" i="7"/>
  <c r="I454" i="7"/>
  <c r="I453" i="7"/>
  <c r="I452" i="7"/>
  <c r="D201" i="7"/>
  <c r="I210" i="7"/>
  <c r="I209" i="7"/>
  <c r="I208" i="7"/>
  <c r="I207" i="7"/>
  <c r="I206" i="7"/>
  <c r="D206" i="7"/>
  <c r="I205" i="7"/>
  <c r="H204" i="7"/>
  <c r="I204" i="7" s="1"/>
  <c r="I203" i="7"/>
  <c r="H202" i="7"/>
  <c r="I202" i="7" s="1"/>
  <c r="H199" i="7"/>
  <c r="I199" i="7"/>
  <c r="I200" i="7" s="1"/>
  <c r="I198" i="7"/>
  <c r="I197" i="7"/>
  <c r="I196" i="7"/>
  <c r="D196" i="7"/>
  <c r="I195" i="7"/>
  <c r="H194" i="7"/>
  <c r="I194" i="7" s="1"/>
  <c r="I193" i="7"/>
  <c r="H192" i="7"/>
  <c r="I192" i="7" s="1"/>
  <c r="I186" i="7"/>
  <c r="I187" i="7"/>
  <c r="D189" i="7"/>
  <c r="I185" i="7"/>
  <c r="D184" i="7"/>
  <c r="D188" i="7"/>
  <c r="D310" i="7"/>
  <c r="D309" i="7"/>
  <c r="D125" i="7"/>
  <c r="D131" i="7"/>
  <c r="D130" i="7"/>
  <c r="D129" i="7"/>
  <c r="D128" i="7"/>
  <c r="H127" i="7"/>
  <c r="D127" i="7"/>
  <c r="H126" i="7"/>
  <c r="D126" i="7"/>
  <c r="D90" i="7"/>
  <c r="F96" i="7"/>
  <c r="I96" i="7" s="1"/>
  <c r="H95" i="7"/>
  <c r="I95" i="7" s="1"/>
  <c r="I91" i="7"/>
  <c r="D81" i="7"/>
  <c r="I88" i="7"/>
  <c r="I87" i="7"/>
  <c r="I83" i="7"/>
  <c r="I82" i="7"/>
  <c r="G457" i="7" l="1"/>
  <c r="G466" i="7"/>
  <c r="G451" i="7"/>
  <c r="G201" i="7"/>
  <c r="F71" i="2" s="1"/>
  <c r="I93" i="7"/>
  <c r="I94" i="7"/>
  <c r="C38" i="2" l="1"/>
  <c r="I74" i="7"/>
  <c r="I75" i="7"/>
  <c r="I76" i="7"/>
  <c r="I77" i="7"/>
  <c r="I73" i="7"/>
  <c r="H41" i="7"/>
  <c r="I41" i="7" s="1"/>
  <c r="H289" i="7"/>
  <c r="I289" i="7" s="1"/>
  <c r="H287" i="7"/>
  <c r="I287" i="7" s="1"/>
  <c r="H283" i="7"/>
  <c r="I283" i="7" s="1"/>
  <c r="H280" i="7"/>
  <c r="K274" i="7"/>
  <c r="D525" i="7"/>
  <c r="I524" i="7"/>
  <c r="I523" i="7"/>
  <c r="I522" i="7"/>
  <c r="I508" i="7"/>
  <c r="I509" i="7"/>
  <c r="I510" i="7"/>
  <c r="I511" i="7"/>
  <c r="D518" i="7"/>
  <c r="I517" i="7"/>
  <c r="I516" i="7"/>
  <c r="I515" i="7"/>
  <c r="I507" i="7"/>
  <c r="C15" i="2"/>
  <c r="D506" i="7"/>
  <c r="I496" i="7"/>
  <c r="I497" i="7"/>
  <c r="I498" i="7"/>
  <c r="I500" i="7"/>
  <c r="I499" i="7"/>
  <c r="I495" i="7"/>
  <c r="C13" i="2"/>
  <c r="C12" i="2"/>
  <c r="I489" i="7"/>
  <c r="I488" i="7"/>
  <c r="I487" i="7"/>
  <c r="I478" i="7"/>
  <c r="I480" i="7"/>
  <c r="D501" i="7"/>
  <c r="I479" i="7"/>
  <c r="I42" i="7" l="1"/>
  <c r="I43" i="7"/>
  <c r="G290" i="7"/>
  <c r="I290" i="7" s="1"/>
  <c r="G288" i="7"/>
  <c r="I288" i="7" s="1"/>
  <c r="D490" i="7"/>
  <c r="G40" i="7" l="1"/>
  <c r="G286" i="7"/>
  <c r="F32" i="2" s="1"/>
  <c r="C68" i="2" l="1"/>
  <c r="C29" i="2"/>
  <c r="A40" i="2"/>
  <c r="E11" i="10" l="1"/>
  <c r="F11" i="10" s="1"/>
  <c r="E10" i="10"/>
  <c r="F10" i="10" s="1"/>
  <c r="C11" i="2"/>
  <c r="E452" i="5"/>
  <c r="G14" i="7" s="1"/>
  <c r="I14" i="7" s="1"/>
  <c r="E68" i="5"/>
  <c r="G13" i="7" s="1"/>
  <c r="I13" i="7" s="1"/>
  <c r="H448" i="7"/>
  <c r="H439" i="7"/>
  <c r="H438" i="7"/>
  <c r="I438" i="7" s="1"/>
  <c r="H432" i="7"/>
  <c r="H431" i="7"/>
  <c r="H425" i="7"/>
  <c r="H419" i="7"/>
  <c r="D141" i="7"/>
  <c r="D140" i="7"/>
  <c r="H143" i="7"/>
  <c r="H137" i="7"/>
  <c r="G12" i="7" l="1"/>
  <c r="F11" i="2" s="1"/>
  <c r="G11" i="2" s="1"/>
  <c r="C26" i="2" l="1"/>
  <c r="A74" i="2"/>
  <c r="A75" i="2" s="1"/>
  <c r="A76" i="2" s="1"/>
  <c r="A77" i="2" s="1"/>
  <c r="A78" i="2" s="1"/>
  <c r="A79" i="2" s="1"/>
  <c r="C24" i="2"/>
  <c r="C25" i="2"/>
  <c r="H261" i="7"/>
  <c r="E42" i="5" l="1"/>
  <c r="M12" i="1" l="1"/>
  <c r="I6" i="1" l="1"/>
  <c r="C62" i="2" l="1"/>
  <c r="A61" i="2"/>
  <c r="A62" i="2" s="1"/>
  <c r="A63" i="2" s="1"/>
  <c r="A64" i="2" s="1"/>
  <c r="A65" i="2" s="1"/>
  <c r="A66" i="2" s="1"/>
  <c r="A67" i="2" s="1"/>
  <c r="A68" i="2" s="1"/>
  <c r="A69" i="2" s="1"/>
  <c r="D1" i="7" l="1"/>
  <c r="C1" i="10" l="1"/>
  <c r="F47" i="10"/>
  <c r="F46" i="10"/>
  <c r="E20" i="10"/>
  <c r="F20" i="10" s="1"/>
  <c r="E19" i="10"/>
  <c r="F19" i="10" s="1"/>
  <c r="E18" i="10"/>
  <c r="F18" i="10" s="1"/>
  <c r="E9" i="10"/>
  <c r="F9" i="10" s="1"/>
  <c r="F50" i="10" l="1"/>
  <c r="F22" i="10"/>
  <c r="C83" i="2" l="1"/>
  <c r="C82" i="2"/>
  <c r="C81" i="2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F82" i="2" l="1"/>
  <c r="G82" i="2" s="1"/>
  <c r="F81" i="2"/>
  <c r="G81" i="2" s="1"/>
  <c r="A54" i="2"/>
  <c r="A49" i="2"/>
  <c r="A43" i="2"/>
  <c r="A44" i="2" s="1"/>
  <c r="A45" i="2" s="1"/>
  <c r="A46" i="2" s="1"/>
  <c r="A47" i="2" s="1"/>
  <c r="A19" i="2"/>
  <c r="A20" i="2" s="1"/>
  <c r="A21" i="2" s="1"/>
  <c r="A22" i="2" s="1"/>
  <c r="A23" i="2" s="1"/>
  <c r="A24" i="2" s="1"/>
  <c r="A25" i="2" s="1"/>
  <c r="A26" i="2" s="1"/>
  <c r="A8" i="2"/>
  <c r="A9" i="2" s="1"/>
  <c r="A10" i="2" s="1"/>
  <c r="A11" i="2" s="1"/>
  <c r="A12" i="2" s="1"/>
  <c r="A13" i="2" s="1"/>
  <c r="A14" i="2" s="1"/>
  <c r="A15" i="2" s="1"/>
  <c r="A16" i="2" s="1"/>
  <c r="C8" i="2"/>
  <c r="C72" i="2"/>
  <c r="C67" i="2"/>
  <c r="C66" i="2"/>
  <c r="C65" i="2"/>
  <c r="C64" i="2"/>
  <c r="C63" i="2"/>
  <c r="C59" i="2"/>
  <c r="C58" i="2"/>
  <c r="C57" i="2"/>
  <c r="C56" i="2"/>
  <c r="C55" i="2"/>
  <c r="C54" i="2"/>
  <c r="C53" i="2"/>
  <c r="C52" i="2"/>
  <c r="C49" i="2"/>
  <c r="C47" i="2"/>
  <c r="C44" i="2"/>
  <c r="C36" i="2"/>
  <c r="C34" i="2"/>
  <c r="C33" i="2"/>
  <c r="C23" i="2"/>
  <c r="C21" i="2"/>
  <c r="C20" i="2"/>
  <c r="C19" i="2"/>
  <c r="C10" i="2"/>
  <c r="C9" i="2"/>
  <c r="D173" i="7"/>
  <c r="H37" i="7" l="1"/>
  <c r="H45" i="7"/>
  <c r="H411" i="7"/>
  <c r="D410" i="7"/>
  <c r="D409" i="7"/>
  <c r="H408" i="7"/>
  <c r="D408" i="7"/>
  <c r="D407" i="7"/>
  <c r="H406" i="7"/>
  <c r="D406" i="7"/>
  <c r="H219" i="7"/>
  <c r="D218" i="7"/>
  <c r="D217" i="7"/>
  <c r="D216" i="7"/>
  <c r="D215" i="7"/>
  <c r="H214" i="7"/>
  <c r="D214" i="7"/>
  <c r="D213" i="7"/>
  <c r="H212" i="7"/>
  <c r="D212" i="7"/>
  <c r="H380" i="7"/>
  <c r="D379" i="7"/>
  <c r="D378" i="7"/>
  <c r="D377" i="7"/>
  <c r="H376" i="7"/>
  <c r="D376" i="7"/>
  <c r="D375" i="7"/>
  <c r="H374" i="7"/>
  <c r="D374" i="7"/>
  <c r="D357" i="7"/>
  <c r="D358" i="7"/>
  <c r="D363" i="7"/>
  <c r="D364" i="7"/>
  <c r="H371" i="7"/>
  <c r="D370" i="7"/>
  <c r="D369" i="7"/>
  <c r="D368" i="7"/>
  <c r="H365" i="7"/>
  <c r="D362" i="7"/>
  <c r="H359" i="7"/>
  <c r="D356" i="7"/>
  <c r="E619" i="5"/>
  <c r="G368" i="7" s="1"/>
  <c r="I368" i="7" s="1"/>
  <c r="E618" i="5"/>
  <c r="G362" i="7" s="1"/>
  <c r="I362" i="7" s="1"/>
  <c r="E617" i="5"/>
  <c r="G356" i="7" s="1"/>
  <c r="I356" i="7" s="1"/>
  <c r="E616" i="5"/>
  <c r="H346" i="7"/>
  <c r="D345" i="7"/>
  <c r="D344" i="7"/>
  <c r="D343" i="7"/>
  <c r="H342" i="7"/>
  <c r="D342" i="7"/>
  <c r="D341" i="7"/>
  <c r="D340" i="7"/>
  <c r="H339" i="7"/>
  <c r="D339" i="7"/>
  <c r="G338" i="7"/>
  <c r="I338" i="7" s="1"/>
  <c r="D338" i="7"/>
  <c r="E615" i="5"/>
  <c r="G331" i="7"/>
  <c r="I331" i="7" s="1"/>
  <c r="D334" i="7"/>
  <c r="D333" i="7"/>
  <c r="D332" i="7"/>
  <c r="D331" i="7"/>
  <c r="H335" i="7"/>
  <c r="E491" i="5"/>
  <c r="I359" i="7" l="1"/>
  <c r="G360" i="7" s="1"/>
  <c r="I360" i="7" s="1"/>
  <c r="I371" i="7"/>
  <c r="G372" i="7" s="1"/>
  <c r="I372" i="7" s="1"/>
  <c r="I365" i="7"/>
  <c r="G366" i="7" s="1"/>
  <c r="I366" i="7" s="1"/>
  <c r="I335" i="7"/>
  <c r="G336" i="7" s="1"/>
  <c r="I336" i="7" s="1"/>
  <c r="F172" i="7" l="1"/>
  <c r="D172" i="7"/>
  <c r="D171" i="7"/>
  <c r="D170" i="7"/>
  <c r="D169" i="7"/>
  <c r="D168" i="7"/>
  <c r="H174" i="7"/>
  <c r="H171" i="7"/>
  <c r="H168" i="7"/>
  <c r="D146" i="7"/>
  <c r="H147" i="7"/>
  <c r="D257" i="7" l="1"/>
  <c r="D256" i="7"/>
  <c r="D181" i="7"/>
  <c r="D163" i="7"/>
  <c r="D162" i="7"/>
  <c r="D156" i="7"/>
  <c r="D152" i="7"/>
  <c r="D122" i="7"/>
  <c r="D107" i="7"/>
  <c r="D50" i="7"/>
  <c r="D49" i="7"/>
  <c r="D240" i="7"/>
  <c r="D239" i="7"/>
  <c r="D236" i="7"/>
  <c r="D235" i="7"/>
  <c r="D234" i="7"/>
  <c r="D233" i="7"/>
  <c r="H237" i="7"/>
  <c r="H239" i="7"/>
  <c r="H240" i="7"/>
  <c r="D402" i="7"/>
  <c r="D401" i="7"/>
  <c r="D400" i="7"/>
  <c r="D399" i="7"/>
  <c r="H403" i="7"/>
  <c r="D394" i="7"/>
  <c r="D389" i="7"/>
  <c r="D388" i="7"/>
  <c r="H390" i="7"/>
  <c r="D384" i="7"/>
  <c r="D383" i="7"/>
  <c r="H385" i="7"/>
  <c r="D352" i="7"/>
  <c r="D351" i="7"/>
  <c r="D350" i="7"/>
  <c r="D349" i="7"/>
  <c r="H353" i="7"/>
  <c r="H352" i="7"/>
  <c r="G327" i="7"/>
  <c r="I327" i="7" s="1"/>
  <c r="D327" i="7"/>
  <c r="H328" i="7"/>
  <c r="D323" i="7"/>
  <c r="D322" i="7"/>
  <c r="D321" i="7"/>
  <c r="D320" i="7"/>
  <c r="D319" i="7"/>
  <c r="D318" i="7"/>
  <c r="D317" i="7"/>
  <c r="H324" i="7"/>
  <c r="H323" i="7"/>
  <c r="D314" i="7"/>
  <c r="H315" i="7"/>
  <c r="D306" i="7"/>
  <c r="D305" i="7"/>
  <c r="H307" i="7"/>
  <c r="D301" i="7"/>
  <c r="H302" i="7"/>
  <c r="D299" i="7"/>
  <c r="D298" i="7"/>
  <c r="D294" i="7"/>
  <c r="F299" i="7"/>
  <c r="H298" i="7"/>
  <c r="H270" i="7"/>
  <c r="H258" i="7"/>
  <c r="D252" i="7"/>
  <c r="D251" i="7"/>
  <c r="H253" i="7"/>
  <c r="H251" i="7"/>
  <c r="D249" i="7"/>
  <c r="D248" i="7"/>
  <c r="D245" i="7"/>
  <c r="D244" i="7"/>
  <c r="D243" i="7"/>
  <c r="D242" i="7"/>
  <c r="H246" i="7"/>
  <c r="H248" i="7"/>
  <c r="H249" i="7"/>
  <c r="D229" i="7"/>
  <c r="D228" i="7"/>
  <c r="H230" i="7"/>
  <c r="D226" i="7"/>
  <c r="I224" i="7"/>
  <c r="G223" i="7" s="1"/>
  <c r="G257" i="7" s="1"/>
  <c r="D222" i="7"/>
  <c r="H222" i="7"/>
  <c r="D98" i="7"/>
  <c r="D180" i="7"/>
  <c r="D179" i="7"/>
  <c r="D178" i="7"/>
  <c r="D177" i="7"/>
  <c r="D166" i="7"/>
  <c r="D160" i="7"/>
  <c r="D159" i="7"/>
  <c r="D151" i="7"/>
  <c r="D150" i="7"/>
  <c r="D149" i="7"/>
  <c r="D121" i="7"/>
  <c r="D120" i="7"/>
  <c r="D119" i="7"/>
  <c r="D118" i="7"/>
  <c r="D117" i="7"/>
  <c r="D114" i="7"/>
  <c r="D113" i="7"/>
  <c r="D112" i="7"/>
  <c r="D111" i="7"/>
  <c r="D110" i="7"/>
  <c r="D105" i="7"/>
  <c r="D104" i="7"/>
  <c r="D103" i="7"/>
  <c r="D99" i="7"/>
  <c r="D61" i="7"/>
  <c r="D60" i="7"/>
  <c r="D59" i="7"/>
  <c r="D57" i="7"/>
  <c r="D56" i="7"/>
  <c r="D53" i="7"/>
  <c r="D52" i="7"/>
  <c r="D19" i="7"/>
  <c r="D17" i="7"/>
  <c r="D16" i="7"/>
  <c r="H100" i="7"/>
  <c r="D11" i="7"/>
  <c r="D7" i="7"/>
  <c r="D8" i="7"/>
  <c r="D9" i="7"/>
  <c r="D6" i="7"/>
  <c r="G50" i="7" l="1"/>
  <c r="I237" i="7"/>
  <c r="G238" i="7" s="1"/>
  <c r="I238" i="7" s="1"/>
  <c r="I257" i="7"/>
  <c r="H182" i="7" l="1"/>
  <c r="H180" i="7"/>
  <c r="H178" i="7"/>
  <c r="H164" i="7"/>
  <c r="F163" i="7"/>
  <c r="H159" i="7"/>
  <c r="H157" i="7"/>
  <c r="H153" i="7"/>
  <c r="H150" i="7"/>
  <c r="H149" i="7"/>
  <c r="H123" i="7"/>
  <c r="H118" i="7"/>
  <c r="H117" i="7"/>
  <c r="F103" i="7"/>
  <c r="H53" i="7"/>
  <c r="H52" i="7"/>
  <c r="H51" i="7"/>
  <c r="I50" i="7"/>
  <c r="H49" i="7"/>
  <c r="H34" i="7"/>
  <c r="H25" i="7"/>
  <c r="H21" i="7"/>
  <c r="H19" i="7"/>
  <c r="H18" i="7"/>
  <c r="H17" i="7"/>
  <c r="H16" i="7"/>
  <c r="H11" i="7"/>
  <c r="H10" i="7"/>
  <c r="H9" i="7"/>
  <c r="H8" i="7"/>
  <c r="H7" i="7"/>
  <c r="E706" i="5"/>
  <c r="G299" i="7" s="1"/>
  <c r="I299" i="7" s="1"/>
  <c r="E705" i="5"/>
  <c r="E704" i="5"/>
  <c r="E703" i="5"/>
  <c r="E702" i="5"/>
  <c r="E701" i="5"/>
  <c r="G110" i="7" s="1"/>
  <c r="E700" i="5"/>
  <c r="G111" i="7" s="1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G298" i="7" s="1"/>
  <c r="I298" i="7" s="1"/>
  <c r="E674" i="5"/>
  <c r="E673" i="5"/>
  <c r="G432" i="7" s="1"/>
  <c r="I432" i="7" s="1"/>
  <c r="E672" i="5"/>
  <c r="G19" i="7" s="1"/>
  <c r="E671" i="5"/>
  <c r="G222" i="7" s="1"/>
  <c r="I222" i="7" s="1"/>
  <c r="G221" i="7" s="1"/>
  <c r="G49" i="7" s="1"/>
  <c r="E670" i="5"/>
  <c r="E669" i="5"/>
  <c r="G160" i="7" s="1"/>
  <c r="I160" i="7" s="1"/>
  <c r="E668" i="5"/>
  <c r="G114" i="7" s="1"/>
  <c r="E667" i="5"/>
  <c r="G113" i="7" s="1"/>
  <c r="E666" i="5"/>
  <c r="G166" i="7" s="1"/>
  <c r="I166" i="7" s="1"/>
  <c r="E665" i="5"/>
  <c r="G52" i="7" s="1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G11" i="7" s="1"/>
  <c r="E651" i="5"/>
  <c r="E650" i="5"/>
  <c r="E649" i="5"/>
  <c r="E648" i="5"/>
  <c r="E647" i="5"/>
  <c r="E646" i="5"/>
  <c r="E645" i="5"/>
  <c r="G53" i="7" s="1"/>
  <c r="E644" i="5"/>
  <c r="E643" i="5"/>
  <c r="E642" i="5"/>
  <c r="E641" i="5"/>
  <c r="E640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G137" i="7" s="1"/>
  <c r="I137" i="7" s="1"/>
  <c r="E600" i="5"/>
  <c r="E599" i="5"/>
  <c r="E598" i="5"/>
  <c r="G350" i="7" s="1"/>
  <c r="I350" i="7" s="1"/>
  <c r="E597" i="5"/>
  <c r="E596" i="5"/>
  <c r="E595" i="5"/>
  <c r="G334" i="7" s="1"/>
  <c r="I334" i="7" s="1"/>
  <c r="E594" i="5"/>
  <c r="E593" i="5"/>
  <c r="E592" i="5"/>
  <c r="E591" i="5"/>
  <c r="E590" i="5"/>
  <c r="E589" i="5"/>
  <c r="E588" i="5"/>
  <c r="G314" i="7" s="1"/>
  <c r="I314" i="7" s="1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I393" i="7" s="1"/>
  <c r="E558" i="5"/>
  <c r="G388" i="7" s="1"/>
  <c r="I388" i="7" s="1"/>
  <c r="E557" i="5"/>
  <c r="E556" i="5"/>
  <c r="G383" i="7" s="1"/>
  <c r="I383" i="7" s="1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G318" i="7" s="1"/>
  <c r="I318" i="7" s="1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G252" i="7" s="1"/>
  <c r="I252" i="7" s="1"/>
  <c r="E499" i="5"/>
  <c r="E498" i="5"/>
  <c r="E497" i="5"/>
  <c r="E496" i="5"/>
  <c r="E495" i="5"/>
  <c r="E494" i="5"/>
  <c r="E493" i="5"/>
  <c r="E492" i="5"/>
  <c r="E490" i="5"/>
  <c r="G177" i="7" s="1"/>
  <c r="I177" i="7" s="1"/>
  <c r="E489" i="5"/>
  <c r="E488" i="5"/>
  <c r="E487" i="5"/>
  <c r="E486" i="5"/>
  <c r="E485" i="5"/>
  <c r="G446" i="7" s="1"/>
  <c r="I446" i="7" s="1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G126" i="7" s="1"/>
  <c r="I126" i="7" s="1"/>
  <c r="E469" i="5"/>
  <c r="E468" i="5"/>
  <c r="E467" i="5"/>
  <c r="E466" i="5"/>
  <c r="E465" i="5"/>
  <c r="E464" i="5"/>
  <c r="E463" i="5"/>
  <c r="E462" i="5"/>
  <c r="E461" i="5"/>
  <c r="E460" i="5"/>
  <c r="E459" i="5"/>
  <c r="E458" i="5"/>
  <c r="G398" i="7" s="1"/>
  <c r="I398" i="7" s="1"/>
  <c r="E457" i="5"/>
  <c r="E456" i="5"/>
  <c r="E455" i="5"/>
  <c r="E454" i="5"/>
  <c r="E453" i="5"/>
  <c r="E451" i="5"/>
  <c r="E450" i="5"/>
  <c r="G251" i="7" s="1"/>
  <c r="I251" i="7" s="1"/>
  <c r="E449" i="5"/>
  <c r="G422" i="7" s="1"/>
  <c r="I422" i="7" s="1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G322" i="7" s="1"/>
  <c r="I322" i="7" s="1"/>
  <c r="E434" i="5"/>
  <c r="E433" i="5"/>
  <c r="E432" i="5"/>
  <c r="E431" i="5"/>
  <c r="E430" i="5"/>
  <c r="G6" i="7" s="1"/>
  <c r="I6" i="7" s="1"/>
  <c r="E429" i="5"/>
  <c r="G128" i="7" s="1"/>
  <c r="I128" i="7" s="1"/>
  <c r="E428" i="5"/>
  <c r="E427" i="5"/>
  <c r="E426" i="5"/>
  <c r="E425" i="5"/>
  <c r="E424" i="5"/>
  <c r="E423" i="5"/>
  <c r="E422" i="5"/>
  <c r="E421" i="5"/>
  <c r="E420" i="5"/>
  <c r="E419" i="5"/>
  <c r="G415" i="7" s="1"/>
  <c r="I415" i="7" s="1"/>
  <c r="E418" i="5"/>
  <c r="G423" i="7" s="1"/>
  <c r="I423" i="7" s="1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G429" i="7" s="1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G442" i="7" s="1"/>
  <c r="I442" i="7" s="1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G428" i="7" s="1"/>
  <c r="E344" i="5"/>
  <c r="E343" i="5"/>
  <c r="E342" i="5"/>
  <c r="E341" i="5"/>
  <c r="E340" i="5"/>
  <c r="E339" i="5"/>
  <c r="E338" i="5"/>
  <c r="E337" i="5"/>
  <c r="I294" i="7" s="1"/>
  <c r="E336" i="5"/>
  <c r="E335" i="5"/>
  <c r="E334" i="5"/>
  <c r="E333" i="5"/>
  <c r="E332" i="5"/>
  <c r="G98" i="7" s="1"/>
  <c r="I98" i="7" s="1"/>
  <c r="E331" i="5"/>
  <c r="E330" i="5"/>
  <c r="E329" i="5"/>
  <c r="E328" i="5"/>
  <c r="E327" i="5"/>
  <c r="E326" i="5"/>
  <c r="E325" i="5"/>
  <c r="E324" i="5"/>
  <c r="E323" i="5"/>
  <c r="G104" i="7" s="1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G349" i="7" s="1"/>
  <c r="I349" i="7" s="1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G146" i="7" s="1"/>
  <c r="I146" i="7" s="1"/>
  <c r="E228" i="5"/>
  <c r="E227" i="5"/>
  <c r="E226" i="5"/>
  <c r="E225" i="5"/>
  <c r="E224" i="5"/>
  <c r="E223" i="5"/>
  <c r="E222" i="5"/>
  <c r="G17" i="7" s="1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G414" i="7" s="1"/>
  <c r="I414" i="7" s="1"/>
  <c r="E184" i="5"/>
  <c r="G127" i="7" s="1"/>
  <c r="I127" i="7" s="1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G105" i="7" s="1"/>
  <c r="I105" i="7" s="1"/>
  <c r="E170" i="5"/>
  <c r="E169" i="5"/>
  <c r="E168" i="5"/>
  <c r="E167" i="5"/>
  <c r="E166" i="5"/>
  <c r="E165" i="5"/>
  <c r="G319" i="7" s="1"/>
  <c r="I319" i="7" s="1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G417" i="7" s="1"/>
  <c r="I417" i="7" s="1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G416" i="7" s="1"/>
  <c r="I416" i="7" s="1"/>
  <c r="E69" i="5"/>
  <c r="E67" i="5"/>
  <c r="E66" i="5"/>
  <c r="E65" i="5"/>
  <c r="E64" i="5"/>
  <c r="G229" i="7" s="1"/>
  <c r="I229" i="7" s="1"/>
  <c r="E63" i="5"/>
  <c r="G401" i="7" s="1"/>
  <c r="I401" i="7" s="1"/>
  <c r="E62" i="5"/>
  <c r="E61" i="5"/>
  <c r="G65" i="7" s="1"/>
  <c r="I65" i="7" s="1"/>
  <c r="E60" i="5"/>
  <c r="E59" i="5"/>
  <c r="E58" i="5"/>
  <c r="E57" i="5"/>
  <c r="E56" i="5"/>
  <c r="G400" i="7" s="1"/>
  <c r="I400" i="7" s="1"/>
  <c r="E55" i="5"/>
  <c r="E54" i="5"/>
  <c r="G447" i="7" s="1"/>
  <c r="I447" i="7" s="1"/>
  <c r="E53" i="5"/>
  <c r="E52" i="5"/>
  <c r="E51" i="5"/>
  <c r="E50" i="5"/>
  <c r="E49" i="5"/>
  <c r="E48" i="5"/>
  <c r="E47" i="5"/>
  <c r="G317" i="7" s="1"/>
  <c r="I317" i="7" s="1"/>
  <c r="E46" i="5"/>
  <c r="E45" i="5"/>
  <c r="E44" i="5"/>
  <c r="E43" i="5"/>
  <c r="G228" i="7"/>
  <c r="I228" i="7" s="1"/>
  <c r="E41" i="5"/>
  <c r="E40" i="5"/>
  <c r="E39" i="5"/>
  <c r="E38" i="5"/>
  <c r="E37" i="5"/>
  <c r="E36" i="5"/>
  <c r="E35" i="5"/>
  <c r="E34" i="5"/>
  <c r="G306" i="7" s="1"/>
  <c r="I306" i="7" s="1"/>
  <c r="E33" i="5"/>
  <c r="E32" i="5"/>
  <c r="E31" i="5"/>
  <c r="G99" i="7" s="1"/>
  <c r="I99" i="7" s="1"/>
  <c r="E30" i="5"/>
  <c r="C33" i="4"/>
  <c r="E30" i="4"/>
  <c r="D30" i="4"/>
  <c r="C27" i="4"/>
  <c r="C30" i="4" s="1"/>
  <c r="G60" i="7" l="1"/>
  <c r="I60" i="7" s="1"/>
  <c r="G69" i="7"/>
  <c r="I69" i="7" s="1"/>
  <c r="G61" i="7"/>
  <c r="G70" i="7"/>
  <c r="I70" i="7" s="1"/>
  <c r="G59" i="7"/>
  <c r="I59" i="7" s="1"/>
  <c r="G68" i="7"/>
  <c r="I68" i="7" s="1"/>
  <c r="G139" i="7"/>
  <c r="I139" i="7" s="1"/>
  <c r="G130" i="7"/>
  <c r="I130" i="7" s="1"/>
  <c r="G138" i="7"/>
  <c r="I138" i="7" s="1"/>
  <c r="G129" i="7"/>
  <c r="I129" i="7" s="1"/>
  <c r="E13" i="10"/>
  <c r="F13" i="10" s="1"/>
  <c r="F15" i="10" s="1"/>
  <c r="G430" i="7"/>
  <c r="I430" i="7" s="1"/>
  <c r="G437" i="7"/>
  <c r="I437" i="7" s="1"/>
  <c r="I428" i="7"/>
  <c r="G435" i="7"/>
  <c r="I435" i="7" s="1"/>
  <c r="I56" i="7"/>
  <c r="G436" i="7"/>
  <c r="I436" i="7" s="1"/>
  <c r="I429" i="7"/>
  <c r="G7" i="7"/>
  <c r="I7" i="7" s="1"/>
  <c r="D33" i="4"/>
  <c r="G8" i="7"/>
  <c r="I8" i="7" s="1"/>
  <c r="G118" i="7"/>
  <c r="I118" i="7" s="1"/>
  <c r="G341" i="7"/>
  <c r="I341" i="7" s="1"/>
  <c r="G377" i="7"/>
  <c r="I377" i="7" s="1"/>
  <c r="G409" i="7"/>
  <c r="I409" i="7" s="1"/>
  <c r="G215" i="7"/>
  <c r="I215" i="7" s="1"/>
  <c r="G121" i="7"/>
  <c r="I121" i="7" s="1"/>
  <c r="G170" i="7"/>
  <c r="I170" i="7" s="1"/>
  <c r="G103" i="7"/>
  <c r="I103" i="7" s="1"/>
  <c r="G120" i="7"/>
  <c r="G352" i="7"/>
  <c r="I352" i="7" s="1"/>
  <c r="G323" i="7"/>
  <c r="I323" i="7" s="1"/>
  <c r="G216" i="7"/>
  <c r="I216" i="7" s="1"/>
  <c r="G357" i="7"/>
  <c r="I357" i="7" s="1"/>
  <c r="G363" i="7"/>
  <c r="I363" i="7" s="1"/>
  <c r="G369" i="7"/>
  <c r="I369" i="7" s="1"/>
  <c r="G332" i="7"/>
  <c r="G320" i="7"/>
  <c r="I320" i="7" s="1"/>
  <c r="G399" i="7"/>
  <c r="I399" i="7" s="1"/>
  <c r="G233" i="7"/>
  <c r="I233" i="7" s="1"/>
  <c r="G242" i="7"/>
  <c r="I242" i="7" s="1"/>
  <c r="G339" i="7"/>
  <c r="I339" i="7" s="1"/>
  <c r="G9" i="7"/>
  <c r="I9" i="7" s="1"/>
  <c r="G150" i="7"/>
  <c r="I150" i="7" s="1"/>
  <c r="G376" i="7"/>
  <c r="I376" i="7" s="1"/>
  <c r="G408" i="7"/>
  <c r="I408" i="7" s="1"/>
  <c r="G214" i="7"/>
  <c r="I214" i="7" s="1"/>
  <c r="G171" i="7"/>
  <c r="I171" i="7" s="1"/>
  <c r="G180" i="7"/>
  <c r="I180" i="7" s="1"/>
  <c r="G333" i="7"/>
  <c r="G370" i="7"/>
  <c r="I370" i="7" s="1"/>
  <c r="G358" i="7"/>
  <c r="I358" i="7" s="1"/>
  <c r="G364" i="7"/>
  <c r="I364" i="7" s="1"/>
  <c r="G321" i="7"/>
  <c r="I321" i="7" s="1"/>
  <c r="G351" i="7"/>
  <c r="I351" i="7" s="1"/>
  <c r="G305" i="7"/>
  <c r="I305" i="7" s="1"/>
  <c r="I394" i="7"/>
  <c r="G389" i="7"/>
  <c r="G384" i="7"/>
  <c r="G402" i="7"/>
  <c r="G239" i="7"/>
  <c r="I239" i="7" s="1"/>
  <c r="G248" i="7"/>
  <c r="I248" i="7" s="1"/>
  <c r="G226" i="7"/>
  <c r="I226" i="7" s="1"/>
  <c r="G225" i="7" s="1"/>
  <c r="G66" i="7" s="1"/>
  <c r="I66" i="7" s="1"/>
  <c r="G159" i="7"/>
  <c r="I159" i="7" s="1"/>
  <c r="G112" i="7"/>
  <c r="G136" i="7" s="1"/>
  <c r="I136" i="7" s="1"/>
  <c r="I19" i="7"/>
  <c r="I49" i="7"/>
  <c r="G374" i="7"/>
  <c r="I374" i="7" s="1"/>
  <c r="G342" i="7"/>
  <c r="I342" i="7" s="1"/>
  <c r="G406" i="7"/>
  <c r="G212" i="7"/>
  <c r="I212" i="7" s="1"/>
  <c r="G168" i="7"/>
  <c r="I168" i="7" s="1"/>
  <c r="G178" i="7"/>
  <c r="G117" i="7"/>
  <c r="G149" i="7"/>
  <c r="G235" i="7"/>
  <c r="I235" i="7" s="1"/>
  <c r="G244" i="7"/>
  <c r="I244" i="7" s="1"/>
  <c r="G240" i="7"/>
  <c r="I240" i="7" s="1"/>
  <c r="G249" i="7"/>
  <c r="I249" i="7" s="1"/>
  <c r="G407" i="7"/>
  <c r="I407" i="7" s="1"/>
  <c r="G213" i="7"/>
  <c r="I213" i="7" s="1"/>
  <c r="G340" i="7"/>
  <c r="I340" i="7" s="1"/>
  <c r="G375" i="7"/>
  <c r="I375" i="7" s="1"/>
  <c r="G169" i="7"/>
  <c r="I169" i="7" s="1"/>
  <c r="G119" i="7"/>
  <c r="G151" i="7"/>
  <c r="G179" i="7"/>
  <c r="G245" i="7"/>
  <c r="I245" i="7" s="1"/>
  <c r="G57" i="7"/>
  <c r="I57" i="7" s="1"/>
  <c r="G236" i="7"/>
  <c r="I236" i="7" s="1"/>
  <c r="G16" i="7"/>
  <c r="I16" i="7" s="1"/>
  <c r="G243" i="7"/>
  <c r="I243" i="7" s="1"/>
  <c r="G301" i="7"/>
  <c r="I301" i="7" s="1"/>
  <c r="G234" i="7"/>
  <c r="I234" i="7" s="1"/>
  <c r="I17" i="7"/>
  <c r="I52" i="7"/>
  <c r="I11" i="7"/>
  <c r="I111" i="7"/>
  <c r="E33" i="4"/>
  <c r="F33" i="4" s="1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I406" i="7" l="1"/>
  <c r="G477" i="7"/>
  <c r="G443" i="7"/>
  <c r="I443" i="7" s="1"/>
  <c r="G448" i="7"/>
  <c r="I448" i="7" s="1"/>
  <c r="G135" i="7"/>
  <c r="I135" i="7" s="1"/>
  <c r="G302" i="7"/>
  <c r="I302" i="7" s="1"/>
  <c r="G303" i="7" s="1"/>
  <c r="I303" i="7" s="1"/>
  <c r="G300" i="7" s="1"/>
  <c r="F34" i="2" s="1"/>
  <c r="G253" i="7"/>
  <c r="I253" i="7" s="1"/>
  <c r="E7" i="5"/>
  <c r="G367" i="7"/>
  <c r="F58" i="2" s="1"/>
  <c r="G58" i="2" s="1"/>
  <c r="G361" i="7"/>
  <c r="G232" i="7"/>
  <c r="G355" i="7"/>
  <c r="G256" i="7"/>
  <c r="I256" i="7" s="1"/>
  <c r="I53" i="7"/>
  <c r="I113" i="7"/>
  <c r="I112" i="7"/>
  <c r="F57" i="4"/>
  <c r="G525" i="7" s="1"/>
  <c r="I525" i="7" s="1"/>
  <c r="D43" i="4"/>
  <c r="E43" i="4" s="1"/>
  <c r="F43" i="4" s="1"/>
  <c r="D39" i="4"/>
  <c r="E39" i="4" s="1"/>
  <c r="F39" i="4" s="1"/>
  <c r="D35" i="4"/>
  <c r="E35" i="4" s="1"/>
  <c r="F35" i="4" s="1"/>
  <c r="E6" i="5" s="1"/>
  <c r="D46" i="4"/>
  <c r="E46" i="4" s="1"/>
  <c r="F46" i="4" s="1"/>
  <c r="D42" i="4"/>
  <c r="E42" i="4" s="1"/>
  <c r="F42" i="4" s="1"/>
  <c r="E11" i="5" s="1"/>
  <c r="D38" i="4"/>
  <c r="E38" i="4" s="1"/>
  <c r="F38" i="4" s="1"/>
  <c r="D34" i="4"/>
  <c r="E34" i="4" s="1"/>
  <c r="F34" i="4" s="1"/>
  <c r="G29" i="7" s="1"/>
  <c r="I29" i="7" s="1"/>
  <c r="D47" i="4"/>
  <c r="E47" i="4" s="1"/>
  <c r="D45" i="4"/>
  <c r="E45" i="4" s="1"/>
  <c r="F45" i="4" s="1"/>
  <c r="D41" i="4"/>
  <c r="E41" i="4" s="1"/>
  <c r="F41" i="4" s="1"/>
  <c r="D37" i="4"/>
  <c r="E37" i="4" s="1"/>
  <c r="F37" i="4" s="1"/>
  <c r="D48" i="4"/>
  <c r="E48" i="4" s="1"/>
  <c r="F48" i="4" s="1"/>
  <c r="E22" i="5" s="1"/>
  <c r="D44" i="4"/>
  <c r="E44" i="4" s="1"/>
  <c r="F44" i="4" s="1"/>
  <c r="D40" i="4"/>
  <c r="E40" i="4" s="1"/>
  <c r="F40" i="4" s="1"/>
  <c r="D36" i="4"/>
  <c r="E36" i="4" s="1"/>
  <c r="F36" i="4" s="1"/>
  <c r="G526" i="7" l="1"/>
  <c r="I526" i="7" s="1"/>
  <c r="G521" i="7" s="1"/>
  <c r="F16" i="2" s="1"/>
  <c r="G30" i="7"/>
  <c r="I30" i="7" s="1"/>
  <c r="G31" i="7"/>
  <c r="I31" i="7" s="1"/>
  <c r="G486" i="7"/>
  <c r="I486" i="7" s="1"/>
  <c r="I477" i="7"/>
  <c r="G431" i="7"/>
  <c r="I431" i="7" s="1"/>
  <c r="G439" i="7"/>
  <c r="I439" i="7" s="1"/>
  <c r="G449" i="7"/>
  <c r="I449" i="7" s="1"/>
  <c r="G445" i="7" s="1"/>
  <c r="F79" i="2" s="1"/>
  <c r="G79" i="2" s="1"/>
  <c r="G444" i="7"/>
  <c r="I444" i="7" s="1"/>
  <c r="G441" i="7" s="1"/>
  <c r="G418" i="7"/>
  <c r="I418" i="7" s="1"/>
  <c r="G424" i="7"/>
  <c r="I424" i="7" s="1"/>
  <c r="F60" i="4"/>
  <c r="E12" i="5" s="1"/>
  <c r="F52" i="4"/>
  <c r="E10" i="5" s="1"/>
  <c r="G254" i="7"/>
  <c r="I254" i="7" s="1"/>
  <c r="G250" i="7" s="1"/>
  <c r="F10" i="2" s="1"/>
  <c r="G10" i="2" s="1"/>
  <c r="G147" i="7"/>
  <c r="I147" i="7" s="1"/>
  <c r="G145" i="7" s="1"/>
  <c r="F47" i="2" s="1"/>
  <c r="G47" i="2" s="1"/>
  <c r="G51" i="7"/>
  <c r="G100" i="7"/>
  <c r="I100" i="7" s="1"/>
  <c r="G34" i="7"/>
  <c r="G21" i="7"/>
  <c r="I21" i="7" s="1"/>
  <c r="G23" i="7" s="1"/>
  <c r="I23" i="7" s="1"/>
  <c r="G25" i="7"/>
  <c r="I25" i="7" s="1"/>
  <c r="G26" i="7" s="1"/>
  <c r="E8" i="5"/>
  <c r="G18" i="7"/>
  <c r="I18" i="7" s="1"/>
  <c r="G15" i="7" s="1"/>
  <c r="F47" i="4"/>
  <c r="E15" i="5"/>
  <c r="G45" i="7"/>
  <c r="I45" i="7" s="1"/>
  <c r="G37" i="7"/>
  <c r="I37" i="7" s="1"/>
  <c r="G258" i="7"/>
  <c r="I258" i="7" s="1"/>
  <c r="G259" i="7" s="1"/>
  <c r="I259" i="7" s="1"/>
  <c r="E21" i="5"/>
  <c r="G343" i="7"/>
  <c r="I343" i="7" s="1"/>
  <c r="I384" i="7"/>
  <c r="I61" i="7"/>
  <c r="I178" i="7"/>
  <c r="I114" i="7"/>
  <c r="I119" i="7"/>
  <c r="F62" i="4"/>
  <c r="F53" i="4"/>
  <c r="F54" i="4"/>
  <c r="F50" i="4"/>
  <c r="G67" i="7" s="1"/>
  <c r="I67" i="7" s="1"/>
  <c r="F61" i="4"/>
  <c r="F49" i="4"/>
  <c r="F51" i="4"/>
  <c r="G84" i="7" s="1"/>
  <c r="F56" i="4"/>
  <c r="E19" i="5" s="1"/>
  <c r="F55" i="4"/>
  <c r="F58" i="4"/>
  <c r="E23" i="5" s="1"/>
  <c r="F59" i="4"/>
  <c r="G71" i="7" l="1"/>
  <c r="I71" i="7" s="1"/>
  <c r="G63" i="7" s="1"/>
  <c r="F37" i="2" s="1"/>
  <c r="G37" i="2" s="1"/>
  <c r="F78" i="2"/>
  <c r="G28" i="7"/>
  <c r="F22" i="2" s="1"/>
  <c r="E24" i="5"/>
  <c r="G506" i="7"/>
  <c r="G266" i="7"/>
  <c r="I266" i="7" s="1"/>
  <c r="G268" i="7" s="1"/>
  <c r="I268" i="7" s="1"/>
  <c r="I84" i="7"/>
  <c r="G92" i="7"/>
  <c r="I92" i="7" s="1"/>
  <c r="G90" i="7" s="1"/>
  <c r="F41" i="2" s="1"/>
  <c r="G310" i="7"/>
  <c r="I310" i="7" s="1"/>
  <c r="G132" i="7"/>
  <c r="I132" i="7" s="1"/>
  <c r="G133" i="7" s="1"/>
  <c r="I133" i="7" s="1"/>
  <c r="G189" i="7"/>
  <c r="I189" i="7" s="1"/>
  <c r="G190" i="7" s="1"/>
  <c r="I190" i="7" s="1"/>
  <c r="G419" i="7"/>
  <c r="I419" i="7" s="1"/>
  <c r="G420" i="7" s="1"/>
  <c r="I420" i="7" s="1"/>
  <c r="G481" i="7"/>
  <c r="G518" i="7"/>
  <c r="I518" i="7" s="1"/>
  <c r="G519" i="7" s="1"/>
  <c r="I519" i="7" s="1"/>
  <c r="G514" i="7" s="1"/>
  <c r="F17" i="2" s="1"/>
  <c r="G78" i="7"/>
  <c r="I78" i="7" s="1"/>
  <c r="G425" i="7"/>
  <c r="I425" i="7" s="1"/>
  <c r="G426" i="7" s="1"/>
  <c r="I426" i="7" s="1"/>
  <c r="G143" i="7"/>
  <c r="I143" i="7" s="1"/>
  <c r="G261" i="7"/>
  <c r="I261" i="7" s="1"/>
  <c r="G440" i="7"/>
  <c r="I440" i="7" s="1"/>
  <c r="G434" i="7" s="1"/>
  <c r="F77" i="2" s="1"/>
  <c r="G77" i="2" s="1"/>
  <c r="G433" i="7"/>
  <c r="I433" i="7" s="1"/>
  <c r="G427" i="7" s="1"/>
  <c r="F76" i="2" s="1"/>
  <c r="G76" i="2" s="1"/>
  <c r="G255" i="7"/>
  <c r="F26" i="2" s="1"/>
  <c r="G26" i="2" s="1"/>
  <c r="G22" i="7"/>
  <c r="I22" i="7" s="1"/>
  <c r="G20" i="7" s="1"/>
  <c r="F20" i="2" s="1"/>
  <c r="G20" i="2" s="1"/>
  <c r="I395" i="7"/>
  <c r="G396" i="7" s="1"/>
  <c r="I396" i="7" s="1"/>
  <c r="G390" i="7"/>
  <c r="I390" i="7" s="1"/>
  <c r="G391" i="7" s="1"/>
  <c r="I391" i="7" s="1"/>
  <c r="G353" i="7"/>
  <c r="I353" i="7" s="1"/>
  <c r="G403" i="7"/>
  <c r="I403" i="7" s="1"/>
  <c r="G404" i="7" s="1"/>
  <c r="I404" i="7" s="1"/>
  <c r="E20" i="5"/>
  <c r="G58" i="7"/>
  <c r="I58" i="7" s="1"/>
  <c r="G62" i="7" s="1"/>
  <c r="I62" i="7" s="1"/>
  <c r="G174" i="7"/>
  <c r="I174" i="7" s="1"/>
  <c r="G175" i="7" s="1"/>
  <c r="I175" i="7" s="1"/>
  <c r="G270" i="7"/>
  <c r="G295" i="7"/>
  <c r="I295" i="7" s="1"/>
  <c r="E9" i="5"/>
  <c r="G164" i="7"/>
  <c r="I164" i="7" s="1"/>
  <c r="G165" i="7" s="1"/>
  <c r="I165" i="7" s="1"/>
  <c r="G157" i="7"/>
  <c r="I157" i="7" s="1"/>
  <c r="G158" i="7" s="1"/>
  <c r="I158" i="7" s="1"/>
  <c r="G10" i="7"/>
  <c r="I10" i="7" s="1"/>
  <c r="G5" i="7" s="1"/>
  <c r="F8" i="2" s="1"/>
  <c r="G8" i="2" s="1"/>
  <c r="E13" i="5"/>
  <c r="G38" i="7"/>
  <c r="I38" i="7" s="1"/>
  <c r="G39" i="7"/>
  <c r="I39" i="7" s="1"/>
  <c r="G108" i="7"/>
  <c r="I108" i="7" s="1"/>
  <c r="F9" i="2"/>
  <c r="G9" i="2" s="1"/>
  <c r="G246" i="7"/>
  <c r="I246" i="7" s="1"/>
  <c r="E16" i="5"/>
  <c r="G346" i="7"/>
  <c r="I346" i="7" s="1"/>
  <c r="G347" i="7" s="1"/>
  <c r="I347" i="7" s="1"/>
  <c r="G411" i="7"/>
  <c r="I411" i="7" s="1"/>
  <c r="G412" i="7" s="1"/>
  <c r="I412" i="7" s="1"/>
  <c r="G380" i="7"/>
  <c r="I380" i="7" s="1"/>
  <c r="G381" i="7" s="1"/>
  <c r="I381" i="7" s="1"/>
  <c r="G219" i="7"/>
  <c r="I219" i="7" s="1"/>
  <c r="G220" i="7" s="1"/>
  <c r="I220" i="7" s="1"/>
  <c r="G385" i="7"/>
  <c r="I385" i="7" s="1"/>
  <c r="G386" i="7" s="1"/>
  <c r="I386" i="7" s="1"/>
  <c r="G307" i="7"/>
  <c r="I307" i="7" s="1"/>
  <c r="G315" i="7"/>
  <c r="I315" i="7" s="1"/>
  <c r="G313" i="7" s="1"/>
  <c r="G230" i="7"/>
  <c r="I230" i="7" s="1"/>
  <c r="G328" i="7"/>
  <c r="I328" i="7" s="1"/>
  <c r="G324" i="7"/>
  <c r="I324" i="7" s="1"/>
  <c r="G153" i="7"/>
  <c r="I153" i="7" s="1"/>
  <c r="G154" i="7" s="1"/>
  <c r="I154" i="7" s="1"/>
  <c r="E18" i="5"/>
  <c r="G123" i="7"/>
  <c r="I123" i="7" s="1"/>
  <c r="G124" i="7" s="1"/>
  <c r="I124" i="7" s="1"/>
  <c r="G182" i="7"/>
  <c r="I182" i="7" s="1"/>
  <c r="G183" i="7" s="1"/>
  <c r="I183" i="7" s="1"/>
  <c r="E17" i="5"/>
  <c r="E25" i="5"/>
  <c r="G109" i="7"/>
  <c r="I109" i="7" s="1"/>
  <c r="G115" i="7" s="1"/>
  <c r="I115" i="7" s="1"/>
  <c r="G47" i="7"/>
  <c r="I47" i="7" s="1"/>
  <c r="G46" i="7"/>
  <c r="I46" i="7" s="1"/>
  <c r="G101" i="7"/>
  <c r="I101" i="7" s="1"/>
  <c r="G97" i="7" s="1"/>
  <c r="G106" i="7" s="1"/>
  <c r="I106" i="7" s="1"/>
  <c r="I26" i="7"/>
  <c r="G27" i="7"/>
  <c r="I27" i="7" s="1"/>
  <c r="I34" i="7"/>
  <c r="I149" i="7"/>
  <c r="I117" i="7"/>
  <c r="G7" i="2" l="1"/>
  <c r="G421" i="7"/>
  <c r="F75" i="2" s="1"/>
  <c r="G75" i="2" s="1"/>
  <c r="G267" i="7"/>
  <c r="I267" i="7" s="1"/>
  <c r="G265" i="7" s="1"/>
  <c r="F28" i="2" s="1"/>
  <c r="G28" i="2" s="1"/>
  <c r="G413" i="7"/>
  <c r="F74" i="2" s="1"/>
  <c r="G74" i="2" s="1"/>
  <c r="G73" i="2" s="1"/>
  <c r="G79" i="7"/>
  <c r="I79" i="7" s="1"/>
  <c r="G72" i="7" s="1"/>
  <c r="F38" i="2" s="1"/>
  <c r="G85" i="7"/>
  <c r="I85" i="7" s="1"/>
  <c r="G86" i="7"/>
  <c r="I86" i="7" s="1"/>
  <c r="G311" i="7"/>
  <c r="I311" i="7" s="1"/>
  <c r="G312" i="7"/>
  <c r="I312" i="7" s="1"/>
  <c r="I270" i="7"/>
  <c r="G272" i="7" s="1"/>
  <c r="I272" i="7" s="1"/>
  <c r="G274" i="7"/>
  <c r="G264" i="7"/>
  <c r="I264" i="7" s="1"/>
  <c r="G262" i="7"/>
  <c r="I262" i="7" s="1"/>
  <c r="G263" i="7"/>
  <c r="I263" i="7" s="1"/>
  <c r="G142" i="7"/>
  <c r="I142" i="7" s="1"/>
  <c r="G144" i="7"/>
  <c r="I144" i="7" s="1"/>
  <c r="G44" i="7"/>
  <c r="F19" i="2" s="1"/>
  <c r="G19" i="2" s="1"/>
  <c r="G36" i="7"/>
  <c r="F24" i="2" s="1"/>
  <c r="G24" i="2" s="1"/>
  <c r="G247" i="7"/>
  <c r="I247" i="7" s="1"/>
  <c r="G241" i="7" s="1"/>
  <c r="G188" i="7" s="1"/>
  <c r="G329" i="7"/>
  <c r="I329" i="7" s="1"/>
  <c r="G326" i="7" s="1"/>
  <c r="F54" i="2" s="1"/>
  <c r="G54" i="2" s="1"/>
  <c r="G55" i="7"/>
  <c r="G297" i="7"/>
  <c r="I297" i="7" s="1"/>
  <c r="G296" i="7"/>
  <c r="I296" i="7" s="1"/>
  <c r="G392" i="7"/>
  <c r="G325" i="7"/>
  <c r="I325" i="7" s="1"/>
  <c r="G316" i="7" s="1"/>
  <c r="F53" i="2" s="1"/>
  <c r="G53" i="2" s="1"/>
  <c r="G354" i="7"/>
  <c r="I354" i="7" s="1"/>
  <c r="G348" i="7" s="1"/>
  <c r="F57" i="2" s="1"/>
  <c r="G57" i="2" s="1"/>
  <c r="G308" i="7"/>
  <c r="I308" i="7" s="1"/>
  <c r="G304" i="7" s="1"/>
  <c r="F52" i="2" s="1"/>
  <c r="G52" i="2" s="1"/>
  <c r="G231" i="7"/>
  <c r="I231" i="7" s="1"/>
  <c r="G227" i="7" s="1"/>
  <c r="G382" i="7"/>
  <c r="F62" i="2" s="1"/>
  <c r="G62" i="2" s="1"/>
  <c r="G24" i="7"/>
  <c r="F21" i="2" s="1"/>
  <c r="G21" i="2" s="1"/>
  <c r="I389" i="7"/>
  <c r="G387" i="7" s="1"/>
  <c r="I104" i="7"/>
  <c r="G35" i="7"/>
  <c r="I35" i="7" s="1"/>
  <c r="G33" i="7" s="1"/>
  <c r="F23" i="2" s="1"/>
  <c r="G23" i="2" s="1"/>
  <c r="I120" i="7"/>
  <c r="G271" i="7" l="1"/>
  <c r="I271" i="7" s="1"/>
  <c r="G81" i="7"/>
  <c r="G309" i="7"/>
  <c r="F51" i="2" s="1"/>
  <c r="F36" i="2"/>
  <c r="F61" i="2"/>
  <c r="I188" i="7"/>
  <c r="G184" i="7" s="1"/>
  <c r="F69" i="2" s="1"/>
  <c r="G69" i="2" s="1"/>
  <c r="G140" i="7"/>
  <c r="I140" i="7" s="1"/>
  <c r="G131" i="7"/>
  <c r="I131" i="7" s="1"/>
  <c r="G125" i="7" s="1"/>
  <c r="F45" i="2" s="1"/>
  <c r="G45" i="2" s="1"/>
  <c r="I274" i="7"/>
  <c r="G280" i="7"/>
  <c r="I280" i="7" s="1"/>
  <c r="F83" i="2"/>
  <c r="G83" i="2" s="1"/>
  <c r="G80" i="2" s="1"/>
  <c r="G490" i="7"/>
  <c r="I481" i="7"/>
  <c r="G260" i="7"/>
  <c r="F25" i="2" s="1"/>
  <c r="G25" i="2" s="1"/>
  <c r="G18" i="2" s="1"/>
  <c r="G141" i="7"/>
  <c r="I141" i="7" s="1"/>
  <c r="G134" i="7" s="1"/>
  <c r="F46" i="2" s="1"/>
  <c r="G46" i="2" s="1"/>
  <c r="G293" i="7"/>
  <c r="F33" i="2" s="1"/>
  <c r="G107" i="7"/>
  <c r="I107" i="7" s="1"/>
  <c r="G379" i="7"/>
  <c r="I379" i="7" s="1"/>
  <c r="G218" i="7"/>
  <c r="I218" i="7" s="1"/>
  <c r="G173" i="7"/>
  <c r="I173" i="7" s="1"/>
  <c r="G163" i="7"/>
  <c r="I163" i="7" s="1"/>
  <c r="G345" i="7"/>
  <c r="I345" i="7" s="1"/>
  <c r="F49" i="2"/>
  <c r="G49" i="2" s="1"/>
  <c r="G48" i="2" s="1"/>
  <c r="G378" i="7"/>
  <c r="I378" i="7" s="1"/>
  <c r="G172" i="7"/>
  <c r="I172" i="7" s="1"/>
  <c r="G156" i="7"/>
  <c r="I156" i="7" s="1"/>
  <c r="G155" i="7" s="1"/>
  <c r="F65" i="2" s="1"/>
  <c r="G65" i="2" s="1"/>
  <c r="G162" i="7"/>
  <c r="I162" i="7" s="1"/>
  <c r="G410" i="7"/>
  <c r="I410" i="7" s="1"/>
  <c r="G405" i="7" s="1"/>
  <c r="F72" i="2" s="1"/>
  <c r="G72" i="2" s="1"/>
  <c r="G152" i="7"/>
  <c r="I152" i="7" s="1"/>
  <c r="G181" i="7"/>
  <c r="I181" i="7" s="1"/>
  <c r="G217" i="7"/>
  <c r="I217" i="7" s="1"/>
  <c r="G122" i="7"/>
  <c r="I122" i="7" s="1"/>
  <c r="G116" i="7" s="1"/>
  <c r="F44" i="2" s="1"/>
  <c r="G44" i="2" s="1"/>
  <c r="G344" i="7"/>
  <c r="I344" i="7" s="1"/>
  <c r="G269" i="7"/>
  <c r="F29" i="2" s="1"/>
  <c r="G29" i="2" s="1"/>
  <c r="I333" i="7"/>
  <c r="I179" i="7"/>
  <c r="I51" i="7"/>
  <c r="G54" i="7" s="1"/>
  <c r="F40" i="2" l="1"/>
  <c r="G282" i="7"/>
  <c r="I282" i="7" s="1"/>
  <c r="G281" i="7"/>
  <c r="I281" i="7" s="1"/>
  <c r="G284" i="7"/>
  <c r="I284" i="7" s="1"/>
  <c r="G277" i="7"/>
  <c r="I277" i="7" s="1"/>
  <c r="G276" i="7"/>
  <c r="I276" i="7" s="1"/>
  <c r="G275" i="7"/>
  <c r="I275" i="7" s="1"/>
  <c r="G483" i="7"/>
  <c r="I483" i="7" s="1"/>
  <c r="G482" i="7"/>
  <c r="I482" i="7" s="1"/>
  <c r="I490" i="7"/>
  <c r="G501" i="7"/>
  <c r="I501" i="7" s="1"/>
  <c r="G176" i="7"/>
  <c r="F68" i="2" s="1"/>
  <c r="G68" i="2" s="1"/>
  <c r="G191" i="7"/>
  <c r="F70" i="2" s="1"/>
  <c r="G70" i="2" s="1"/>
  <c r="G161" i="7"/>
  <c r="F66" i="2" s="1"/>
  <c r="G66" i="2" s="1"/>
  <c r="G211" i="7"/>
  <c r="G373" i="7"/>
  <c r="F59" i="2" s="1"/>
  <c r="G59" i="2" s="1"/>
  <c r="G337" i="7"/>
  <c r="F56" i="2" s="1"/>
  <c r="G56" i="2" s="1"/>
  <c r="G167" i="7"/>
  <c r="F67" i="2" s="1"/>
  <c r="G67" i="2" s="1"/>
  <c r="I54" i="7"/>
  <c r="G48" i="7" s="1"/>
  <c r="F35" i="2" s="1"/>
  <c r="G35" i="2" s="1"/>
  <c r="G27" i="2" s="1"/>
  <c r="I110" i="7"/>
  <c r="G102" i="7" s="1"/>
  <c r="I151" i="7"/>
  <c r="G148" i="7" s="1"/>
  <c r="F64" i="2" s="1"/>
  <c r="G64" i="2" s="1"/>
  <c r="F43" i="2" l="1"/>
  <c r="G43" i="2" s="1"/>
  <c r="G42" i="2" s="1"/>
  <c r="G476" i="7"/>
  <c r="F12" i="2" s="1"/>
  <c r="G279" i="7"/>
  <c r="F31" i="2" s="1"/>
  <c r="G273" i="7"/>
  <c r="F30" i="2" s="1"/>
  <c r="G491" i="7"/>
  <c r="I491" i="7" s="1"/>
  <c r="G492" i="7"/>
  <c r="I492" i="7" s="1"/>
  <c r="G503" i="7"/>
  <c r="G502" i="7"/>
  <c r="I402" i="7"/>
  <c r="G397" i="7" s="1"/>
  <c r="F63" i="2" s="1"/>
  <c r="G63" i="2" s="1"/>
  <c r="G60" i="2" s="1"/>
  <c r="G485" i="7" l="1"/>
  <c r="F13" i="2" s="1"/>
  <c r="I502" i="7"/>
  <c r="I506" i="7"/>
  <c r="I503" i="7"/>
  <c r="G512" i="7" l="1"/>
  <c r="G494" i="7"/>
  <c r="F14" i="2" s="1"/>
  <c r="I332" i="7"/>
  <c r="G330" i="7" s="1"/>
  <c r="F55" i="2" s="1"/>
  <c r="G55" i="2" s="1"/>
  <c r="G50" i="2" s="1"/>
  <c r="I512" i="7" l="1"/>
  <c r="G505" i="7" s="1"/>
  <c r="F15" i="2" s="1"/>
  <c r="G85" i="2" l="1"/>
  <c r="G86" i="2" s="1"/>
  <c r="G87" i="2" l="1"/>
  <c r="E27" i="11" s="1"/>
  <c r="D4" i="10"/>
  <c r="F53" i="10" s="1"/>
  <c r="D5" i="10" l="1"/>
  <c r="C35" i="10" l="1"/>
  <c r="F35" i="10" s="1"/>
  <c r="D29" i="10"/>
  <c r="F29" i="10" s="1"/>
  <c r="D30" i="10"/>
  <c r="F30" i="10" s="1"/>
  <c r="D26" i="10"/>
  <c r="F26" i="10" s="1"/>
  <c r="D27" i="10"/>
  <c r="F27" i="10" s="1"/>
  <c r="D28" i="10"/>
  <c r="F28" i="10" s="1"/>
  <c r="D25" i="10"/>
  <c r="F25" i="10" s="1"/>
  <c r="F88" i="2"/>
  <c r="C39" i="10"/>
  <c r="F39" i="10" s="1"/>
  <c r="C36" i="10"/>
  <c r="F36" i="10" s="1"/>
  <c r="C37" i="10"/>
  <c r="F37" i="10" s="1"/>
  <c r="C38" i="10"/>
  <c r="F38" i="10" s="1"/>
  <c r="C41" i="10"/>
  <c r="F41" i="10" s="1"/>
  <c r="G88" i="2" l="1"/>
  <c r="G89" i="2" s="1"/>
  <c r="C40" i="10"/>
  <c r="F40" i="10" s="1"/>
  <c r="F32" i="10"/>
  <c r="F43" i="10" l="1"/>
  <c r="F52" i="10" s="1"/>
  <c r="E52" i="10" s="1"/>
  <c r="E54" i="10" s="1"/>
  <c r="D3" i="10" l="1"/>
  <c r="F54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E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evlaPDA:</t>
        </r>
        <r>
          <rPr>
            <sz val="9"/>
            <color indexed="81"/>
            <rFont val="Tahoma"/>
            <family val="2"/>
          </rPr>
          <t xml:space="preserve">
Correspdneo a extremos de las vias bocacalles</t>
        </r>
      </text>
    </comment>
    <comment ref="C6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eval PDA:</t>
        </r>
        <r>
          <rPr>
            <sz val="9"/>
            <color indexed="81"/>
            <rFont val="Tahoma"/>
            <family val="2"/>
          </rPr>
          <t xml:space="preserve">
no se consideran cono, se reconstruyen todas comolosa</t>
        </r>
      </text>
    </comment>
  </commentList>
</comments>
</file>

<file path=xl/sharedStrings.xml><?xml version="1.0" encoding="utf-8"?>
<sst xmlns="http://schemas.openxmlformats.org/spreadsheetml/2006/main" count="4121" uniqueCount="1918">
  <si>
    <t>ALCANTARILLADO</t>
  </si>
  <si>
    <t>Tubería PVC Corrugado 250 mm</t>
  </si>
  <si>
    <t>m3</t>
  </si>
  <si>
    <t>m2</t>
  </si>
  <si>
    <t>un</t>
  </si>
  <si>
    <t>m</t>
  </si>
  <si>
    <t>Losa para cámaras de inspección Øinterior 1,20 mts e=0,20mts. Concreto 24 Mpa. Incluye 64 kg de acero de refuerzo para tapa metálica</t>
  </si>
  <si>
    <t>Empalme de redes de alcantarillado a cámara existente</t>
  </si>
  <si>
    <t>ACUEDUCTO</t>
  </si>
  <si>
    <t xml:space="preserve">Tubería en PVC Ø=3" J.H. Presión de trabajo 200 PSI </t>
  </si>
  <si>
    <t>Unión en PVC J.H. Ø=3"</t>
  </si>
  <si>
    <t>Válvula de compuerta  Ø=3" J.H. E.L.</t>
  </si>
  <si>
    <t>Codo en HD Ø= 3" x 90°  J.H o E.L</t>
  </si>
  <si>
    <t>Tee en HD Ø= 3" x  3"  J.H o E.L</t>
  </si>
  <si>
    <t>Unión universal en HD R1 Ø=3"</t>
  </si>
  <si>
    <t>Acometida de acueducto en tubería PALP Ø=1/2" en tubería PVC Ø=3"</t>
  </si>
  <si>
    <t>Caja de protección de medidor con tapa en polipropileno</t>
  </si>
  <si>
    <t>Proyecto:</t>
  </si>
  <si>
    <t>ITEM Nº</t>
  </si>
  <si>
    <t>ESPEC</t>
  </si>
  <si>
    <t>DESCRIPCIÓN</t>
  </si>
  <si>
    <t>UNIDAD</t>
  </si>
  <si>
    <t>VALOR UNITARIO</t>
  </si>
  <si>
    <t xml:space="preserve">ACTIVIDADES PRELIMINARES </t>
  </si>
  <si>
    <t>ACERO DE REFUERZO</t>
  </si>
  <si>
    <t>Kg</t>
  </si>
  <si>
    <t>Un</t>
  </si>
  <si>
    <t>Localización y replanteo para pavimentación de vías (3 líneas, 3 instancias)</t>
  </si>
  <si>
    <t>2-01-01</t>
  </si>
  <si>
    <t>CANTIDAD</t>
  </si>
  <si>
    <t>2-01-08</t>
  </si>
  <si>
    <t>Corte de pavimento rigido con cortadora autopropulsada</t>
  </si>
  <si>
    <t>M</t>
  </si>
  <si>
    <t>2-01-10</t>
  </si>
  <si>
    <t>Demolición cono cámara</t>
  </si>
  <si>
    <t>2-01-11</t>
  </si>
  <si>
    <t>Demolición cuerpo cámara</t>
  </si>
  <si>
    <t>2-01-13</t>
  </si>
  <si>
    <t>Demolición sumidero</t>
  </si>
  <si>
    <t>M2</t>
  </si>
  <si>
    <t>DEMOLICIONES</t>
  </si>
  <si>
    <t>1-01-11</t>
  </si>
  <si>
    <t>M3</t>
  </si>
  <si>
    <t>2-02-01</t>
  </si>
  <si>
    <t>Excavación sin clasificar de la explanación (mecánica)</t>
  </si>
  <si>
    <t>1-01-19</t>
  </si>
  <si>
    <t>Cerramiento provisional con señalizador y tela de cerramiento</t>
  </si>
  <si>
    <t>1-02-06</t>
  </si>
  <si>
    <t>Demolición manual de Pavimento Rígido</t>
  </si>
  <si>
    <t>EXCAVACIONES Y LLENOS</t>
  </si>
  <si>
    <t>1-03-07</t>
  </si>
  <si>
    <t>Excavación en conglomerado seco de 0 - 2 m manual</t>
  </si>
  <si>
    <t>1-03-24</t>
  </si>
  <si>
    <t>Lleno compactado con material granular</t>
  </si>
  <si>
    <t>1-03-29</t>
  </si>
  <si>
    <t>Lleno con arena para tubería (Brecha de 0,60m de ancho e=0,1 m)</t>
  </si>
  <si>
    <t>2-05-09</t>
  </si>
  <si>
    <t>Pavimento en concreto MR = 4,1 Mpa premezclado, e = 0.2 m, incluye refuerzo, corte con disco y sello de juntas</t>
  </si>
  <si>
    <t>2-05-16</t>
  </si>
  <si>
    <t>Anden en concreto de 20,7 Mpa (3.000 psi) e = 0,10 m</t>
  </si>
  <si>
    <t>2-06-07</t>
  </si>
  <si>
    <t>Base y cañuela para cámara de inspección d = 1,20 m en concreto de 20,7 Mpa</t>
  </si>
  <si>
    <t>2-06-08</t>
  </si>
  <si>
    <t>Cuerpo para cámara de inspección d = 1,20 m, en concreto de 20,7 Mpa, no incluye refuerzo</t>
  </si>
  <si>
    <t>2-06-09</t>
  </si>
  <si>
    <t>Cono para cámara de inspección d = 1,20 m, en concreto de 20,7 Mpa, incluye refuerzo</t>
  </si>
  <si>
    <t>2-06-11</t>
  </si>
  <si>
    <t xml:space="preserve">Tapa en H. F. de 90 kg con cuello en concreto de 20,7 Mpa d = 0,60 m           </t>
  </si>
  <si>
    <t>2-06-12</t>
  </si>
  <si>
    <t>Sumidero en concreto de 20,7 Mpa, incluye reja con anticorrosivo</t>
  </si>
  <si>
    <t>PAVIMENTOS Y ANDENES</t>
  </si>
  <si>
    <t>REDES DE ALCANTARILLADO</t>
  </si>
  <si>
    <t>1-12-01</t>
  </si>
  <si>
    <t>REDES DE ACUEDUCTO</t>
  </si>
  <si>
    <t>1-12-24</t>
  </si>
  <si>
    <t>1-12-30</t>
  </si>
  <si>
    <t>1-12-54</t>
  </si>
  <si>
    <t>Hidrante tipo Milán de 3" extremo brida, incluye válvula sello de bronce y kit de nivelación</t>
  </si>
  <si>
    <t>1-12-57</t>
  </si>
  <si>
    <t>1-13-45</t>
  </si>
  <si>
    <t>1-13-42</t>
  </si>
  <si>
    <t>1-13-44</t>
  </si>
  <si>
    <t>1-13-52</t>
  </si>
  <si>
    <t>Silla Yee Pvc de pared estructural 315X160</t>
  </si>
  <si>
    <t>G-02-02</t>
  </si>
  <si>
    <t>Acero Fy = 60.000 psi d&gt;1/4"</t>
  </si>
  <si>
    <t>Sumidero doble en concreto de 20,7 Mpa, incluye reja con anticorrosivo</t>
  </si>
  <si>
    <t>TOTAL COSTO DIRECTO</t>
  </si>
  <si>
    <t>PRESUPUESTO TOTAL</t>
  </si>
  <si>
    <t>INTERVENTORIA</t>
  </si>
  <si>
    <t>PRESUPUESTO TOTAL CON INTERVENTORIA</t>
  </si>
  <si>
    <t>Análisis Mano de Obra Gobernación de Risaralda</t>
  </si>
  <si>
    <t>ANÁLISIS MANO DE OBRA</t>
  </si>
  <si>
    <t>Subsidio de Transporte (salario &lt;= 2 SMMLV)</t>
  </si>
  <si>
    <t>FACTOR PRESTACIONAL</t>
  </si>
  <si>
    <t>SALARIO &lt;= 2 SMMLV</t>
  </si>
  <si>
    <t>SALARIO &gt; 2 SMMLV</t>
  </si>
  <si>
    <t>PERSONAL TÉCNICO, OPERATIVO
Riesgo Clase V</t>
  </si>
  <si>
    <t>PERSONAL TÉCNICO, OPERATIVO
Riesgo Clase II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</si>
  <si>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</si>
  <si>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</si>
  <si>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</si>
  <si>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</si>
  <si>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</si>
  <si>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</si>
  <si>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</si>
  <si>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</si>
  <si>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</si>
  <si>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</si>
  <si>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</si>
  <si>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</si>
  <si>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</si>
  <si>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</si>
  <si>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</si>
  <si>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</si>
  <si>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Dias festivos (18 al año)</t>
  </si>
  <si>
    <t>Examenes medicos de ingreso y egreso</t>
  </si>
  <si>
    <t>NOMBRE</t>
  </si>
  <si>
    <t>SALARIO MENSUAL</t>
  </si>
  <si>
    <t>PRESTACIONES Y APORTES</t>
  </si>
  <si>
    <t>SALARIO + PRESTACIONES</t>
  </si>
  <si>
    <t>SALARIO DIA</t>
  </si>
  <si>
    <t>Cadenero 1</t>
  </si>
  <si>
    <t>Cadenero 2</t>
  </si>
  <si>
    <t>Liniero cat 1</t>
  </si>
  <si>
    <t>Liniero cat 2</t>
  </si>
  <si>
    <t>Maestro de obra</t>
  </si>
  <si>
    <t>Minero</t>
  </si>
  <si>
    <t>Oficial eléctrico</t>
  </si>
  <si>
    <t>Oficial pintor</t>
  </si>
  <si>
    <t>Operador de maquinaria</t>
  </si>
  <si>
    <t>Soldador</t>
  </si>
  <si>
    <t>Topógrafo</t>
  </si>
  <si>
    <t>Profesional en salud ocupacional</t>
  </si>
  <si>
    <t>Ayudante eléctrico</t>
  </si>
  <si>
    <t>Cuadrilla E 1 Of + 1 Ay (jornal + prestaciones)</t>
  </si>
  <si>
    <t>Cuadrilla G 1 Of + 2 Ay (jornal + prestaciones)</t>
  </si>
  <si>
    <t>Cuadrilla A 1 Of + 4 Ay (jornal + prestaciones)</t>
  </si>
  <si>
    <t>Cuadrilla B 1 Min + 2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</si>
  <si>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</si>
  <si>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</si>
  <si>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</si>
  <si>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</si>
  <si>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</si>
  <si>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>Cuadrilla J (1 Of eléctrico+1Ay eléctrico) (jornal + prestaciones)</t>
  </si>
  <si>
    <t>Cuadrilla K (1Of eléctrico+2Ay eléctricos) (jornal + prestaciones)</t>
  </si>
  <si>
    <t>Cuadrilla S (1Sold.+1Ay práctico) (jornal + prestaciones)</t>
  </si>
  <si>
    <t>Cuadrilla L 2 Of + 8 Ay (jornal + prestaciones)</t>
  </si>
  <si>
    <t>Cuadrilla M 1 Of + 3 Ay (jornal + prestaciones)</t>
  </si>
  <si>
    <t>Base de Datos Gobernación de Risaralda</t>
  </si>
  <si>
    <t>MANO DE OBRA</t>
  </si>
  <si>
    <t>CÓDIGO</t>
  </si>
  <si>
    <t>VALOR UNITARIO 2020</t>
  </si>
  <si>
    <t>MOB002</t>
  </si>
  <si>
    <t>Oficial (jornal + prestaciones)</t>
  </si>
  <si>
    <t>Día</t>
  </si>
  <si>
    <t>MOB003</t>
  </si>
  <si>
    <t>Ayudante (jornal + prestaciones)</t>
  </si>
  <si>
    <t>MOB004</t>
  </si>
  <si>
    <t>Ayudante práctico (jornal + prestaciones)</t>
  </si>
  <si>
    <t>MOB005</t>
  </si>
  <si>
    <t>MOB006</t>
  </si>
  <si>
    <t>MOB007</t>
  </si>
  <si>
    <t>Oficial eléctrico (jornal + prestaciones)</t>
  </si>
  <si>
    <t>MOB008</t>
  </si>
  <si>
    <t>MOB010</t>
  </si>
  <si>
    <t>MOB011</t>
  </si>
  <si>
    <t>Acarreo Horizontal</t>
  </si>
  <si>
    <t>% MO</t>
  </si>
  <si>
    <t>%</t>
  </si>
  <si>
    <t>MOB012</t>
  </si>
  <si>
    <t>Mes</t>
  </si>
  <si>
    <t>MOB013</t>
  </si>
  <si>
    <t>MOB014</t>
  </si>
  <si>
    <t>MOB015</t>
  </si>
  <si>
    <t>MOB016</t>
  </si>
  <si>
    <t>MOB017</t>
  </si>
  <si>
    <t>MOB018</t>
  </si>
  <si>
    <t>MOB019</t>
  </si>
  <si>
    <t>Ayudante eléctrico (jornal + prestaciones)</t>
  </si>
  <si>
    <t>MOB020</t>
  </si>
  <si>
    <t>MOB021</t>
  </si>
  <si>
    <t>MOB022</t>
  </si>
  <si>
    <t>MATERIALES</t>
  </si>
  <si>
    <t>VALOR UNITARIO 2019</t>
  </si>
  <si>
    <t>MAT,068</t>
  </si>
  <si>
    <t>Cemento gris saco por 50 kilos, incluye cargue, descargue y transporte</t>
  </si>
  <si>
    <t>Sc</t>
  </si>
  <si>
    <t>MAT,001</t>
  </si>
  <si>
    <t>Accesorios CPVC 1/2" promedio</t>
  </si>
  <si>
    <t>%Tub</t>
  </si>
  <si>
    <t>-</t>
  </si>
  <si>
    <t>MAT,002</t>
  </si>
  <si>
    <t>Accesorios para fijación de canal tipo metálico</t>
  </si>
  <si>
    <t>MAT,003</t>
  </si>
  <si>
    <t>Accesorios PVC agua lluvia (% tubería)</t>
  </si>
  <si>
    <t>MAT,004</t>
  </si>
  <si>
    <t>Accesorios PVC presión</t>
  </si>
  <si>
    <t>MAT,540</t>
  </si>
  <si>
    <t>Accesorios PVC sanitaria (% tubería)</t>
  </si>
  <si>
    <t>MAT,005</t>
  </si>
  <si>
    <t>Accesorios PVC sanitaria 2" promedio</t>
  </si>
  <si>
    <t>MAT,006</t>
  </si>
  <si>
    <t>Accesorios PVC sanitaria 3" promedio</t>
  </si>
  <si>
    <t>MAT,007</t>
  </si>
  <si>
    <t>Accesorios PVC sanitaria 4" promedio</t>
  </si>
  <si>
    <t>MAT,008</t>
  </si>
  <si>
    <t>Accesorios y empaques canal PVC promedio de: U y soporte</t>
  </si>
  <si>
    <t>MAT,009</t>
  </si>
  <si>
    <t>Acelerante de fraguado y resistencia para concretos
y morteros.</t>
  </si>
  <si>
    <t>MAT,010</t>
  </si>
  <si>
    <t>Acero de Fy = 37.000 psi d=1/4 puesto en obra</t>
  </si>
  <si>
    <t>MAT,011</t>
  </si>
  <si>
    <t>Acero de Fy = 60.000 psi d&gt;1/4 puesto en obra</t>
  </si>
  <si>
    <t>MAT,534</t>
  </si>
  <si>
    <t>Acople flexible</t>
  </si>
  <si>
    <t>MAT,012</t>
  </si>
  <si>
    <t>ACPM</t>
  </si>
  <si>
    <t>Gl</t>
  </si>
  <si>
    <t>MAT,013</t>
  </si>
  <si>
    <t>Acrílico lámpara fluorescente de 0.60 x 1.20 m</t>
  </si>
  <si>
    <t>MAT,014</t>
  </si>
  <si>
    <t>Adaptador bajante PVC agua lluvia cuadrada 3 x 3</t>
  </si>
  <si>
    <t>MAT,015</t>
  </si>
  <si>
    <t>Adaptador macho PF + UAD 1/2"</t>
  </si>
  <si>
    <t>MAT,016</t>
  </si>
  <si>
    <t>Adaptador PVC macho de 1 1/2" presión</t>
  </si>
  <si>
    <t>MAT,017</t>
  </si>
  <si>
    <t>Adaptador PVC macho de 1" presión</t>
  </si>
  <si>
    <t>MAT,018</t>
  </si>
  <si>
    <t>Adaptador PVC macho de 1/2" presión</t>
  </si>
  <si>
    <t>MAT,019</t>
  </si>
  <si>
    <t>Adaptador PVC macho de 2" presión</t>
  </si>
  <si>
    <t>MAT,020</t>
  </si>
  <si>
    <t>Adaptador PVC macho de 3/4" presión</t>
  </si>
  <si>
    <t>MAT,021</t>
  </si>
  <si>
    <t>Adhesivo epóxico para pegar concreto fresco con endurecido de curado lento.</t>
  </si>
  <si>
    <t>MAT,258</t>
  </si>
  <si>
    <t>Adhesivo epóxico tipo IV grado 3 (ASTM C-881-02) para anclar barras de acero al concreto. X 600 ml (Sikadur® AnchorFix®-4 tubo x 600 ml)</t>
  </si>
  <si>
    <t>MAT,022</t>
  </si>
  <si>
    <t>Adhesivo para piso de vinilo</t>
  </si>
  <si>
    <t>MAT,023</t>
  </si>
  <si>
    <t>Adhesivo para tubería de pared estructural 310 ml</t>
  </si>
  <si>
    <t>MAT,024</t>
  </si>
  <si>
    <t>Adoquín en Gress peatonal (3x10x20cm)</t>
  </si>
  <si>
    <t>MAT,025</t>
  </si>
  <si>
    <t>Adoquín peatonal gris de concreto e = 0.06 m</t>
  </si>
  <si>
    <t>MAT,552</t>
  </si>
  <si>
    <t>Adoquín vehicular gris de concreto e = 8 cm</t>
  </si>
  <si>
    <t>MAT,026</t>
  </si>
  <si>
    <t>Afirmado para mantenimiento vial y elementos no estructurales</t>
  </si>
  <si>
    <t>MAT,027</t>
  </si>
  <si>
    <t xml:space="preserve">Agua </t>
  </si>
  <si>
    <t>Lt</t>
  </si>
  <si>
    <t>MAT,028</t>
  </si>
  <si>
    <t>Alambre de púas C 14</t>
  </si>
  <si>
    <t>MAT,029</t>
  </si>
  <si>
    <t xml:space="preserve">Alambre galvanizado C 12 </t>
  </si>
  <si>
    <t>MAT,030</t>
  </si>
  <si>
    <t>Alambre negro calibre 18</t>
  </si>
  <si>
    <t>MAT,031</t>
  </si>
  <si>
    <t>Alas para cerámica (wings)</t>
  </si>
  <si>
    <t>MAT,517</t>
  </si>
  <si>
    <t>Almohadilla de neopreno 400 x 400 x 30 mm, reforzada con 1 platina de 12 mm</t>
  </si>
  <si>
    <t>MAT,641</t>
  </si>
  <si>
    <t>Almohadillas de neopreno dureza 60 (35cm*35cm*5cm con 2 láminas de 3mm)</t>
  </si>
  <si>
    <t>MAT,032</t>
  </si>
  <si>
    <t>Amarras con tapa plástica</t>
  </si>
  <si>
    <t>MAT,033</t>
  </si>
  <si>
    <t>Amortiguador de 360 mm, calibre 3/16 ", galvanizado en caliente, incluye tornilleria</t>
  </si>
  <si>
    <t>MAT,034</t>
  </si>
  <si>
    <t>Ángulo de 1 1/2" x 1/8"</t>
  </si>
  <si>
    <t>MAT,035</t>
  </si>
  <si>
    <t>Ángulo de 1" x 1/8"</t>
  </si>
  <si>
    <t>MAT,036</t>
  </si>
  <si>
    <t>Ángulo de 2" x 3/16"</t>
  </si>
  <si>
    <t>MAT,516</t>
  </si>
  <si>
    <t>Ángulo de 2" x 1/8"</t>
  </si>
  <si>
    <t>MAT,037</t>
  </si>
  <si>
    <t>Angulo perimetral de 2,44</t>
  </si>
  <si>
    <t>MAT,038</t>
  </si>
  <si>
    <t>Anticorrosivo gris</t>
  </si>
  <si>
    <t>MAT,039</t>
  </si>
  <si>
    <t>Antisol blanco</t>
  </si>
  <si>
    <t>MAT,040</t>
  </si>
  <si>
    <t xml:space="preserve">Arena </t>
  </si>
  <si>
    <t>MAT,041</t>
  </si>
  <si>
    <t>Arenón</t>
  </si>
  <si>
    <t>MAT,042</t>
  </si>
  <si>
    <t>Aro base y aro tapa de H. F. d = 0,60 m</t>
  </si>
  <si>
    <t>MAT,043</t>
  </si>
  <si>
    <t>Aro para baloncesto, incluye malla</t>
  </si>
  <si>
    <t>MAT,512</t>
  </si>
  <si>
    <t>Asfalto para liga tipo CRR-1 o CRR 2</t>
  </si>
  <si>
    <t>lt</t>
  </si>
  <si>
    <t>MAT,044</t>
  </si>
  <si>
    <t>Asfalto líquido MC-30 para imprimar</t>
  </si>
  <si>
    <t>MAT,654</t>
  </si>
  <si>
    <t>Azadones con cabo</t>
  </si>
  <si>
    <t>MAT,524</t>
  </si>
  <si>
    <t>Baldosa Grano Tradicional Blanco Huila BH5 de 30 x 30 cm. Tipo Alfa o Similar. Fondo Blanco</t>
  </si>
  <si>
    <t>MAT,045</t>
  </si>
  <si>
    <t>Baldosa de cemento de 0,25 x 0,25 m</t>
  </si>
  <si>
    <t>MAT,046</t>
  </si>
  <si>
    <t>Baldosa tipo Terrazzo No. 5 P5B de 30 x 30 cm</t>
  </si>
  <si>
    <t>MAT,047</t>
  </si>
  <si>
    <t>Barniz intemperie brillante</t>
  </si>
  <si>
    <t>MAT,639</t>
  </si>
  <si>
    <t>Bisagra de cobre 3- 1/2"</t>
  </si>
  <si>
    <t>MAT,048</t>
  </si>
  <si>
    <t>Bisagra de hierro para puerta</t>
  </si>
  <si>
    <t>MAT,531</t>
  </si>
  <si>
    <t>Bisagra de hierro para rejilla cañuela</t>
  </si>
  <si>
    <t>MAT,528</t>
  </si>
  <si>
    <t>Bisagra armillar hierro 2"</t>
  </si>
  <si>
    <t>MAT,049</t>
  </si>
  <si>
    <t>Bloque de cemento de 0,14 x 0,19 x 0,39 m</t>
  </si>
  <si>
    <t>MAT,050</t>
  </si>
  <si>
    <t>Bloque de cemento de 0,14 x 0,19 x 0,39 m estructural</t>
  </si>
  <si>
    <t>MAT,051</t>
  </si>
  <si>
    <t>Bloque de vidrio 20 x 20</t>
  </si>
  <si>
    <t>MAT,052</t>
  </si>
  <si>
    <t>Bloque piedra de 0,14 x 0,19 x 0,39 m</t>
  </si>
  <si>
    <t>MAT,053</t>
  </si>
  <si>
    <t>Bolsacreto 1101 o similar</t>
  </si>
  <si>
    <t>MAT,054</t>
  </si>
  <si>
    <t>Bolsacreto 1401 o similar</t>
  </si>
  <si>
    <t>MAT,055</t>
  </si>
  <si>
    <t>Boquilla para enchape</t>
  </si>
  <si>
    <t>MAT,509</t>
  </si>
  <si>
    <t>Borax</t>
  </si>
  <si>
    <t>MAT,513</t>
  </si>
  <si>
    <t>Bordillo prefabricado A80 (800 x 200 x 350 mm)</t>
  </si>
  <si>
    <t>MAT,545</t>
  </si>
  <si>
    <t xml:space="preserve">Breaker 3X100A Qcx-3100N </t>
  </si>
  <si>
    <t>MAT,056</t>
  </si>
  <si>
    <t>Breaker monofásico de 60A</t>
  </si>
  <si>
    <t>MAT,057</t>
  </si>
  <si>
    <t>MAT,058</t>
  </si>
  <si>
    <t>Caballete canaleta 90 articulado (ambos) l = 0.91 m</t>
  </si>
  <si>
    <t>MAT,059</t>
  </si>
  <si>
    <t>Caballete canaleta 90 fijo</t>
  </si>
  <si>
    <t>MAT,553</t>
  </si>
  <si>
    <t>Caballete teja ondulada fibrocemento tipo español articulado 2 piezas</t>
  </si>
  <si>
    <t>MAT,554</t>
  </si>
  <si>
    <t>Caballete teja ondulada fibrocemento fijo l = 0,873 m</t>
  </si>
  <si>
    <t>MAT,060</t>
  </si>
  <si>
    <t>Caballete thermoacustic</t>
  </si>
  <si>
    <t>MAT,061</t>
  </si>
  <si>
    <t>Calados de 20 x 20 x 10 cm en gres</t>
  </si>
  <si>
    <t>MAT,555</t>
  </si>
  <si>
    <t>Calados en concreto 12x20x40 (12 un/m2)</t>
  </si>
  <si>
    <t>MAT,062</t>
  </si>
  <si>
    <t>Cañabrava</t>
  </si>
  <si>
    <t>MAT,548</t>
  </si>
  <si>
    <t>Canaleta 90 fibrocemento</t>
  </si>
  <si>
    <t>MAT,522</t>
  </si>
  <si>
    <t>Canal 60 en 2,4  calibre 26</t>
  </si>
  <si>
    <t>MAT,063</t>
  </si>
  <si>
    <t>Canal PVC Tipo amazonas o similar</t>
  </si>
  <si>
    <t>MAT,064</t>
  </si>
  <si>
    <t>Capa plástica para adulto contra lluvia (1,50 x 2 m)</t>
  </si>
  <si>
    <t>Captafaro</t>
  </si>
  <si>
    <t>MAT,065</t>
  </si>
  <si>
    <t>Carburo</t>
  </si>
  <si>
    <t>MAT,066</t>
  </si>
  <si>
    <t>Casco tipo obrero</t>
  </si>
  <si>
    <t>MAT,525</t>
  </si>
  <si>
    <t>Casetón en esterilla h = 0,30,  a = 0,65 m</t>
  </si>
  <si>
    <t>MAT.546</t>
  </si>
  <si>
    <t>Casetón en esterilla h = 0,35, a = 0,65 m</t>
  </si>
  <si>
    <t>MAT,547</t>
  </si>
  <si>
    <t>Casetón en esterilla h = 0,40, a = 0,65 m</t>
  </si>
  <si>
    <t>MAT,520</t>
  </si>
  <si>
    <t>Casetón en esterilla h = 0,45, a = 0,65 m</t>
  </si>
  <si>
    <t>MAT,521</t>
  </si>
  <si>
    <t>Casetón en esterilla h = 0,50, a = 0,65 m</t>
  </si>
  <si>
    <t>MAT,067</t>
  </si>
  <si>
    <t>Cemento blanco</t>
  </si>
  <si>
    <t>MAT,069</t>
  </si>
  <si>
    <t>Cepas, macollas o matas de pasto</t>
  </si>
  <si>
    <t>MAT,070</t>
  </si>
  <si>
    <t>Cera</t>
  </si>
  <si>
    <t>Lb</t>
  </si>
  <si>
    <t>MAT,071</t>
  </si>
  <si>
    <t>Cerámica blanca de 1ra. de 20,5 x 20,5 cm tipo Egeo</t>
  </si>
  <si>
    <t>MAT,072</t>
  </si>
  <si>
    <t>Cerámica color 1ra. de 25 x 25 cm tipo Macedonia</t>
  </si>
  <si>
    <t>MAT,073</t>
  </si>
  <si>
    <t>Cerámica de 1ra. de 20 x 20 cm tipo Duratech</t>
  </si>
  <si>
    <t>MAT,074</t>
  </si>
  <si>
    <t>Cerámica de 1ra. de 20 x 20 cm tipo Ecocerámica</t>
  </si>
  <si>
    <t>MAT,075</t>
  </si>
  <si>
    <t>Cerámica de 1ra. de 40 x 40 cm tipo Mangle Euro-cerámica</t>
  </si>
  <si>
    <t>MAT,076</t>
  </si>
  <si>
    <t>Cerámica de 1ra. trafico 4 de 32 x 32 cm tipo Terranova</t>
  </si>
  <si>
    <t>MAT,077</t>
  </si>
  <si>
    <t>Cerámica piso Antique 30.5 x 30.5 cm.Tipo Alfa o Similar. Color Blanco o Beige</t>
  </si>
  <si>
    <t>MAT,078</t>
  </si>
  <si>
    <t>Ceramica tipo Terrazzo de 42,5x42,5 gris</t>
  </si>
  <si>
    <t>MAT,079</t>
  </si>
  <si>
    <t>Cercha metálica 5 - 12 m, incluye anticorrosivo</t>
  </si>
  <si>
    <t>MAT,080</t>
  </si>
  <si>
    <t>Chalecos para obras banda reflectiva</t>
  </si>
  <si>
    <t>MAT,081</t>
  </si>
  <si>
    <t>Chapa de bola fina de madera Schlage o similar</t>
  </si>
  <si>
    <t>MAT,082</t>
  </si>
  <si>
    <t>Chapa fina tipo Schlage, Yale o similar para portón</t>
  </si>
  <si>
    <t>MAT,083</t>
  </si>
  <si>
    <t>Cheque de 1 1/2" 200 psi</t>
  </si>
  <si>
    <t>MAT,084</t>
  </si>
  <si>
    <t>Cheque de 1"</t>
  </si>
  <si>
    <t>MAT,085</t>
  </si>
  <si>
    <t>Cheque de 1/2"</t>
  </si>
  <si>
    <t>MAT,647</t>
  </si>
  <si>
    <t>Cheque de 1/2" en bronce fundido</t>
  </si>
  <si>
    <t>MAT,644</t>
  </si>
  <si>
    <t>Cheque de 3/4" en bronce fundido</t>
  </si>
  <si>
    <t>MAT,648</t>
  </si>
  <si>
    <t>Cheque de 1" en bronce fundido</t>
  </si>
  <si>
    <t>MAT,649</t>
  </si>
  <si>
    <t>Cheque de 1 1/2" en bronce fundido</t>
  </si>
  <si>
    <t>MAT,086</t>
  </si>
  <si>
    <t>Cielo falso en aluminio anoloc e icopor perlita lisa</t>
  </si>
  <si>
    <t>MAT,087</t>
  </si>
  <si>
    <t>Cielo falso en aluminio anoloc e icopor perlita sintética</t>
  </si>
  <si>
    <t>MAT,088</t>
  </si>
  <si>
    <t>Cielo falso en aluminio natural e icopor perlita lisa</t>
  </si>
  <si>
    <t>MAT,089</t>
  </si>
  <si>
    <t>Cielo falso en aluminio natural e icopor perlita sintética</t>
  </si>
  <si>
    <t>MAT,090</t>
  </si>
  <si>
    <t>Cielo falso en luxalón</t>
  </si>
  <si>
    <t>MAT,091</t>
  </si>
  <si>
    <t>Cinta aislante  rollo 19 mm x 20 m.3/4</t>
  </si>
  <si>
    <t>MAT,092</t>
  </si>
  <si>
    <t>Cinta antideslizante de 25 mm</t>
  </si>
  <si>
    <t>MAT,093</t>
  </si>
  <si>
    <t>Cinta bandit de 3/4"</t>
  </si>
  <si>
    <t>MAT,094</t>
  </si>
  <si>
    <t>Cinta de papel</t>
  </si>
  <si>
    <t>MAT,095</t>
  </si>
  <si>
    <t>Cinta de señalización cal 6</t>
  </si>
  <si>
    <t>MAT,096</t>
  </si>
  <si>
    <t>Cinta de teflón 10 m</t>
  </si>
  <si>
    <t>MAT,097</t>
  </si>
  <si>
    <t>Cinta multiusos 15 cms de ancho, longitud 10 m</t>
  </si>
  <si>
    <t>Rollo</t>
  </si>
  <si>
    <t>MAT,098</t>
  </si>
  <si>
    <t>Cinta PVC V - 10</t>
  </si>
  <si>
    <t>MAT,099</t>
  </si>
  <si>
    <t>Cinta PVC V - 15</t>
  </si>
  <si>
    <t>MAT,100</t>
  </si>
  <si>
    <t>Codo de HG 2" x 90º</t>
  </si>
  <si>
    <t>MAT,101</t>
  </si>
  <si>
    <t>Codo de HG 3" x 90º</t>
  </si>
  <si>
    <t>MAT,102</t>
  </si>
  <si>
    <t>Collar de derivación unión platino de 2 1/2" x 1/2"</t>
  </si>
  <si>
    <t>MAT,103</t>
  </si>
  <si>
    <t>Collar de derivación unión platino de 2" x 1/2"</t>
  </si>
  <si>
    <t>MAT,104</t>
  </si>
  <si>
    <t>Collar de derivación unión platino de 3" x 1/2"</t>
  </si>
  <si>
    <t>MAT,105</t>
  </si>
  <si>
    <t>Collar de derivación unión platino de 4" x 1/2"</t>
  </si>
  <si>
    <t>MAT,556</t>
  </si>
  <si>
    <t>Claraboya de fibrocemento No. 6 l = 1,690 a = 0,873 m</t>
  </si>
  <si>
    <t>MAT,106</t>
  </si>
  <si>
    <t>Columpio de 2 puestos Pórtico en tubo de 11/2" por 2.50 mts, columpios en cadena y sillines en lona, Incluye anticorrosivo y pintura en esmalte para esteriores. Altura = 2m</t>
  </si>
  <si>
    <t>MAT,107</t>
  </si>
  <si>
    <t>Columpio de 3 puestos Pórtico en tubo de 11/2" por 2.50 mts, columpios en cadena y sillines en lona, Incluye anticorrosivo y pintura en esmalte para esteriores. Altura = 2m</t>
  </si>
  <si>
    <t>MAT,108</t>
  </si>
  <si>
    <t>Combiflex H-10 cinta</t>
  </si>
  <si>
    <t>MAT,501</t>
  </si>
  <si>
    <t>Concreto premezclado de 27,6 Mpa o MR 4,1 Mpa para pavimento</t>
  </si>
  <si>
    <t>MAT,506</t>
  </si>
  <si>
    <t>Concreto premezclado de 20,7 Mpa</t>
  </si>
  <si>
    <t>MAT,363</t>
  </si>
  <si>
    <t>Concertina inoxidable d = 18" 33 espirales por rollo con e = 100 mm</t>
  </si>
  <si>
    <t>MAT,109</t>
  </si>
  <si>
    <t>Conjunto desagüe flexible para lavadero de 1 1/2" con canastillas</t>
  </si>
  <si>
    <t>MAT,110</t>
  </si>
  <si>
    <t>Conjunto fijador de ala arandela</t>
  </si>
  <si>
    <t>MAT,111</t>
  </si>
  <si>
    <t>Conos viales de 70 cm Norma Invías Cap. IV</t>
  </si>
  <si>
    <t>MAT,112</t>
  </si>
  <si>
    <t>Cordón detonante de 12 gm (Rollo * 250 m)</t>
  </si>
  <si>
    <t>MAT,518</t>
  </si>
  <si>
    <t>Correa metálica 1 - 4  m, incluye templete y anticorrosivo</t>
  </si>
  <si>
    <t>MAT,113</t>
  </si>
  <si>
    <t>Correa metálica 4 - 8  m, incluye templete y anticorrosivo</t>
  </si>
  <si>
    <t>MAT,114</t>
  </si>
  <si>
    <t>Cruces de HG 2"</t>
  </si>
  <si>
    <t>MAT,115</t>
  </si>
  <si>
    <t>Cruces de HG 3"</t>
  </si>
  <si>
    <t>MAT,557</t>
  </si>
  <si>
    <t>Cubierta en acero inoxidable para mesón cocineta, incluye poceta y grifería completa l= 2,00m a = 0.60 m</t>
  </si>
  <si>
    <t>MAT,558</t>
  </si>
  <si>
    <t>Curva Conduit PVC 1/2"</t>
  </si>
  <si>
    <t>MAT,116</t>
  </si>
  <si>
    <t>Cuartón de sajo 2" x 4" x 2,9 m</t>
  </si>
  <si>
    <t>MAT,117</t>
  </si>
  <si>
    <t>Defensa Metálica De 4,13 M Galvanizada</t>
  </si>
  <si>
    <t>MAT,118</t>
  </si>
  <si>
    <t>Detonador Común No. 8 Aluminio Sh</t>
  </si>
  <si>
    <t>MAT,119</t>
  </si>
  <si>
    <t>Dilatación de bronce</t>
  </si>
  <si>
    <t>MAT,120</t>
  </si>
  <si>
    <t>Dilatación de vidrio</t>
  </si>
  <si>
    <t>MAT,121</t>
  </si>
  <si>
    <t>Dilatación PVC flexible ancha x 2 m</t>
  </si>
  <si>
    <t>MAT,122</t>
  </si>
  <si>
    <t>Dinamita Indugel Plus AP Tipo B 26X250</t>
  </si>
  <si>
    <t>MAT,123</t>
  </si>
  <si>
    <t>Disolvente Esmalte Rf121001</t>
  </si>
  <si>
    <t>LT</t>
  </si>
  <si>
    <t>MAT,124</t>
  </si>
  <si>
    <t>Disolvente Pintrafico Rf121004</t>
  </si>
  <si>
    <t>MAT,125</t>
  </si>
  <si>
    <t>Disolvente Tableros Rf 121006</t>
  </si>
  <si>
    <t>MAT,530</t>
  </si>
  <si>
    <t xml:space="preserve">División metálica en acero inoxidable </t>
  </si>
  <si>
    <t>MAT,126</t>
  </si>
  <si>
    <t>División para baño en aluminio anoloc y acrílico</t>
  </si>
  <si>
    <t>MAT,127</t>
  </si>
  <si>
    <t>Ducha antivándalica regadera tubular corta, incluye griferia tipo push</t>
  </si>
  <si>
    <t>MAT,128</t>
  </si>
  <si>
    <t>Emulsión para pavimento asfáltico CRR 1</t>
  </si>
  <si>
    <t>MAT,129</t>
  </si>
  <si>
    <t>Esquinero Cieloraso Fino</t>
  </si>
  <si>
    <t>MAT,130</t>
  </si>
  <si>
    <t>Esquinero Cieloraso Revoltura</t>
  </si>
  <si>
    <t>MAT,131</t>
  </si>
  <si>
    <t>Estacas de guadua</t>
  </si>
  <si>
    <t>MAT,132</t>
  </si>
  <si>
    <t>Esterilla</t>
  </si>
  <si>
    <t>MAT,133</t>
  </si>
  <si>
    <t>Estopa</t>
  </si>
  <si>
    <t>MAT,559</t>
  </si>
  <si>
    <t>Espejo de 4 mm biselado incluye accesorios de instalación</t>
  </si>
  <si>
    <t>MAT,134</t>
  </si>
  <si>
    <t>Estuco (25 Kg)</t>
  </si>
  <si>
    <t>MAT,135</t>
  </si>
  <si>
    <t>Estuco listo</t>
  </si>
  <si>
    <t>MAT,136</t>
  </si>
  <si>
    <t>Estuco para exteriores</t>
  </si>
  <si>
    <t>MAT,137</t>
  </si>
  <si>
    <t>Face plate doble</t>
  </si>
  <si>
    <t>MAT,138</t>
  </si>
  <si>
    <t>Fachaleta roja 7x25 30u/m2</t>
  </si>
  <si>
    <t>MAT,139</t>
  </si>
  <si>
    <t>Fertilizante</t>
  </si>
  <si>
    <t>MAT,140</t>
  </si>
  <si>
    <t>Fijador de ala canaleta 90</t>
  </si>
  <si>
    <t>MAT,141</t>
  </si>
  <si>
    <t>Fijador de cerámica</t>
  </si>
  <si>
    <t>MAT,142</t>
  </si>
  <si>
    <t>Filtro anaerobio de flujo ascentdente en polietileno 100% virgen, capacidad 2,000 lts</t>
  </si>
  <si>
    <t>MAT,143</t>
  </si>
  <si>
    <t>Filtro anaerobio de flujo ascentdente en polietileno 100% virgen, capacidad 4,000 lts</t>
  </si>
  <si>
    <t>MAT,144</t>
  </si>
  <si>
    <t>Flexocreto</t>
  </si>
  <si>
    <t>MAT,145</t>
  </si>
  <si>
    <t>Fluidificante para mezclas de concreto.</t>
  </si>
  <si>
    <t>MAT,146</t>
  </si>
  <si>
    <t>Fluxómetro de palanca sloan</t>
  </si>
  <si>
    <t>MAT,147</t>
  </si>
  <si>
    <t>Fluxómetro flujo ajustable, incluye accesorios</t>
  </si>
  <si>
    <t>MAT,148</t>
  </si>
  <si>
    <t>Formaleta  tablemac 18 mm super T o equivalente</t>
  </si>
  <si>
    <t>MAT,150</t>
  </si>
  <si>
    <t>Frescasa sin papel 2 1/2" x 15,24 x 1,22 m</t>
  </si>
  <si>
    <t>MAT,151</t>
  </si>
  <si>
    <t>Gabinete contra incendios completo tipo 3</t>
  </si>
  <si>
    <t>MAT,152</t>
  </si>
  <si>
    <t>Ganchos para teja ondulada de fibrocemento</t>
  </si>
  <si>
    <t>MAT,153</t>
  </si>
  <si>
    <t>Gasolina</t>
  </si>
  <si>
    <t>MAT,154</t>
  </si>
  <si>
    <t>Geodren circular de 2 1/2" l = 1 m</t>
  </si>
  <si>
    <t>MAT,155</t>
  </si>
  <si>
    <t>Geodren circular de 4" l = 1,00 m</t>
  </si>
  <si>
    <t>MAT,156</t>
  </si>
  <si>
    <t>Geodren circular de 6" l = 1,00 m</t>
  </si>
  <si>
    <t>MAT,157</t>
  </si>
  <si>
    <t>Geodren circular de 8" l = 1,00 m</t>
  </si>
  <si>
    <t>MAT,158</t>
  </si>
  <si>
    <t>Geodren planar l = 1,00 m</t>
  </si>
  <si>
    <t>MAT,159</t>
  </si>
  <si>
    <t>Geomalla BX 1200</t>
  </si>
  <si>
    <t>MAT,642</t>
  </si>
  <si>
    <t>Geotextil tejido 2.400 a = 3,85 m</t>
  </si>
  <si>
    <r>
      <t>M</t>
    </r>
    <r>
      <rPr>
        <b/>
        <vertAlign val="superscript"/>
        <sz val="10"/>
        <rFont val="Arial"/>
        <family val="2"/>
      </rPr>
      <t>2</t>
    </r>
  </si>
  <si>
    <t>MAT,160</t>
  </si>
  <si>
    <t>Geotextil no tejido 1,600 a = 3,50 m</t>
  </si>
  <si>
    <t>MAT,161</t>
  </si>
  <si>
    <t>Geotextil Repav 450</t>
  </si>
  <si>
    <t>MAT,162</t>
  </si>
  <si>
    <t>Grafil 5,5 mm</t>
  </si>
  <si>
    <t>kg</t>
  </si>
  <si>
    <t>MAT,645</t>
  </si>
  <si>
    <t>Granito N°1,2,3 por 23 Kg</t>
  </si>
  <si>
    <t>MAT,163</t>
  </si>
  <si>
    <t>Graniplast (cuñete de 5 galones)</t>
  </si>
  <si>
    <t>Cñ</t>
  </si>
  <si>
    <t>MAT,164</t>
  </si>
  <si>
    <t>Grapas</t>
  </si>
  <si>
    <t>MAT,165</t>
  </si>
  <si>
    <t>Gravilla #2 SACO X 20K</t>
  </si>
  <si>
    <t>MAT,640</t>
  </si>
  <si>
    <t>Grifería de empotrar corta línea antivandálica, incluye válvula tipo push</t>
  </si>
  <si>
    <t>MAT,168</t>
  </si>
  <si>
    <t>Griferia lavamanos de mesa tipo push</t>
  </si>
  <si>
    <t>MAT,169</t>
  </si>
  <si>
    <t>Grifería orinal a pared tipo push, entrada de 1/2"</t>
  </si>
  <si>
    <t>MAT,170</t>
  </si>
  <si>
    <t>Grifería orinal de empotrar tipo push mediano</t>
  </si>
  <si>
    <t>MAT,171</t>
  </si>
  <si>
    <t>Grifería para lavamanos Artesa grival</t>
  </si>
  <si>
    <t>MAT,172</t>
  </si>
  <si>
    <t>Grifería para lavamanos Dalia grival</t>
  </si>
  <si>
    <t>MAT,173</t>
  </si>
  <si>
    <t>Grifería pico empotrado línea antivandálica, incluye válvula tipo push</t>
  </si>
  <si>
    <t>MAT,174</t>
  </si>
  <si>
    <t>Grifería taza tipo push antivandálica</t>
  </si>
  <si>
    <t>MAT,543</t>
  </si>
  <si>
    <t>Grifería (llave, canastilla y sifón)</t>
  </si>
  <si>
    <t>MAT,175</t>
  </si>
  <si>
    <t>Grouting 17,2 Mpa</t>
  </si>
  <si>
    <t>MAT,176</t>
  </si>
  <si>
    <t>Guadua basa longitud promedio = 5 m</t>
  </si>
  <si>
    <t>MAT,177</t>
  </si>
  <si>
    <t>Guadua sobrebasa</t>
  </si>
  <si>
    <t>MAT,178</t>
  </si>
  <si>
    <t>Guarda escobas en madera a = 0,08 m cedro blanco tintilla y laca</t>
  </si>
  <si>
    <t>MAT,179</t>
  </si>
  <si>
    <t>Guarda luz (varilla)</t>
  </si>
  <si>
    <t>MAT,180</t>
  </si>
  <si>
    <t>Herbicida</t>
  </si>
  <si>
    <t>MAT,181</t>
  </si>
  <si>
    <t>Hidrante tipo Milán de 3" extremo brida, incluye kit de nivelación</t>
  </si>
  <si>
    <t>MAT,182</t>
  </si>
  <si>
    <t>Hidrante tipo Milán de 3" extremo liso, incluye kit de nivelación</t>
  </si>
  <si>
    <t>MAT,183</t>
  </si>
  <si>
    <t>Hidrosello PVC 110 Mm</t>
  </si>
  <si>
    <t>MAT,184</t>
  </si>
  <si>
    <t>Hidrosello PVC 160 Mm</t>
  </si>
  <si>
    <t>MAT,536</t>
  </si>
  <si>
    <t>Incrustaciones tipo astro (6 un)</t>
  </si>
  <si>
    <t>MAT,185</t>
  </si>
  <si>
    <t>Icopor e = 1"</t>
  </si>
  <si>
    <t>MAT,186</t>
  </si>
  <si>
    <t>Impermeabilizante bituminoso para cubiertas</t>
  </si>
  <si>
    <t>MAT,187</t>
  </si>
  <si>
    <t>Impermeabilizante integral para concreto</t>
  </si>
  <si>
    <t>MAT,188</t>
  </si>
  <si>
    <t>Impermeabilizante integral para morteros, con polímeros sintéticos</t>
  </si>
  <si>
    <t>MAT,189</t>
  </si>
  <si>
    <t>Imprimante para manto edil</t>
  </si>
  <si>
    <t>MAT,529</t>
  </si>
  <si>
    <t>Incrustaciones tipo Adhesivos (viene por 6 un)</t>
  </si>
  <si>
    <t>MAT,190</t>
  </si>
  <si>
    <t>Incrustaciones tipo allegro (5 un)</t>
  </si>
  <si>
    <t>MAT,191</t>
  </si>
  <si>
    <t>Insecticida</t>
  </si>
  <si>
    <t>MAT,192</t>
  </si>
  <si>
    <t>Interruptor conmutable</t>
  </si>
  <si>
    <t>MAT,193</t>
  </si>
  <si>
    <t>Interruptor doble sin luz piloto</t>
  </si>
  <si>
    <t>MAT,194</t>
  </si>
  <si>
    <t xml:space="preserve">Interruptor sencillo sin luz piloto. </t>
  </si>
  <si>
    <t>MAT,650</t>
  </si>
  <si>
    <t>Juego de estructura multiple Movible, (micro - baloncesto),  elaborada en tuberia agua negra de primera calidad, de diametro interior de 2½ pulgadas la porteria, el resto de la estructura de 1½ pulgadas, tablero en acrilico de 10 mm. color cristal de medidas 1.20 x 1.80 mts. debidamente demarcado con aro, incluye mallas para aro y porteria. Movible: con ruedas y sobrepeso</t>
  </si>
  <si>
    <t>MAT,195</t>
  </si>
  <si>
    <t>Juegos infantiles de madera en pino completo</t>
  </si>
  <si>
    <t>MAT,196</t>
  </si>
  <si>
    <t>Juegos infantiles de madera en pino, básico</t>
  </si>
  <si>
    <t>MAT,197</t>
  </si>
  <si>
    <t>Kit de accesorios para sistema septico de 2000 lts</t>
  </si>
  <si>
    <t>MAT,198</t>
  </si>
  <si>
    <t>Kit de accesorios para sistema septico de 4000 lts</t>
  </si>
  <si>
    <t>MAT,199</t>
  </si>
  <si>
    <t>Kit Séptico 2000 Litros + Aeróbico 1000 Litros</t>
  </si>
  <si>
    <t>MAT,200</t>
  </si>
  <si>
    <t>Ladrillo farol rayado de 0,10 x 0,20 x 0,30 m</t>
  </si>
  <si>
    <t>MAT,201</t>
  </si>
  <si>
    <t>Ladrillo farol rayado de 0,12 x 0,20 x 0,30 m</t>
  </si>
  <si>
    <t>MAT,202</t>
  </si>
  <si>
    <t>Ladrillo tolete común</t>
  </si>
  <si>
    <t>MAT,203</t>
  </si>
  <si>
    <t>Ladrillo visto 6x12x24 57u/m2</t>
  </si>
  <si>
    <t>MAT,515</t>
  </si>
  <si>
    <t>Ladrillo prensado tipo Santa Fe 24,5  x 12 x 5,5 cm</t>
  </si>
  <si>
    <t>MAT,526</t>
  </si>
  <si>
    <t>Lámina duracustic 1,2 * 0,6 m</t>
  </si>
  <si>
    <t>MAT,637</t>
  </si>
  <si>
    <t>Lámina de icopor 1,2 * 0,6 m</t>
  </si>
  <si>
    <t>MAT,638</t>
  </si>
  <si>
    <t>Lámina de icopor perlita sintética 1,2 * 0,6 m</t>
  </si>
  <si>
    <t>MAT,496</t>
  </si>
  <si>
    <t>Lámina de icopor perlita lisa 1,2 * 0,6 m</t>
  </si>
  <si>
    <t>MAT,204</t>
  </si>
  <si>
    <t>Lámina de fibrocemento de 10 mm</t>
  </si>
  <si>
    <t>MAT,205</t>
  </si>
  <si>
    <t>Lámina de fibrocemento e =  8mm</t>
  </si>
  <si>
    <t>MAT,535</t>
  </si>
  <si>
    <t>Lamina de Mármol pára piso o mesón</t>
  </si>
  <si>
    <t>MAT,542</t>
  </si>
  <si>
    <t>Lámina de yeso 1,22 m x 2,44 m e = 12,7 mm</t>
  </si>
  <si>
    <t>MAT,206</t>
  </si>
  <si>
    <t>Lámina fibrocemento e = 12 mm</t>
  </si>
  <si>
    <t>MAT,527</t>
  </si>
  <si>
    <t xml:space="preserve">Lámina galvanizada C 26 </t>
  </si>
  <si>
    <t>MAT,207</t>
  </si>
  <si>
    <t>Lámina galvanizada C 22</t>
  </si>
  <si>
    <t>MAT,208</t>
  </si>
  <si>
    <t>Lámina Neopreno dureza 50 e=374</t>
  </si>
  <si>
    <t>MAT,209</t>
  </si>
  <si>
    <t>Lámpara De 2*32 W Con Balasto Electronico T8 Completa De Sobreponer</t>
  </si>
  <si>
    <t>MAT,532</t>
  </si>
  <si>
    <t>Lavadero en resina de poliester con tanque de 60 x 60 cm</t>
  </si>
  <si>
    <t>MAT,210</t>
  </si>
  <si>
    <t>Lavadero prefabricado en gránito pulido</t>
  </si>
  <si>
    <t>MAT,651</t>
  </si>
  <si>
    <t>Lavadero prefabricado en granirto pulido completo</t>
  </si>
  <si>
    <t>MAT,211</t>
  </si>
  <si>
    <t>Lavamanos tipo Acuacer de colgar</t>
  </si>
  <si>
    <t>MAT,212</t>
  </si>
  <si>
    <t>Lavamanos tipo acuacer de pedestal</t>
  </si>
  <si>
    <t>MAT,213</t>
  </si>
  <si>
    <t>Lavamanos tipo Avanti de colgar</t>
  </si>
  <si>
    <t>MAT,214</t>
  </si>
  <si>
    <t>Lavamanos tipo Avanti de pedestal</t>
  </si>
  <si>
    <t>MAT,215</t>
  </si>
  <si>
    <t>Lavamanos tipo HAPPY blanco de colgar</t>
  </si>
  <si>
    <t>MAT,216</t>
  </si>
  <si>
    <t>Lavamanos tipo Marsella de sobreponer</t>
  </si>
  <si>
    <t>MAT,533</t>
  </si>
  <si>
    <t>Lavamanos de pared tipo push, línea antivandálica</t>
  </si>
  <si>
    <t>MAT,217</t>
  </si>
  <si>
    <t>Lavaplatos en acero inoxidable de 0,4 x 0,6 m</t>
  </si>
  <si>
    <t>MAT,218</t>
  </si>
  <si>
    <t>Lija de agua</t>
  </si>
  <si>
    <t>MAT,219</t>
  </si>
  <si>
    <t>Lima plana con mango de 8"</t>
  </si>
  <si>
    <t>MAT,220</t>
  </si>
  <si>
    <t>Limatesa, limahoya de fibrocemento</t>
  </si>
  <si>
    <t>MAT,221</t>
  </si>
  <si>
    <t>Limpiador removedor PVC 1/4</t>
  </si>
  <si>
    <t>MAT,222</t>
  </si>
  <si>
    <t>Listón sajo de 5 x 3 cm x 2,5 m (varilla)</t>
  </si>
  <si>
    <t>MAT,223</t>
  </si>
  <si>
    <t>Llave de paso tipo Red White de 1 1/2"</t>
  </si>
  <si>
    <t>MAT,224</t>
  </si>
  <si>
    <t>Llave de paso tipo Red White de 1"</t>
  </si>
  <si>
    <t>MAT,225</t>
  </si>
  <si>
    <t>Llave de paso tipo Red White de 1/2"</t>
  </si>
  <si>
    <t>MAT,226</t>
  </si>
  <si>
    <t>Llave de paso tipo Red White de 2"</t>
  </si>
  <si>
    <t>MAT,227</t>
  </si>
  <si>
    <t>Llave de paso tipo Red White de 3/4"</t>
  </si>
  <si>
    <t>MAT,228</t>
  </si>
  <si>
    <t>Llave terminal cromada de 1/2"</t>
  </si>
  <si>
    <t>MAT,229</t>
  </si>
  <si>
    <t>Llave terminal roscada de 1/2" pesada</t>
  </si>
  <si>
    <t>MAT,230</t>
  </si>
  <si>
    <t>Loseta prefabricada A30 (600 x 400 x 60 mm)</t>
  </si>
  <si>
    <t>MAT,231</t>
  </si>
  <si>
    <t>Machete</t>
  </si>
  <si>
    <t>MAT,232</t>
  </si>
  <si>
    <t>Malla con vena  C 24</t>
  </si>
  <si>
    <t>MAT,233</t>
  </si>
  <si>
    <t>Malla de gallinero o hexagonal</t>
  </si>
  <si>
    <t>MAT,237</t>
  </si>
  <si>
    <t xml:space="preserve">Mallas eslabonada galvanizada calibre 13 ojo de 2” que cumpla con la norma 80 gramos de galvanizado/M2. </t>
  </si>
  <si>
    <t>MAT,234</t>
  </si>
  <si>
    <t>Malla electrosoldada M-188  Φ 6.00 mm c/.15m</t>
  </si>
  <si>
    <t>MAT,235</t>
  </si>
  <si>
    <t>Malla electrosoldada ojo 0,15 x 0,15 m 6,0 m 2,35 m de 5 mm</t>
  </si>
  <si>
    <t>MAT,236</t>
  </si>
  <si>
    <t>Malla gavión 2x1x1  7,5 C13 triple torsión</t>
  </si>
  <si>
    <t>MAT,238</t>
  </si>
  <si>
    <t>Fondo de junta de polietileno Φ = 3/8"</t>
  </si>
  <si>
    <t>MAT,239</t>
  </si>
  <si>
    <t>Manija (asa) para puerta</t>
  </si>
  <si>
    <t>MAT,240</t>
  </si>
  <si>
    <t>Manto impermeabilizante con base en asfálto</t>
  </si>
  <si>
    <t>MAT,241</t>
  </si>
  <si>
    <t>Marco metálico en lámina C 20 de 0,60 x 2,05 m, incluye anticorrosivo</t>
  </si>
  <si>
    <t>MAT,242</t>
  </si>
  <si>
    <t>Marco metálico en lámina C 20 de 0,80 x 2,05 m, incluye anticorrosivo</t>
  </si>
  <si>
    <t>MAT,243</t>
  </si>
  <si>
    <t>Marco metálico en lámina C 20 de 0,90 x 2,05 m, incluye anticorrosivo</t>
  </si>
  <si>
    <t>MAT,244</t>
  </si>
  <si>
    <t>Marco metálico en lámina C 20 de 1 x 2,05 m, incluye anticorrosivo</t>
  </si>
  <si>
    <t>MAT,245</t>
  </si>
  <si>
    <t>Marco metálico en lámina C 20 de 1,20 x 2,05 m, incluye anticorrosivo</t>
  </si>
  <si>
    <t>MAT,246</t>
  </si>
  <si>
    <t>Masilla para vidrios</t>
  </si>
  <si>
    <t>MAT,505</t>
  </si>
  <si>
    <t>Masilla elástica sellante tubo x 330 ml</t>
  </si>
  <si>
    <t>MAT,247</t>
  </si>
  <si>
    <t>Masilla topex joint</t>
  </si>
  <si>
    <t>MAT,643</t>
  </si>
  <si>
    <t>Material de peña (recebo) en cantera</t>
  </si>
  <si>
    <t>MAT,248</t>
  </si>
  <si>
    <t>Material de rio no seleccionado</t>
  </si>
  <si>
    <t>MAT,249</t>
  </si>
  <si>
    <t>Material de sub-base granular tipo Invías</t>
  </si>
  <si>
    <t>MAT,250</t>
  </si>
  <si>
    <t>Material granular seleccionado</t>
  </si>
  <si>
    <t>MAT,251</t>
  </si>
  <si>
    <t>Material para base granular tipo Invías hasta 40 km</t>
  </si>
  <si>
    <t>MAT,252</t>
  </si>
  <si>
    <t>Material seleccionado para filtro</t>
  </si>
  <si>
    <t>MAT,560</t>
  </si>
  <si>
    <t>Medidor de 3/4" volumétrico tipo "B"</t>
  </si>
  <si>
    <t>MAT,253</t>
  </si>
  <si>
    <t>Medidor de 1"    volumétrico tipo "B"</t>
  </si>
  <si>
    <t>MAT,254</t>
  </si>
  <si>
    <t>Medidor de 1/2" volumétrico tipo "C"</t>
  </si>
  <si>
    <t>MAT,255</t>
  </si>
  <si>
    <t>Mezcla asfáltica MDC 19</t>
  </si>
  <si>
    <t>MAT,256</t>
  </si>
  <si>
    <t>Mezclador para lavaplatos</t>
  </si>
  <si>
    <t>MAT,499</t>
  </si>
  <si>
    <t>Microesferas reflectivas 25 kg</t>
  </si>
  <si>
    <t>MAT,257</t>
  </si>
  <si>
    <t>Mortero de alta adherencia</t>
  </si>
  <si>
    <t>MAT,259</t>
  </si>
  <si>
    <t>Mortero fluido para anclaje y nivelación</t>
  </si>
  <si>
    <t>MAT,260</t>
  </si>
  <si>
    <t>Mortero para bloques de vidrio</t>
  </si>
  <si>
    <t>MAT,261</t>
  </si>
  <si>
    <t>Mueble inferior en formica para mesón cocineta l= 2,00 h = 0,90 m</t>
  </si>
  <si>
    <t>MAT,262</t>
  </si>
  <si>
    <t>Nave en madera triplex de 0,90 x 2,05 m, entamborada</t>
  </si>
  <si>
    <t>MAT,263</t>
  </si>
  <si>
    <t>Nave metálica en lamina C 20 de 0,60 x 2,05 m, incluye anticorrosivo</t>
  </si>
  <si>
    <t>MAT,264</t>
  </si>
  <si>
    <t>Nave metálica en lamina C 20 de 0,80 x 2,05 m, incluye anticorrosivo</t>
  </si>
  <si>
    <t>MAT,265</t>
  </si>
  <si>
    <t>Nave metálica en lamina C 20 de 0,90 x 2,05 m, incluye anticorrosivo</t>
  </si>
  <si>
    <t>MAT,266</t>
  </si>
  <si>
    <t>Nave metálica en lamina C 20 de 1 x 2,05 m, incluye anticorrosivo</t>
  </si>
  <si>
    <t>MAT,267</t>
  </si>
  <si>
    <t>Niple de HG de 1/2" de 15 cm</t>
  </si>
  <si>
    <t>MAT,498</t>
  </si>
  <si>
    <t>Niple HG 1 1/4 " L = 0,6 m</t>
  </si>
  <si>
    <t>MAT,268</t>
  </si>
  <si>
    <t>Niple Tub Hg  3/4  L=.15M</t>
  </si>
  <si>
    <t>MAT,269</t>
  </si>
  <si>
    <t>Niple Tub Hg  3/4  L=.2515M</t>
  </si>
  <si>
    <t>MAT,270</t>
  </si>
  <si>
    <t>Niple Tub Hg 1     L=.15M</t>
  </si>
  <si>
    <t>MAT,271</t>
  </si>
  <si>
    <t>Niple Tub Hg 1- 1/4L=.15M</t>
  </si>
  <si>
    <t>MAT,272</t>
  </si>
  <si>
    <t>Niple Tub Hg 1-1/2 L=.15M</t>
  </si>
  <si>
    <t>MAT,510</t>
  </si>
  <si>
    <t>Niple Tub Hg 2     L=.15M</t>
  </si>
  <si>
    <t>MAT,167</t>
  </si>
  <si>
    <t>Niple Tub Hg 3"     L=.15M</t>
  </si>
  <si>
    <t>MAT,273</t>
  </si>
  <si>
    <t>Omega en 63 liviana en 2,4</t>
  </si>
  <si>
    <t>MAT,275</t>
  </si>
  <si>
    <t>Orinal mediano con griferia</t>
  </si>
  <si>
    <t>MAT,274</t>
  </si>
  <si>
    <t>Orinal gotta antibacterial</t>
  </si>
  <si>
    <t>MAT,276</t>
  </si>
  <si>
    <t>Orinal tipo Institucional Arrecife</t>
  </si>
  <si>
    <t>MAT,277</t>
  </si>
  <si>
    <t>Pala con cabo</t>
  </si>
  <si>
    <t>MAT,278</t>
  </si>
  <si>
    <t>Paleta pare - siga en polietileno y texto reflectivo, de 45 cm</t>
  </si>
  <si>
    <t>MAT,279</t>
  </si>
  <si>
    <t>Papel de colgadura a = 0,50 m x 10 m</t>
  </si>
  <si>
    <t>Rll</t>
  </si>
  <si>
    <t>MAT,280</t>
  </si>
  <si>
    <t>Papelería, fotografías, fotocopias - rocerías</t>
  </si>
  <si>
    <t>MAT,281</t>
  </si>
  <si>
    <t>Par de Botas alta suela antideslizante</t>
  </si>
  <si>
    <t>MAT,282</t>
  </si>
  <si>
    <t>Paral 59 en 2,4 m calibre 26</t>
  </si>
  <si>
    <t>MAT,283</t>
  </si>
  <si>
    <t>Pasador metálico de 3"</t>
  </si>
  <si>
    <t>MAT,284</t>
  </si>
  <si>
    <t>Pasamanos con casita, escalera: casita y pasamanos en tubo de 11/2", escalera en 1", la casita de 1.20x 1.20 con piso en lámina y techo en fibra de vidrio.anclado en concreto.  Incluye anticorrosivo y pintura en esmalte para esteriores</t>
  </si>
  <si>
    <t>MAT,285</t>
  </si>
  <si>
    <t>Pasamanos sencillo: en tubería de 11/2" y 3/4" los pasos, Altura 1.90 m , anclado en concreto, Incluye anticorrosivo y pintura en esmalte para esteriores.</t>
  </si>
  <si>
    <t>MAT,286</t>
  </si>
  <si>
    <t>Perfil aluminio anoloc T L = 6 m</t>
  </si>
  <si>
    <t>MAT,287</t>
  </si>
  <si>
    <t>Perfil aluminio blanco ángulo L = 6 m</t>
  </si>
  <si>
    <t>MAT,288</t>
  </si>
  <si>
    <t>Perfil aluminio blanco T L = 6 m</t>
  </si>
  <si>
    <t>MAT,289</t>
  </si>
  <si>
    <t>Perfil aluminio natural ángulo L = 6 m</t>
  </si>
  <si>
    <t>MAT,290</t>
  </si>
  <si>
    <t>Perfil aluminio natural T L = 6 m</t>
  </si>
  <si>
    <t>MAT,291</t>
  </si>
  <si>
    <t>Perfil aluminio sencillo D17</t>
  </si>
  <si>
    <t>MAT,292</t>
  </si>
  <si>
    <t>Perfil alumino anoloc ángulo L = 6 m</t>
  </si>
  <si>
    <t>MAT,293</t>
  </si>
  <si>
    <t>Perfil e = 1,5 mm 90 x 130 mm</t>
  </si>
  <si>
    <t>Ml</t>
  </si>
  <si>
    <t>MAT,652</t>
  </si>
  <si>
    <t>Pegante papel colgadura</t>
  </si>
  <si>
    <t>MAT,294</t>
  </si>
  <si>
    <t>Perlín promedio (0,12 x 0,6 C 16)</t>
  </si>
  <si>
    <t>MAT,295</t>
  </si>
  <si>
    <t>Pica con cabo</t>
  </si>
  <si>
    <t>MAT,296</t>
  </si>
  <si>
    <t>Piedra media zonga</t>
  </si>
  <si>
    <t>MAT,297</t>
  </si>
  <si>
    <t>Pintura acrilica para trafico</t>
  </si>
  <si>
    <t>MAT,298</t>
  </si>
  <si>
    <t>Pintura esmalte para exteriores</t>
  </si>
  <si>
    <t>MAT,299</t>
  </si>
  <si>
    <t>Pintura reflectiva de aluminio</t>
  </si>
  <si>
    <t>MAT,300</t>
  </si>
  <si>
    <t>Pintura texturizada hidrorepelente</t>
  </si>
  <si>
    <t>MAT,301</t>
  </si>
  <si>
    <t>Pintura transparente protectora de fachadas tipo sikatransparente 10 o similar</t>
  </si>
  <si>
    <t>MAT,302</t>
  </si>
  <si>
    <t>Pintura verde óptico   (tablero)</t>
  </si>
  <si>
    <t>MAT,303</t>
  </si>
  <si>
    <t>Pintura vinilo para exteriores koraza o similar</t>
  </si>
  <si>
    <t>MAT,304</t>
  </si>
  <si>
    <t>Pintura vinilo tipo I</t>
  </si>
  <si>
    <t>MAT,305</t>
  </si>
  <si>
    <t>Pintura vinilo tipo II</t>
  </si>
  <si>
    <t>MAT,306</t>
  </si>
  <si>
    <t>Pirlán de bronce</t>
  </si>
  <si>
    <t>MAT,307</t>
  </si>
  <si>
    <t>Piso en lámina de vinilo C 1,6 mm.</t>
  </si>
  <si>
    <t>MAT,308</t>
  </si>
  <si>
    <t>Piso tipo Duropiso de 33 x 33 cm</t>
  </si>
  <si>
    <t>MAT,309</t>
  </si>
  <si>
    <t>Piso tipo Mayólica</t>
  </si>
  <si>
    <t>MAT,310</t>
  </si>
  <si>
    <t>Piso vinilico antideslizante, tráfico 5 e = 2 mm</t>
  </si>
  <si>
    <t>MAT,311</t>
  </si>
  <si>
    <t>Pisofuerte tipo Corona de 30 x 30 cm tráfico 5</t>
  </si>
  <si>
    <t>MAT,312</t>
  </si>
  <si>
    <t>Plántula (nacedero, carey, leucaena, matarratón), altura promedio 0.25 m</t>
  </si>
  <si>
    <t>MAT,313</t>
  </si>
  <si>
    <t>Plántula (vetiver, limoncillo, lirio y afines), altura promedio 0.25 m</t>
  </si>
  <si>
    <t>MAT,314</t>
  </si>
  <si>
    <t>Plántula con especies diferentes guayacán, acacia, eucalipto, altura promedio 0.25</t>
  </si>
  <si>
    <t>MAT,315</t>
  </si>
  <si>
    <t>Platina 1   X 1/4</t>
  </si>
  <si>
    <t>MAT,316</t>
  </si>
  <si>
    <t>Platina 1-1/2   X   1/4</t>
  </si>
  <si>
    <t>MAT,317</t>
  </si>
  <si>
    <t>Platina 2   X 1/4</t>
  </si>
  <si>
    <t xml:space="preserve">Plántula (guayacán, acacia, eucalipto, altura promedio 0.25 </t>
  </si>
  <si>
    <t>MAT,318</t>
  </si>
  <si>
    <t>Platinas para claraboya</t>
  </si>
  <si>
    <t>Jg</t>
  </si>
  <si>
    <t>MAT,507</t>
  </si>
  <si>
    <t>Polietileno negro C 4 a = 3 m</t>
  </si>
  <si>
    <t>MAT,544</t>
  </si>
  <si>
    <t>Pomos de porcelana</t>
  </si>
  <si>
    <t>Par</t>
  </si>
  <si>
    <t>MAT,319</t>
  </si>
  <si>
    <t>Poste de concreto 12 x 510 kg.</t>
  </si>
  <si>
    <t>MAT,320</t>
  </si>
  <si>
    <t xml:space="preserve">Poste de concreto 12 x 750 kg. </t>
  </si>
  <si>
    <t>MAT,321</t>
  </si>
  <si>
    <t xml:space="preserve">Poste de concreto 9 x 510 kg. </t>
  </si>
  <si>
    <t>MAT,324</t>
  </si>
  <si>
    <t>Poste en ángulo de 2x21/4" de 3,5 m</t>
  </si>
  <si>
    <t>MAT,328</t>
  </si>
  <si>
    <t>Postes para defensa metálica (1.80m) 6mm, galvanizado (incluye tornillos)</t>
  </si>
  <si>
    <t>MAT,322</t>
  </si>
  <si>
    <t>Poste de madera (Estacón de 2,50 m Diam= 0,10 m inmunizado)</t>
  </si>
  <si>
    <t>MAT,323</t>
  </si>
  <si>
    <t>Poste de madera o guadua h = 2 m.</t>
  </si>
  <si>
    <t>MAT,325</t>
  </si>
  <si>
    <t>Poste metálico h = 12 m, brazo sencillo, pintado</t>
  </si>
  <si>
    <t>MAT,326</t>
  </si>
  <si>
    <t>Poste para cerramiento en concreto 3,00 m</t>
  </si>
  <si>
    <t>MAT,327</t>
  </si>
  <si>
    <t>Poste para cerramiento en concreto de 2,50 m recto</t>
  </si>
  <si>
    <t>MAT,329</t>
  </si>
  <si>
    <t>Prado kikuyo</t>
  </si>
  <si>
    <t>MAT,330</t>
  </si>
  <si>
    <t>Prado trenza</t>
  </si>
  <si>
    <t>MAT,331</t>
  </si>
  <si>
    <t xml:space="preserve">Puerta para división en Acero inoxidable </t>
  </si>
  <si>
    <t>MAT,332</t>
  </si>
  <si>
    <t>Pulsador timbre con luz piloto</t>
  </si>
  <si>
    <t>MAT,333</t>
  </si>
  <si>
    <t>Puntilla (promedio)</t>
  </si>
  <si>
    <t>MAT,334</t>
  </si>
  <si>
    <t>Puntilla de 3"</t>
  </si>
  <si>
    <t>MAT,335</t>
  </si>
  <si>
    <t>Reflector RRA 250W M.H completa con bombillo</t>
  </si>
  <si>
    <t>MAT,336</t>
  </si>
  <si>
    <t>Regadera con mezclador (tipo Grival)</t>
  </si>
  <si>
    <t>MAT,337</t>
  </si>
  <si>
    <t>Regadera corriente</t>
  </si>
  <si>
    <t>MAT,338</t>
  </si>
  <si>
    <t>Registro de corte de 1/2"</t>
  </si>
  <si>
    <t>MAT,339</t>
  </si>
  <si>
    <t>Registro de incorporación de 1/2"</t>
  </si>
  <si>
    <t>MAT,340</t>
  </si>
  <si>
    <t>Reja panal de abeja de 0,60 x 1,20 m</t>
  </si>
  <si>
    <t>Resina termoplastica (pegante epoxico)</t>
  </si>
  <si>
    <t>MAT,341</t>
  </si>
  <si>
    <t>Rejilla para piso corriente de 3" x 2" bronce</t>
  </si>
  <si>
    <t>MAT,342</t>
  </si>
  <si>
    <t>Remache de aluminio</t>
  </si>
  <si>
    <t>MAT,343</t>
  </si>
  <si>
    <t>Sanitario infantil blanco incluye grifería</t>
  </si>
  <si>
    <t>MAT,653</t>
  </si>
  <si>
    <t>Sanitario One Piece Solare Blanco corona</t>
  </si>
  <si>
    <t>MAT,344</t>
  </si>
  <si>
    <t>Sanitario tipo Acua plus blanco</t>
  </si>
  <si>
    <t>MAT,345</t>
  </si>
  <si>
    <t>Sanitario tipo Avanti plus</t>
  </si>
  <si>
    <t>MAT,346</t>
  </si>
  <si>
    <t>Sardinel prefabricado A10 (800 x 200 x 500 mm)</t>
  </si>
  <si>
    <t>MAT,347</t>
  </si>
  <si>
    <t>Seguro para puerta en lámina</t>
  </si>
  <si>
    <t>MAT439</t>
  </si>
  <si>
    <t>Semilla de grama</t>
  </si>
  <si>
    <t>MAT,348</t>
  </si>
  <si>
    <t>Señal (grupo1). Tablero en lámina galvanizada de 75 cm*75cm, calibre 16 reflectivo tipo III</t>
  </si>
  <si>
    <t>MAT,349</t>
  </si>
  <si>
    <t>Señal (grupo2). Tablero en lámina galvanizada de 1.2m*0.4m, calibre16, reflectivo tipo III</t>
  </si>
  <si>
    <t>MAT,350</t>
  </si>
  <si>
    <t>Señal vertical con cinta reflectiva, D= 0,90 m</t>
  </si>
  <si>
    <t>MAT,351</t>
  </si>
  <si>
    <t>Señalizador tubular de 1 m (2 líneas de cinta)</t>
  </si>
  <si>
    <t>MAT,352</t>
  </si>
  <si>
    <t>Separador plástico para bloques de vidrio</t>
  </si>
  <si>
    <t>MAT,500</t>
  </si>
  <si>
    <t>Steeldeck, C 22 0,94 x 5,60 m e = 0,75 mm</t>
  </si>
  <si>
    <t>MAT,353</t>
  </si>
  <si>
    <t>Sifón PVC Saninario 2"</t>
  </si>
  <si>
    <t>MAT,354</t>
  </si>
  <si>
    <t>Sifón PVC Sanitrio 3"</t>
  </si>
  <si>
    <t>MAT,355</t>
  </si>
  <si>
    <t xml:space="preserve">Sikarod 6 -10 mm de diametro </t>
  </si>
  <si>
    <t>MAT,356</t>
  </si>
  <si>
    <t>Silicona transparente sellador de vidrios tubo x 280 ml</t>
  </si>
  <si>
    <t>MAT,357</t>
  </si>
  <si>
    <t>MAT,358</t>
  </si>
  <si>
    <t>Silla Yee PVC de pared estructural 450X160</t>
  </si>
  <si>
    <t>MAT,359</t>
  </si>
  <si>
    <t>Silla Yee PVC de pared estructural 500X160</t>
  </si>
  <si>
    <t>MAT,360</t>
  </si>
  <si>
    <t>Sistema Séptico Integrado Horiz 4000 Litros Subterráneo</t>
  </si>
  <si>
    <t>MAT,361</t>
  </si>
  <si>
    <t xml:space="preserve">Soldadura 6013 </t>
  </si>
  <si>
    <t>MAT,362</t>
  </si>
  <si>
    <t>Soldadura CPVC liquida agua caliente 1/4</t>
  </si>
  <si>
    <t>MAT,508</t>
  </si>
  <si>
    <t>Soldadura para hierro estructural</t>
  </si>
  <si>
    <t>KG</t>
  </si>
  <si>
    <t>MAT,364</t>
  </si>
  <si>
    <t>Soldadura liquida para PVC 1/4</t>
  </si>
  <si>
    <t>MAT,549</t>
  </si>
  <si>
    <t>Soldadura PVC Gerfor 250 cm3</t>
  </si>
  <si>
    <t>MAT,366</t>
  </si>
  <si>
    <t>Solución impermeable en asfálto</t>
  </si>
  <si>
    <t>MAT,539</t>
  </si>
  <si>
    <t xml:space="preserve">Soporte bajante PVC </t>
  </si>
  <si>
    <t>MAT,562</t>
  </si>
  <si>
    <t>Tablero de baloncesto acrilico,  incluye armazón metálico, aro y malla (movil)</t>
  </si>
  <si>
    <t>MAT,368</t>
  </si>
  <si>
    <t>Tabla para formaleta de 1" x 10" x 2,9 m</t>
  </si>
  <si>
    <t>MAT,502</t>
  </si>
  <si>
    <t>Tableta egipcia de 0,09 x 0,09 m roja</t>
  </si>
  <si>
    <t>MAT,561</t>
  </si>
  <si>
    <t>Tablero melamínico de 2,40 x 1,20 m, base en tablex de 2 cm, para marcador seco, incluye marco en cedro y ticero en madera, instalado</t>
  </si>
  <si>
    <t>MAT,369</t>
  </si>
  <si>
    <t>Tablero de 4 circuitos</t>
  </si>
  <si>
    <t>MAT,371</t>
  </si>
  <si>
    <t>Tablero Monofásico Vtq  4 Circ Sb.</t>
  </si>
  <si>
    <t>MAT,372</t>
  </si>
  <si>
    <t>Tablero Monofásico Vtq  6 Circ Sb.</t>
  </si>
  <si>
    <t>MAT,373</t>
  </si>
  <si>
    <t>Tablero Tqcp412 Trifásico</t>
  </si>
  <si>
    <t>MAT,374</t>
  </si>
  <si>
    <t>Tableta tipo Tradicional de 0,30 x 0,30 m</t>
  </si>
  <si>
    <t>MAT,375</t>
  </si>
  <si>
    <t xml:space="preserve">Tablilla fina para piso </t>
  </si>
  <si>
    <t>MAT,376</t>
  </si>
  <si>
    <t>Tablilla machihembrada para cielo raso pino ciprés</t>
  </si>
  <si>
    <t>MAT,377</t>
  </si>
  <si>
    <t>Tablón de 0,20 x 0,20 m rojo</t>
  </si>
  <si>
    <t>MAT,378</t>
  </si>
  <si>
    <t>Tablón de 0,20 x 0,20 m tipo sahara</t>
  </si>
  <si>
    <t>MAT,523</t>
  </si>
  <si>
    <t>Tablon grafilado vitrificado x 25  en hojilla</t>
  </si>
  <si>
    <t>MAT,379</t>
  </si>
  <si>
    <t>Tablón porcelagres o similar de 0,20 x 0,20 m</t>
  </si>
  <si>
    <t>MAT,380</t>
  </si>
  <si>
    <t>Tablón tipo Andino de 0,10 x 0,20 m</t>
  </si>
  <si>
    <t>MAT,381</t>
  </si>
  <si>
    <t>Tacha reflectiva unidireccional</t>
  </si>
  <si>
    <t>MAT,382</t>
  </si>
  <si>
    <t>Tachón en resina 0,4 x 0,15 x 0,08 m</t>
  </si>
  <si>
    <t>MAT,383</t>
  </si>
  <si>
    <t>Tanque para agua plástico de 1.000 lt completo</t>
  </si>
  <si>
    <t>MAT,384</t>
  </si>
  <si>
    <t>Tanque para agua plástico de 250 lt completo</t>
  </si>
  <si>
    <t>MAT,385</t>
  </si>
  <si>
    <t>Tanque para agua plástico de 500 lt completo</t>
  </si>
  <si>
    <t>MAT,386</t>
  </si>
  <si>
    <t>Tapa de hierro d = 0,60 m de 90 kg (manhole) + aro</t>
  </si>
  <si>
    <t>MAT,387</t>
  </si>
  <si>
    <t>MAT,388</t>
  </si>
  <si>
    <t>Tapa poros referencia 7203 o similar</t>
  </si>
  <si>
    <t>MAT,389</t>
  </si>
  <si>
    <t>Tee de HG 2"</t>
  </si>
  <si>
    <t>MAT,390</t>
  </si>
  <si>
    <t>Tee de HG 3"</t>
  </si>
  <si>
    <t>MAT,563</t>
  </si>
  <si>
    <t>Teja española de A. C.</t>
  </si>
  <si>
    <t>MAT,497</t>
  </si>
  <si>
    <t>Teja ondulada de fibrocemento No 6</t>
  </si>
  <si>
    <t>MAT,391</t>
  </si>
  <si>
    <t>Teja de barro S l = 0,40 m a = 0,17 m</t>
  </si>
  <si>
    <t>MAT,392</t>
  </si>
  <si>
    <t>Teja ondulada transparente policarbonato</t>
  </si>
  <si>
    <t>MAT,393</t>
  </si>
  <si>
    <t>Teja thermoacustic</t>
  </si>
  <si>
    <t>MAT,394</t>
  </si>
  <si>
    <t>Tela de cerramiento a = 2,10 m (rollo por 100 m)</t>
  </si>
  <si>
    <t>MAT,166</t>
  </si>
  <si>
    <t>Teja zinc ondulada 2,13 x 0,80 metros Cal 24.</t>
  </si>
  <si>
    <t>MAT,395</t>
  </si>
  <si>
    <t>Tela para protección de edificios</t>
  </si>
  <si>
    <t>MAT,396</t>
  </si>
  <si>
    <t>Telera de 3,5 x 24 cm x 2,9 m de sajo</t>
  </si>
  <si>
    <t>MAT,397</t>
  </si>
  <si>
    <t>Tierra no vegetal</t>
  </si>
  <si>
    <t>MAT,398</t>
  </si>
  <si>
    <t>Tierra vegetal</t>
  </si>
  <si>
    <t>MAT,399</t>
  </si>
  <si>
    <t xml:space="preserve">Timbre ding dong </t>
  </si>
  <si>
    <t>MAT,400</t>
  </si>
  <si>
    <t>Toma corriente doble polo a tierra</t>
  </si>
  <si>
    <t>MAT,401</t>
  </si>
  <si>
    <t>Toma corriente doble polo regulado a tierra</t>
  </si>
  <si>
    <t>MAT,402</t>
  </si>
  <si>
    <t>Toma especial estufa</t>
  </si>
  <si>
    <t>MAT,403</t>
  </si>
  <si>
    <t>Toma telefónico de 4 conductos</t>
  </si>
  <si>
    <t>MAT,404</t>
  </si>
  <si>
    <t>Toma terminal coaxial tv amer.75 OHM</t>
  </si>
  <si>
    <t>MAT,405</t>
  </si>
  <si>
    <t xml:space="preserve">Tornillo autoperforante </t>
  </si>
  <si>
    <t>MAT,406</t>
  </si>
  <si>
    <t>Tornillo drywall 6 x 1"</t>
  </si>
  <si>
    <t>MAT,407</t>
  </si>
  <si>
    <t>Tornillo estructura drywall 8 x 1/2"</t>
  </si>
  <si>
    <t>MAT,408</t>
  </si>
  <si>
    <t>Tornillos de fijación canaleta 90</t>
  </si>
  <si>
    <t>MAT,511</t>
  </si>
  <si>
    <t>Tope para puerta (caucho - resorte)</t>
  </si>
  <si>
    <t>MAT,484</t>
  </si>
  <si>
    <t>Válvula de 3" sello elástico extremo liso o junta hidráulica PVC</t>
  </si>
  <si>
    <t>MAT,409</t>
  </si>
  <si>
    <t>Trampa de grasa 250 lts</t>
  </si>
  <si>
    <t>MAT,410</t>
  </si>
  <si>
    <t xml:space="preserve">Triturado </t>
  </si>
  <si>
    <t>MAT,411</t>
  </si>
  <si>
    <t>Tubería CPVC de 1/2"  100 PSI</t>
  </si>
  <si>
    <t>MAT,412</t>
  </si>
  <si>
    <t>Tubería de concreto vibrada de 10" unión caucho C 2</t>
  </si>
  <si>
    <t>MAT,413</t>
  </si>
  <si>
    <t>Tubería de concreto vibrada de 12" unión caucho C 2</t>
  </si>
  <si>
    <t>MAT,414</t>
  </si>
  <si>
    <t>Tubería de concreto vibrada de 15" unión caucho C 2</t>
  </si>
  <si>
    <t>MAT,415</t>
  </si>
  <si>
    <t>Tubería de concreto vibrada de 16" unión caucho C 2</t>
  </si>
  <si>
    <t>MAT,416</t>
  </si>
  <si>
    <t>Tubería de concreto vibrada de 18" unión caucho C 2</t>
  </si>
  <si>
    <t>MAT,417</t>
  </si>
  <si>
    <t>Tubería de concreto vibrada de 21" unión caucho C 2</t>
  </si>
  <si>
    <t>MAT,418</t>
  </si>
  <si>
    <t>Tubería de concreto vibrada de 24" unión caucho C 2</t>
  </si>
  <si>
    <t>MAT,419</t>
  </si>
  <si>
    <t>Tubería de concreto vibrada de 8" unión caucho C 2</t>
  </si>
  <si>
    <t>MAT,420</t>
  </si>
  <si>
    <t>Tubería de concreto vibrada reforzada de 24" unión caucho C 2</t>
  </si>
  <si>
    <t>MAT,421</t>
  </si>
  <si>
    <t>Tubería de concreto vibrada reforzada de 30" unión caucho C 2</t>
  </si>
  <si>
    <t>MAT,422</t>
  </si>
  <si>
    <t>Tubería de concreto vibrada reforzada de 36" unión caucho C 2</t>
  </si>
  <si>
    <t>MAT,423</t>
  </si>
  <si>
    <t>Tubería de concreto vibrada reforzada de 40" unión caucho C 2</t>
  </si>
  <si>
    <t>MAT,424</t>
  </si>
  <si>
    <t>Tubería de concreto vibrada reforzada de 48" unión caucho C 2</t>
  </si>
  <si>
    <t>MAT,425</t>
  </si>
  <si>
    <t>Tubería de concreto vibrada reforzada de 52" unión caucho C 2</t>
  </si>
  <si>
    <t>MAT,426</t>
  </si>
  <si>
    <t>Tubería de concreto vibrada reforzada de 60" unión caucho C 2</t>
  </si>
  <si>
    <t>MAT,519</t>
  </si>
  <si>
    <t>Tubería de HG de 2" Cal 14</t>
  </si>
  <si>
    <t>MAT,427</t>
  </si>
  <si>
    <t>Tubería de HG de 3"</t>
  </si>
  <si>
    <t>MAT,428</t>
  </si>
  <si>
    <t>Tubería galvanizada para cerramiento de 1 1/2" x 6 m</t>
  </si>
  <si>
    <t>MAT,429</t>
  </si>
  <si>
    <t>Tubería PF + UAD 1/2" (manguera)</t>
  </si>
  <si>
    <t>MAT,430</t>
  </si>
  <si>
    <t>Tubería PVC acueducto unión platino de 2" rde 21</t>
  </si>
  <si>
    <t>MAT,503</t>
  </si>
  <si>
    <t>Tubería PVC acueducto unión platino de 2 1/2" rde 21</t>
  </si>
  <si>
    <t>MAT,431</t>
  </si>
  <si>
    <t>Tubería PVC acueducto unión platino de 3" rde 21</t>
  </si>
  <si>
    <t>MAT,432</t>
  </si>
  <si>
    <t>Tubería PVC acueducto unión platino de 4" rde 21</t>
  </si>
  <si>
    <t>MAT,433</t>
  </si>
  <si>
    <t>Tubería PVC acueducto unión platino de 6" rde 21</t>
  </si>
  <si>
    <t>MAT,434</t>
  </si>
  <si>
    <t>Tubería PVC acueducto unión platino de 8" rde 21</t>
  </si>
  <si>
    <t>MAT,435</t>
  </si>
  <si>
    <t>Tubería PVC agua lluvia cuadrada</t>
  </si>
  <si>
    <t>MAT,436</t>
  </si>
  <si>
    <t>Tubería PVC agua lluvia de 2"</t>
  </si>
  <si>
    <t>MAT,437</t>
  </si>
  <si>
    <t>Tubería PVC agua lluvia de 3"</t>
  </si>
  <si>
    <t>MAT,438</t>
  </si>
  <si>
    <t>Tubería PVC agua lluvia de 4"</t>
  </si>
  <si>
    <t>MAT,439</t>
  </si>
  <si>
    <t>Tubería PVC conduit de 1/2"</t>
  </si>
  <si>
    <t>MAT,440</t>
  </si>
  <si>
    <t>Tubería PVC corrugada perforada de   65 mm (2 1/2")</t>
  </si>
  <si>
    <t>MAT,441</t>
  </si>
  <si>
    <t>Tubería PVC corrugada perforada de 100 mm (4")</t>
  </si>
  <si>
    <t>MAT,442</t>
  </si>
  <si>
    <t>Tubería PVC corrugada perforada de 160 mm (6")</t>
  </si>
  <si>
    <t>MAT,443</t>
  </si>
  <si>
    <t>Tubería PVC corrugada perforada de 200 mm (8")</t>
  </si>
  <si>
    <t>MAT,447</t>
  </si>
  <si>
    <t>Tubería PVC de alcantarillado de pared estructural d =  4", exterior corrugado</t>
  </si>
  <si>
    <t>MAT,448</t>
  </si>
  <si>
    <t>Tubería PVC de alcantarillado de pared estructural d =  6", exterior corrugado</t>
  </si>
  <si>
    <t>MAT,449</t>
  </si>
  <si>
    <t>Tubería PVC de alcantarillado de pared estructural d =  8", exterior corrugado</t>
  </si>
  <si>
    <t>MAT,444</t>
  </si>
  <si>
    <t>Tubería PVC de alcantarillado de pared estructural d =  10", exterior corrugado</t>
  </si>
  <si>
    <t>MAT,445</t>
  </si>
  <si>
    <t>Tubería PVC de alcantarillado de pared estructural d =  12", exterior corrugado</t>
  </si>
  <si>
    <t>MAT,446</t>
  </si>
  <si>
    <t>Tubería PVC de alcantarillado de pared estructural d =  16", exterior corrugado</t>
  </si>
  <si>
    <t>MAT,541</t>
  </si>
  <si>
    <t>Tubería PVC de alcantarillado de pared estructural d = 24", exterior corrugado</t>
  </si>
  <si>
    <t>MAT,450</t>
  </si>
  <si>
    <t>Tubería PVC de alcantarillado de pared estructural d = 27", exterior corrugado</t>
  </si>
  <si>
    <t>MAT,451</t>
  </si>
  <si>
    <t>Tubería PVC de alcantarillado de pared estructural d = 30", exterior corrugado</t>
  </si>
  <si>
    <t>MAT,452</t>
  </si>
  <si>
    <t>Tubería PVC de alcantarillado de pared estructural d = 36", exterior corrugado</t>
  </si>
  <si>
    <t>MAT,453</t>
  </si>
  <si>
    <t>Tubería PVC de alcantarillado de pared estructural d = 42", exterior corrugado</t>
  </si>
  <si>
    <t>MAT,564</t>
  </si>
  <si>
    <t>Tubería PVC de alcantarillado de pared estructural d = 45", interior y exterior exterior liso</t>
  </si>
  <si>
    <t>MAT,454</t>
  </si>
  <si>
    <t>Tubería PVC de alcantarillado de pared estructural d = 48", exterior liso</t>
  </si>
  <si>
    <t>MAT,455</t>
  </si>
  <si>
    <t>Tubería PVC de alcantarillado de pared estructural d = 51", exterior liso</t>
  </si>
  <si>
    <t>MAT,456</t>
  </si>
  <si>
    <t>Tubería PVC de alcantarillado de pared estructural d = 54", exterior liso</t>
  </si>
  <si>
    <t>MAT,457</t>
  </si>
  <si>
    <t>Tubería PVC de alcantarillado de pared estructural d = 57", exterior liso</t>
  </si>
  <si>
    <t>MAT,458</t>
  </si>
  <si>
    <t>Tubería PVC de alcantarillado de pared estructural d = 60", exterior liso</t>
  </si>
  <si>
    <t>MAT,459</t>
  </si>
  <si>
    <t>Tubería PVC de ventilación de 2"</t>
  </si>
  <si>
    <t>MAT,460</t>
  </si>
  <si>
    <t>Tubería PVC de ventilación de 3"</t>
  </si>
  <si>
    <t>MAT,461</t>
  </si>
  <si>
    <t>Tubería PVC presión de 1 1/2" rde 21</t>
  </si>
  <si>
    <t>MAT,462</t>
  </si>
  <si>
    <t>Tubería PVC presión de 1 1/4" rde 21</t>
  </si>
  <si>
    <t>MAT,463</t>
  </si>
  <si>
    <t>Tubería PVC presión de 1"    rde 21</t>
  </si>
  <si>
    <t>MAT,464</t>
  </si>
  <si>
    <t>Tubería PVC presión de 1/2" rde   9</t>
  </si>
  <si>
    <t>MAT,465</t>
  </si>
  <si>
    <t>Tubería PVC presión de 2"    rde 21</t>
  </si>
  <si>
    <t>MAT,466</t>
  </si>
  <si>
    <t>Tubería PVC presión de 3"    rde 21</t>
  </si>
  <si>
    <t>MAT,467</t>
  </si>
  <si>
    <t>Tubería PVC presión de 3/4" rde 21</t>
  </si>
  <si>
    <t>MAT,468</t>
  </si>
  <si>
    <t>Tubería PVC sanitaria de 2"</t>
  </si>
  <si>
    <t>MAT,469</t>
  </si>
  <si>
    <t>Tubería PVC sanitaria de 3"</t>
  </si>
  <si>
    <t>MAT,470</t>
  </si>
  <si>
    <t>Tubería PVC sanitaria de 4"</t>
  </si>
  <si>
    <t>MAT,471</t>
  </si>
  <si>
    <t>Tubería PVC sanitaria de 6"</t>
  </si>
  <si>
    <t>MAT,472</t>
  </si>
  <si>
    <t>Tubo cerramiento Galvanizado 1 1/2pg x 1.5mm x 6m
Acesco</t>
  </si>
  <si>
    <t>MAT,473</t>
  </si>
  <si>
    <t>Unión de reparación de 2 1/2"</t>
  </si>
  <si>
    <t>MAT,474</t>
  </si>
  <si>
    <t>Unión de reparación de 2"</t>
  </si>
  <si>
    <t>MAT,475</t>
  </si>
  <si>
    <t>Unión de reparación de 3"</t>
  </si>
  <si>
    <t>MAT,476</t>
  </si>
  <si>
    <t>Unión de reparación de 4"</t>
  </si>
  <si>
    <t>MAT,477</t>
  </si>
  <si>
    <t>Unión de reparación de 6"</t>
  </si>
  <si>
    <t>MAT,478</t>
  </si>
  <si>
    <t>Unión de reparación de 8"</t>
  </si>
  <si>
    <t>MAT,538</t>
  </si>
  <si>
    <t>Universal PVC 1/2"</t>
  </si>
  <si>
    <t>MAT,537</t>
  </si>
  <si>
    <t>Universal PVC 1"</t>
  </si>
  <si>
    <t>MAT,479</t>
  </si>
  <si>
    <t>Universal PVC 1 1/2"</t>
  </si>
  <si>
    <t>MAT,480</t>
  </si>
  <si>
    <t>Universal PVC 2"</t>
  </si>
  <si>
    <t>MAT.481</t>
  </si>
  <si>
    <t>Universal PVC 3/4"</t>
  </si>
  <si>
    <t>MAT,482</t>
  </si>
  <si>
    <t xml:space="preserve">Valla en Tela vinílica con malla de poliester ( banner) </t>
  </si>
  <si>
    <t>MAT,483</t>
  </si>
  <si>
    <t>Válvula de 3" sello de bronce extremo liso o junta hidráulica PVC</t>
  </si>
  <si>
    <t>MAT,485</t>
  </si>
  <si>
    <t>Varilla cuadrada de 1/2" para reja</t>
  </si>
  <si>
    <t>MAT,486</t>
  </si>
  <si>
    <t>Varilla esqueleto fina</t>
  </si>
  <si>
    <t>MAT,487</t>
  </si>
  <si>
    <t xml:space="preserve">Varillón de sajo 3x3 </t>
  </si>
  <si>
    <t>MAT,488</t>
  </si>
  <si>
    <t>Vaselina</t>
  </si>
  <si>
    <t>MAT,489</t>
  </si>
  <si>
    <t>Ventanería en ángulo de 1" x 1/8", incluye anticorrosivo</t>
  </si>
  <si>
    <t>Ventana 1.2x1.5mt Aluminio Int Negro Corrediza XO/O Vidrio 6mm
Alumina</t>
  </si>
  <si>
    <t>MAT,490</t>
  </si>
  <si>
    <t>Ventanería metálica en lámina C 20 de seguridad, incluye anticorrosivo</t>
  </si>
  <si>
    <t>MAT,491</t>
  </si>
  <si>
    <t>Ventanería metálica en lámina C 20, incluye anticorrosivo</t>
  </si>
  <si>
    <t>MAT,492</t>
  </si>
  <si>
    <t>Vidrio de 4 mm esmerilado</t>
  </si>
  <si>
    <t>MAT,493</t>
  </si>
  <si>
    <t>Vidrio de 4 mm transparente</t>
  </si>
  <si>
    <t>MAT,494</t>
  </si>
  <si>
    <t>Vigueta principal en 2,4</t>
  </si>
  <si>
    <t>MAT,495</t>
  </si>
  <si>
    <t>Yeso</t>
  </si>
  <si>
    <t>MAT,565</t>
  </si>
  <si>
    <t>Bentonita</t>
  </si>
  <si>
    <t>MAT,566</t>
  </si>
  <si>
    <t>Anfo</t>
  </si>
  <si>
    <t>MAT,567</t>
  </si>
  <si>
    <t>Mecha lenta</t>
  </si>
  <si>
    <t>MAT,568</t>
  </si>
  <si>
    <t>Calfos (Fertilizante uso agricola)</t>
  </si>
  <si>
    <t>kG</t>
  </si>
  <si>
    <t>EQUIPO</t>
  </si>
  <si>
    <t>EQU001</t>
  </si>
  <si>
    <t>Control de agua</t>
  </si>
  <si>
    <t>%MO</t>
  </si>
  <si>
    <t>EQU002</t>
  </si>
  <si>
    <t>Herramienta menor</t>
  </si>
  <si>
    <t>EQU003</t>
  </si>
  <si>
    <t>Concretadora gasolina 1 o 1 1/2 sacos</t>
  </si>
  <si>
    <t>EQU004</t>
  </si>
  <si>
    <t>Buldózer D65-8</t>
  </si>
  <si>
    <t>Hr</t>
  </si>
  <si>
    <t>EQU005</t>
  </si>
  <si>
    <t>Compresor 185 pies3 CFM de 2 martillos, incluye 2 operarios y combustible</t>
  </si>
  <si>
    <t>EQU006</t>
  </si>
  <si>
    <t>Andamio</t>
  </si>
  <si>
    <t>EQU007</t>
  </si>
  <si>
    <t>Taco metálico de 2 - &gt;3 m</t>
  </si>
  <si>
    <t>EQU008</t>
  </si>
  <si>
    <t xml:space="preserve">Motoniveladora </t>
  </si>
  <si>
    <t>EQU009</t>
  </si>
  <si>
    <t>Cargador 930 1,5 yd3</t>
  </si>
  <si>
    <t>EQU010</t>
  </si>
  <si>
    <t>Volqueta 7 m3</t>
  </si>
  <si>
    <t>EQU011</t>
  </si>
  <si>
    <t>Equipo completo de topografía</t>
  </si>
  <si>
    <t>EQU012</t>
  </si>
  <si>
    <t xml:space="preserve">Vibrocompactador manual </t>
  </si>
  <si>
    <t>EQU013</t>
  </si>
  <si>
    <t>Cilindro compactador vibratorio Dynapac y tractor</t>
  </si>
  <si>
    <t>EQU014</t>
  </si>
  <si>
    <t>Guadaña</t>
  </si>
  <si>
    <t>Dia</t>
  </si>
  <si>
    <t>EQU015</t>
  </si>
  <si>
    <t>Pulidora sin operario</t>
  </si>
  <si>
    <t>EQU016</t>
  </si>
  <si>
    <t>Motobomba sumergible 3" con manguera</t>
  </si>
  <si>
    <t>EQU017</t>
  </si>
  <si>
    <t>Entibado</t>
  </si>
  <si>
    <t>EQU018</t>
  </si>
  <si>
    <t>Vibrador eléctrico o a gasolina</t>
  </si>
  <si>
    <t>EQU019</t>
  </si>
  <si>
    <t>Finisher (pavimentadora) con operario</t>
  </si>
  <si>
    <t>EQU020</t>
  </si>
  <si>
    <t>Carrotanque asfalto</t>
  </si>
  <si>
    <t>EQU021</t>
  </si>
  <si>
    <t>Compresor pintura</t>
  </si>
  <si>
    <t>EQU022</t>
  </si>
  <si>
    <t>Compactador neumático  con tractor</t>
  </si>
  <si>
    <t>EQU023</t>
  </si>
  <si>
    <t>Carrotanque agua</t>
  </si>
  <si>
    <t>EQU024</t>
  </si>
  <si>
    <t>Retroexcavadora de orugas  capacidad 0,9 M3</t>
  </si>
  <si>
    <t>EQU025</t>
  </si>
  <si>
    <t>Formaleta cono cámara</t>
  </si>
  <si>
    <t>EQU026</t>
  </si>
  <si>
    <t>Regla vibradora</t>
  </si>
  <si>
    <t>EQU027</t>
  </si>
  <si>
    <t>Formaleta pavimento concreto 3 ml</t>
  </si>
  <si>
    <t>EQU028</t>
  </si>
  <si>
    <t>Formaleta cuerpo cámara inspección 1,20 m</t>
  </si>
  <si>
    <t>EQU029</t>
  </si>
  <si>
    <t>Manejo de tubería</t>
  </si>
  <si>
    <t>EQU030</t>
  </si>
  <si>
    <t>Cama baja</t>
  </si>
  <si>
    <t>Serv x 10Km</t>
  </si>
  <si>
    <t>EQU031</t>
  </si>
  <si>
    <t>Cortadora de concreto con disco</t>
  </si>
  <si>
    <t>EQU032</t>
  </si>
  <si>
    <t>Equipo móvil pintura línea vías, incluye camioneta guia</t>
  </si>
  <si>
    <t>EQU033</t>
  </si>
  <si>
    <t>Alquiler de campero o camioneta Mod. &gt; 2015 de 2.600 o mas c. c. , con conductor</t>
  </si>
  <si>
    <t>EQU034</t>
  </si>
  <si>
    <t>Compactador  manual (canguro)</t>
  </si>
  <si>
    <t>EQU035</t>
  </si>
  <si>
    <t>Cortadora de ladrillo sin disco</t>
  </si>
  <si>
    <t>EQU036</t>
  </si>
  <si>
    <t>Equipo perforación de pilotes</t>
  </si>
  <si>
    <t>EQU037</t>
  </si>
  <si>
    <t>Transporte de materiales en mula</t>
  </si>
  <si>
    <t>Cg</t>
  </si>
  <si>
    <t>EQU038</t>
  </si>
  <si>
    <t>Grua montacarga (7 Ton)</t>
  </si>
  <si>
    <t>EQU039</t>
  </si>
  <si>
    <t>Equipo soldadura eléctrica</t>
  </si>
  <si>
    <t>EQU040</t>
  </si>
  <si>
    <t>Bomba para concreto</t>
  </si>
  <si>
    <t>EQU041</t>
  </si>
  <si>
    <t>Taco metálico de 2,6 - &gt;4 m</t>
  </si>
  <si>
    <t>EQU042</t>
  </si>
  <si>
    <t>Tablero formaleta 45*135</t>
  </si>
  <si>
    <t>EQU043</t>
  </si>
  <si>
    <t>Tablero formaleta 70*140</t>
  </si>
  <si>
    <t>EQU044</t>
  </si>
  <si>
    <t>Tablero formaleta 90*135</t>
  </si>
  <si>
    <t>EQU045</t>
  </si>
  <si>
    <t>Taladro percutor</t>
  </si>
  <si>
    <t>EQU047</t>
  </si>
  <si>
    <t>Grua telescópica (DE 50)</t>
  </si>
  <si>
    <t>EQU048</t>
  </si>
  <si>
    <t>Andamio tubular</t>
  </si>
  <si>
    <t>EQU049</t>
  </si>
  <si>
    <t>Cuña hidráulica  con compresor</t>
  </si>
  <si>
    <t>Tiro</t>
  </si>
  <si>
    <t>EQU050</t>
  </si>
  <si>
    <t>Cilindro compactador 2 toneladas</t>
  </si>
  <si>
    <t>EQU051</t>
  </si>
  <si>
    <t>Fresadora</t>
  </si>
  <si>
    <t>EQU052</t>
  </si>
  <si>
    <t>Recicladora de pavimento</t>
  </si>
  <si>
    <t>EQU053</t>
  </si>
  <si>
    <t>Transporte de materiales</t>
  </si>
  <si>
    <t>%Mat.</t>
  </si>
  <si>
    <t>EQU054</t>
  </si>
  <si>
    <t>EQU055</t>
  </si>
  <si>
    <t>Taladro</t>
  </si>
  <si>
    <t>EQU056</t>
  </si>
  <si>
    <t>Formaleta cónica para caissons</t>
  </si>
  <si>
    <t>EQU057</t>
  </si>
  <si>
    <t>Camisa metálica recuperable para pilotes</t>
  </si>
  <si>
    <t>EQU058</t>
  </si>
  <si>
    <t xml:space="preserve">Equipo de Oxicorte </t>
  </si>
  <si>
    <t>EQU059</t>
  </si>
  <si>
    <t>Motosierra, 93.6 cm3 - 7.1 HP, 45-90 cm - 7.9 kg</t>
  </si>
  <si>
    <t>EQU060</t>
  </si>
  <si>
    <t>Compresor (Barrido y soplado)</t>
  </si>
  <si>
    <t>EQU061</t>
  </si>
  <si>
    <t>Aspersor manual</t>
  </si>
  <si>
    <t>EQU062</t>
  </si>
  <si>
    <t>Mobomba de concreto</t>
  </si>
  <si>
    <t>EQU063</t>
  </si>
  <si>
    <t>Pala auxiliar de piloteadora</t>
  </si>
  <si>
    <t>EQU064</t>
  </si>
  <si>
    <t>Retroexcavadora A25C</t>
  </si>
  <si>
    <t>ESY001</t>
  </si>
  <si>
    <t>Ensayo resistencia concretos</t>
  </si>
  <si>
    <t>ESY002</t>
  </si>
  <si>
    <t>Toma de densidades</t>
  </si>
  <si>
    <t>ITEM</t>
  </si>
  <si>
    <t>UND</t>
  </si>
  <si>
    <t>CANT.</t>
  </si>
  <si>
    <t>RENDIMIENTO, USOS, DESPEDICIOS</t>
  </si>
  <si>
    <t>VALOR PARCIAL</t>
  </si>
  <si>
    <t>M . O</t>
  </si>
  <si>
    <r>
      <t>M</t>
    </r>
    <r>
      <rPr>
        <b/>
        <vertAlign val="superscript"/>
        <sz val="10"/>
        <rFont val="Arial"/>
        <family val="2"/>
      </rPr>
      <t>3</t>
    </r>
  </si>
  <si>
    <t>ITEMS</t>
  </si>
  <si>
    <t>G-03-05</t>
  </si>
  <si>
    <t>Disposición en botadero</t>
  </si>
  <si>
    <r>
      <t>M</t>
    </r>
    <r>
      <rPr>
        <vertAlign val="superscript"/>
        <sz val="10"/>
        <rFont val="Arial"/>
        <family val="2"/>
      </rPr>
      <t>3</t>
    </r>
  </si>
  <si>
    <t>Km</t>
  </si>
  <si>
    <t>Herramienta menor (% mano obra)</t>
  </si>
  <si>
    <t>G-03-01</t>
  </si>
  <si>
    <t>Transporte material (corte, sub-base, base, afirmado, Petreos, arenas, etc)</t>
  </si>
  <si>
    <t>Acarreo horizontal</t>
  </si>
  <si>
    <t>2-01-12</t>
  </si>
  <si>
    <r>
      <t>M</t>
    </r>
    <r>
      <rPr>
        <b/>
        <vertAlign val="superscript"/>
        <sz val="10"/>
        <color indexed="8"/>
        <rFont val="Arial"/>
        <family val="2"/>
      </rPr>
      <t>3</t>
    </r>
  </si>
  <si>
    <t>G-03-02</t>
  </si>
  <si>
    <t>Transporte maquinaría pesada</t>
  </si>
  <si>
    <r>
      <t>m</t>
    </r>
    <r>
      <rPr>
        <vertAlign val="superscript"/>
        <sz val="10"/>
        <rFont val="Arial"/>
        <family val="2"/>
      </rPr>
      <t>3</t>
    </r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</si>
  <si>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-Km</t>
    </r>
  </si>
  <si>
    <r>
      <t>M</t>
    </r>
    <r>
      <rPr>
        <vertAlign val="superscript"/>
        <sz val="10"/>
        <rFont val="Arial"/>
        <family val="2"/>
      </rPr>
      <t>2</t>
    </r>
  </si>
  <si>
    <t>dia</t>
  </si>
  <si>
    <t>2-05-10</t>
  </si>
  <si>
    <t>Sello de junta para pavimento</t>
  </si>
  <si>
    <t>G-01-04</t>
  </si>
  <si>
    <t>Corte de pavimento rígido con cortadora autopropulsada</t>
  </si>
  <si>
    <t>G-01-03</t>
  </si>
  <si>
    <t>Concreto de 17,2 Mpa (2500 psi) (producción)</t>
  </si>
  <si>
    <t>Concreto de 20,7 Mpa (3000 psi) (producción)</t>
  </si>
  <si>
    <t>Pago tarifa disposicion final</t>
  </si>
  <si>
    <t>1-02-07</t>
  </si>
  <si>
    <t>ENSAYOS</t>
  </si>
  <si>
    <t>1-04-14</t>
  </si>
  <si>
    <t>1-12-42</t>
  </si>
  <si>
    <t>MAT,580</t>
  </si>
  <si>
    <t>MAT,592</t>
  </si>
  <si>
    <t>MAT,591</t>
  </si>
  <si>
    <t>MAT,590</t>
  </si>
  <si>
    <t>MAT,589</t>
  </si>
  <si>
    <t>MAT,588</t>
  </si>
  <si>
    <t>MAT,587</t>
  </si>
  <si>
    <t>MAT,586</t>
  </si>
  <si>
    <t>MAT,585</t>
  </si>
  <si>
    <t>MAT,584</t>
  </si>
  <si>
    <t>MAT,583</t>
  </si>
  <si>
    <t>MAT,582</t>
  </si>
  <si>
    <t>MAT,581</t>
  </si>
  <si>
    <t>MAT,579</t>
  </si>
  <si>
    <t>MAT,578</t>
  </si>
  <si>
    <t>MAT,577</t>
  </si>
  <si>
    <t>MAT,576</t>
  </si>
  <si>
    <t>MAT,575</t>
  </si>
  <si>
    <t>MAT,574</t>
  </si>
  <si>
    <t>MAT,573</t>
  </si>
  <si>
    <t>MAT,572</t>
  </si>
  <si>
    <t>MAT,571</t>
  </si>
  <si>
    <t>MAT,570</t>
  </si>
  <si>
    <t>MAT,569</t>
  </si>
  <si>
    <r>
      <t>M</t>
    </r>
    <r>
      <rPr>
        <b/>
        <vertAlign val="superscript"/>
        <sz val="10"/>
        <color theme="1"/>
        <rFont val="Arial"/>
        <family val="2"/>
      </rPr>
      <t>3</t>
    </r>
  </si>
  <si>
    <r>
      <t>m</t>
    </r>
    <r>
      <rPr>
        <vertAlign val="superscript"/>
        <sz val="10"/>
        <color theme="1"/>
        <rFont val="Arial"/>
        <family val="2"/>
      </rPr>
      <t>3</t>
    </r>
  </si>
  <si>
    <r>
      <t>M</t>
    </r>
    <r>
      <rPr>
        <vertAlign val="superscript"/>
        <sz val="10"/>
        <color theme="1"/>
        <rFont val="Arial"/>
        <family val="2"/>
      </rPr>
      <t>3</t>
    </r>
  </si>
  <si>
    <r>
      <t>M</t>
    </r>
    <r>
      <rPr>
        <b/>
        <vertAlign val="superscript"/>
        <sz val="10"/>
        <color theme="1"/>
        <rFont val="Arial"/>
        <family val="2"/>
      </rPr>
      <t>2</t>
    </r>
  </si>
  <si>
    <r>
      <t>m</t>
    </r>
    <r>
      <rPr>
        <b/>
        <vertAlign val="superscript"/>
        <sz val="10"/>
        <color theme="1"/>
        <rFont val="Arial"/>
        <family val="2"/>
      </rPr>
      <t>3</t>
    </r>
  </si>
  <si>
    <r>
      <t>M</t>
    </r>
    <r>
      <rPr>
        <b/>
        <vertAlign val="super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>-Km</t>
    </r>
  </si>
  <si>
    <r>
      <t>M</t>
    </r>
    <r>
      <rPr>
        <vertAlign val="super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-Km</t>
    </r>
  </si>
  <si>
    <r>
      <t>Buggy liviano antipinchazo 6 pies</t>
    </r>
    <r>
      <rPr>
        <vertAlign val="superscript"/>
        <sz val="10"/>
        <rFont val="Arial"/>
        <family val="2"/>
      </rPr>
      <t>3</t>
    </r>
  </si>
  <si>
    <r>
      <t>m</t>
    </r>
    <r>
      <rPr>
        <vertAlign val="superscript"/>
        <sz val="10"/>
        <rFont val="Arial"/>
        <family val="2"/>
      </rPr>
      <t>2</t>
    </r>
  </si>
  <si>
    <t>Geotextíl Tejido T2400</t>
  </si>
  <si>
    <t>Tapa válvula tipo común 21 x 21 cm</t>
  </si>
  <si>
    <t>Caja para válvulas tipo N° 1 en zona verde o en pavimento, con dado en concreto de 0,60 x 0,60 Esp=0,20 mts. Incluye acero, tapa en HD 21x21</t>
  </si>
  <si>
    <t>Concreto para silletas, atraques y anclajes (concreto 20,7 Mpa)</t>
  </si>
  <si>
    <t>ITE001</t>
  </si>
  <si>
    <t>ITE002</t>
  </si>
  <si>
    <t>ITE003</t>
  </si>
  <si>
    <t>ITE004</t>
  </si>
  <si>
    <t>ITE005</t>
  </si>
  <si>
    <t>ITE006</t>
  </si>
  <si>
    <t>ITE007</t>
  </si>
  <si>
    <t>ITE009</t>
  </si>
  <si>
    <t>ITE010</t>
  </si>
  <si>
    <t>ITE012</t>
  </si>
  <si>
    <t>IMPLEMENTACIÓN DEL PLAN DE APLICACIÓN DEL PROTOCOLO SANITARIO PARA LA OBRA (PAPSO)</t>
  </si>
  <si>
    <t>Suministro y reposición de los elementos de desinfección para la obra</t>
  </si>
  <si>
    <t>Puntos de hidratación en perfectas condiciones de higiene y limpieza</t>
  </si>
  <si>
    <t>Adecuación de areas bioseguras para descontaminación. Incluye termometro, lavamanos portatiles, botiquin, señalización interna y externa, canecas de pedal, lavado y desinfección de areas y adecuación zonas de desifección</t>
  </si>
  <si>
    <t>Jabon liquido antibacterial</t>
  </si>
  <si>
    <t>Gel antibacterial</t>
  </si>
  <si>
    <t>Desinfectante</t>
  </si>
  <si>
    <t>Alcohol glicerinado</t>
  </si>
  <si>
    <t>Toallas desechables paquetes de 30*150 hojas</t>
  </si>
  <si>
    <t>Paquete</t>
  </si>
  <si>
    <t>Mezcla de hipoclorito</t>
  </si>
  <si>
    <t>Aspersora de desinfeccion para espacios</t>
  </si>
  <si>
    <t>Und</t>
  </si>
  <si>
    <t>Botellones de Agua</t>
  </si>
  <si>
    <t xml:space="preserve">Vasos Dechechables </t>
  </si>
  <si>
    <t>Paquete x 100</t>
  </si>
  <si>
    <t>Tapabocas lavables, (20 lavadas, entregan 6 por persona, 3 usos diarios)</t>
  </si>
  <si>
    <t>Guantes de vaqueta</t>
  </si>
  <si>
    <t>Guantes de nitrilo caja por 100</t>
  </si>
  <si>
    <t>Termometros</t>
  </si>
  <si>
    <t>Lavamanos portatil en areas de trabajo fabricados</t>
  </si>
  <si>
    <t>Botiquín primeros auxilios. incluye: gasa esteril, algodón, venda elástica, micropore, curitas, baja lenguas, tijeras, guantes de latex, aplicadores, timerosal, alcohol yodado, suero fisiológico</t>
  </si>
  <si>
    <t>Adecuaciones de zonas de desifeccion entrada y salida de los trabajadores</t>
  </si>
  <si>
    <t>Señalizacion interna y externa</t>
  </si>
  <si>
    <t>Canecas de pedal</t>
  </si>
  <si>
    <t>Lavado y desinfeccion de areas de trabajo</t>
  </si>
  <si>
    <t>DIRECTO:</t>
  </si>
  <si>
    <t>PRESUP TOTAL:</t>
  </si>
  <si>
    <t>PLAZO (meses):</t>
  </si>
  <si>
    <t>PERSONAL</t>
  </si>
  <si>
    <t>SUELDO MES</t>
  </si>
  <si>
    <t>DEDICACION MES</t>
  </si>
  <si>
    <t>No. MESES</t>
  </si>
  <si>
    <t>VR. PARCIAL</t>
  </si>
  <si>
    <t>Director de Obra</t>
  </si>
  <si>
    <t>Residente de Obra</t>
  </si>
  <si>
    <t>Asesor Seguridad industrial salud ocupacional</t>
  </si>
  <si>
    <t>Asesor en Trabajo Social</t>
  </si>
  <si>
    <t>Asesor ambiental</t>
  </si>
  <si>
    <t>Total Personal</t>
  </si>
  <si>
    <t>POLIZAS</t>
  </si>
  <si>
    <t>Porcentaje</t>
  </si>
  <si>
    <t>Base de Liquidacion</t>
  </si>
  <si>
    <t>% costo poliza</t>
  </si>
  <si>
    <t>COSTO POLIZA</t>
  </si>
  <si>
    <t>Póliza cumplimiento del contrato</t>
  </si>
  <si>
    <t>Póliza salarios, prestaciones sociales, e indemnizaciones laborales</t>
  </si>
  <si>
    <t>Póliza de buen manejo de anticipo</t>
  </si>
  <si>
    <t>Poliza de responsabilidad civil extra contractual</t>
  </si>
  <si>
    <t>Póliza de estabilidad de la obra</t>
  </si>
  <si>
    <t>Poliza de la calidad de los elementos</t>
  </si>
  <si>
    <t>Subtotal Polizas</t>
  </si>
  <si>
    <t>IMPUESTOS</t>
  </si>
  <si>
    <t>VALOR</t>
  </si>
  <si>
    <t>V/r PARCIAL</t>
  </si>
  <si>
    <t>Contribucion Especial (solo obra)</t>
  </si>
  <si>
    <t>Industria y comercio</t>
  </si>
  <si>
    <t>Estampilla Pro Hospital</t>
  </si>
  <si>
    <t>Estampilla Prodesarrollo</t>
  </si>
  <si>
    <t>Bienestar del anciano</t>
  </si>
  <si>
    <t>Prouniversidad</t>
  </si>
  <si>
    <t>Subtotal Impuestos</t>
  </si>
  <si>
    <t>OTROS GASTOS</t>
  </si>
  <si>
    <t>VR. UNITARIO</t>
  </si>
  <si>
    <t>Fotocopias, Ploteos y Reproducciones</t>
  </si>
  <si>
    <t>Glb</t>
  </si>
  <si>
    <t>Oficina</t>
  </si>
  <si>
    <t>Subtotal Otros Gastos</t>
  </si>
  <si>
    <t>VALOR TOTAL ADMINISTRACION</t>
  </si>
  <si>
    <t>VALOR UTILIDAD</t>
  </si>
  <si>
    <t xml:space="preserve">PRESUPUESTO INTERVENTORÍA </t>
  </si>
  <si>
    <t xml:space="preserve">PLAZO (MESES) </t>
  </si>
  <si>
    <t>PERSONAL DE PLANILLA 
(CON VINCULACION)</t>
  </si>
  <si>
    <t>SUELDO (MES)</t>
  </si>
  <si>
    <t>DEDICACION (MES)</t>
  </si>
  <si>
    <t>N° MESES</t>
  </si>
  <si>
    <t>Vr PARCIAL</t>
  </si>
  <si>
    <t>Director de Interventoria</t>
  </si>
  <si>
    <t>Residente de Interventoria</t>
  </si>
  <si>
    <t xml:space="preserve">Inspector de Obra </t>
  </si>
  <si>
    <t>Total Personal de Planilla</t>
  </si>
  <si>
    <t>PERSONAL DE APOYO 
(PRESTACION DE SERVICIOS)</t>
  </si>
  <si>
    <t>Asesor en trabajo social</t>
  </si>
  <si>
    <t>COSTOS INDIRECTOS</t>
  </si>
  <si>
    <t>PORCENTAJE</t>
  </si>
  <si>
    <t>COSTOS DIRECTOS</t>
  </si>
  <si>
    <t>IVA (19%)</t>
  </si>
  <si>
    <t>PRESUPUESTO TOTAL DE INTERVENTORIA</t>
  </si>
  <si>
    <t>ANALISIS DE AU</t>
  </si>
  <si>
    <t>AU (calculado):</t>
  </si>
  <si>
    <t>PERSONAL (Factor Prestacional)</t>
  </si>
  <si>
    <t>Total Personal (Factor Prestacional)</t>
  </si>
  <si>
    <t>AU CALCULADO (Excluye IVA)</t>
  </si>
  <si>
    <t>Valla de identificación de obra, colocada en cerchas metálica, incluye mantenimiento durante la construcción</t>
  </si>
  <si>
    <t>VALOR TOTAL</t>
  </si>
  <si>
    <t>FACTOR PRESTACIONAL (Salario &gt; 2 SMMLV)</t>
  </si>
  <si>
    <t>Sub-base granular</t>
  </si>
  <si>
    <t>2-03-02</t>
  </si>
  <si>
    <t>CARRERA 10 ENTRE CALLES 8 Y 9</t>
  </si>
  <si>
    <t>INICIO</t>
  </si>
  <si>
    <t>FINAL</t>
  </si>
  <si>
    <t>MATERIAL</t>
  </si>
  <si>
    <t>NÚMERO DE DOMICILIARIAS</t>
  </si>
  <si>
    <t>NÚMERO DE SUMIDEROS</t>
  </si>
  <si>
    <t>PVC</t>
  </si>
  <si>
    <t>NÚMERO DE CÁMARAS</t>
  </si>
  <si>
    <t>OBSERVACIONES</t>
  </si>
  <si>
    <t>N1</t>
  </si>
  <si>
    <t>N2</t>
  </si>
  <si>
    <t>NÚMERO DE ACOMETIDAS</t>
  </si>
  <si>
    <t>ANDENES (m2)</t>
  </si>
  <si>
    <t>PROFUNDIDA DE EXCAVACIÓN (m)</t>
  </si>
  <si>
    <t>LONGITUD (m)</t>
  </si>
  <si>
    <t>DIAMETRO (")</t>
  </si>
  <si>
    <t>CONEXIÓN TUBERÍA EXISTENTE (un)</t>
  </si>
  <si>
    <t>VALVULAS (un)</t>
  </si>
  <si>
    <t>RASANTE INICIAL (msnm)</t>
  </si>
  <si>
    <t>RASANTE FINAL (msnm)</t>
  </si>
  <si>
    <t>BATEA INICIAL (msnm)</t>
  </si>
  <si>
    <t>BATEA FINAL (msnm)</t>
  </si>
  <si>
    <t>ANCHO DE VIA (m)</t>
  </si>
  <si>
    <t>SARDINEL (m)</t>
  </si>
  <si>
    <t>PAVIMENTOS (m2)</t>
  </si>
  <si>
    <t>CORTE (m)</t>
  </si>
  <si>
    <t>EXCAVACIÓN (m3)</t>
  </si>
  <si>
    <t>Salario Mínimo Mensual Legal Vigente año 2021</t>
  </si>
  <si>
    <t>Sardinel en concreto de 20,7 Mpa 0,03 m3/ml, incluye refuerzo, sobre placa</t>
  </si>
  <si>
    <t>Demolición de anden en concreto</t>
  </si>
  <si>
    <t>Desmonte de tubería de alcantarillado hasta 12"</t>
  </si>
  <si>
    <t>2-01-19</t>
  </si>
  <si>
    <t>2-07-01</t>
  </si>
  <si>
    <t>Defensa vial, incluye terminales y capta faros</t>
  </si>
  <si>
    <t>2-07-04</t>
  </si>
  <si>
    <t>Señal vertical de 0,90 m (con cinta reflectiva)</t>
  </si>
  <si>
    <t>2-07-05</t>
  </si>
  <si>
    <t>Líneas de demarcación vial pintura en frío</t>
  </si>
  <si>
    <t>2-07-06</t>
  </si>
  <si>
    <t>Marcas viales</t>
  </si>
  <si>
    <t>2-07-07</t>
  </si>
  <si>
    <t>Paleteros</t>
  </si>
  <si>
    <t>Jr</t>
  </si>
  <si>
    <t>2-07-08</t>
  </si>
  <si>
    <t>Tacha reflectiva unidireccional incluye suministro e instalación</t>
  </si>
  <si>
    <t>Cargue y retiro de material sobrante distancia mayor a 10 km (65,6 km a botadero La Bonita - Pereira Risaralda)</t>
  </si>
  <si>
    <t>1-03-01</t>
  </si>
  <si>
    <t>Excavación en material común seco de 0 - 2 m manual</t>
  </si>
  <si>
    <t>M. O</t>
  </si>
  <si>
    <t>2-05-19</t>
  </si>
  <si>
    <t>MAT</t>
  </si>
  <si>
    <t xml:space="preserve">Varillón de sajo 3 x 3 </t>
  </si>
  <si>
    <t>SEÑALIZACIÓN Y SEGURIDAD VIAL</t>
  </si>
  <si>
    <t>Defensa metálica de 4,13 m galvanizada</t>
  </si>
  <si>
    <t>Postes para defensa metálica (1.80 m) 6 mm, galvanizado (incluye tornillos)</t>
  </si>
  <si>
    <t>Amortiguador de 360 mm, calibre 3/16", galvanizado en caliente, incluye tornillería</t>
  </si>
  <si>
    <t>Concreto de 17,2 Mpa (Producción)</t>
  </si>
  <si>
    <t>Poste en ángulo de 2 x 2 1/4" de 3,5 m</t>
  </si>
  <si>
    <t>Señal vertical completa con cinta reflectiva, mástil de 0,90 m</t>
  </si>
  <si>
    <t>Microesferas reflectivas</t>
  </si>
  <si>
    <t>Pintura acrílica para tráfico</t>
  </si>
  <si>
    <t>Disolvente Pintráfico Ref 121004</t>
  </si>
  <si>
    <t>Equipo móvil pintura línea vías, incluye camioneta guía</t>
  </si>
  <si>
    <t>Plantillas y pegante</t>
  </si>
  <si>
    <t>Resina termoplástica (pegante epóxico)</t>
  </si>
  <si>
    <t>Paleta pare - siga en polietileno y texto reflectivo de 45 cm</t>
  </si>
  <si>
    <t>Alquiler de Almacen/Campamento</t>
  </si>
  <si>
    <t>Alquiler Almacen/Campamento</t>
  </si>
  <si>
    <t>Servicios Públicos</t>
  </si>
  <si>
    <t>MAT,999</t>
  </si>
  <si>
    <t>MAT,1000</t>
  </si>
  <si>
    <t>ITE013</t>
  </si>
  <si>
    <t>Tubería PVC Corrugado 160 mm</t>
  </si>
  <si>
    <t>Cubierta provisional poletileno Cal 4 y gauadua</t>
  </si>
  <si>
    <t>SUSTITUCIONES</t>
  </si>
  <si>
    <t>Excavación en material común seco de 2-4 m manual</t>
  </si>
  <si>
    <t>Sumidero transversal concretro 24 Mpa, incluye rejas50x70</t>
  </si>
  <si>
    <t>Manejo redes vitales ( gas)</t>
  </si>
  <si>
    <t>Manejo redes vitales (acueducto)</t>
  </si>
  <si>
    <t>Retiro accesorios acueducto (valvulas, hidrantes, otros)</t>
  </si>
  <si>
    <t>Relleno afirmado compactado sustitucion flatantes (vacios) y andenes</t>
  </si>
  <si>
    <t xml:space="preserve">Relleno sucio de rio compactado sustitucion flatantes (vacios) </t>
  </si>
  <si>
    <t>Peldaños acero D3/4 incluye anticorrosivio</t>
  </si>
  <si>
    <t>Tabla común cepillada 3,00 x 0,20 x 0,02 mts</t>
  </si>
  <si>
    <t>Cuartón común cepillado 3,00 x 0,08 x 0,04 mts</t>
  </si>
  <si>
    <t>Listón común 3,00 x 0,04 x 0,04 mts</t>
  </si>
  <si>
    <t>Puntilla 2" y 2 1/2"</t>
  </si>
  <si>
    <t>Ayudante</t>
  </si>
  <si>
    <t>Acceso Provisional a Viviendas en Madera</t>
  </si>
  <si>
    <t>lb</t>
  </si>
  <si>
    <t>%mo</t>
  </si>
  <si>
    <t>Acarreo horizontal en obra (10% mo)</t>
  </si>
  <si>
    <t>Herramienta menor (10% mo)</t>
  </si>
  <si>
    <t>Puentes Peatonales (2 x 1,5) con Baranda</t>
  </si>
  <si>
    <t>Puntilla 3" y 3 1/2"</t>
  </si>
  <si>
    <t>Guadua cepa L=4.0 m</t>
  </si>
  <si>
    <t>Guadua sobrebasa L=3.2 m</t>
  </si>
  <si>
    <t>Varillón común 3,00 x 0,04 x 0,02 mts</t>
  </si>
  <si>
    <t>Alambre negro calibre 17</t>
  </si>
  <si>
    <t>Techo Provisional en Polietileno Cal 4 y Guadua</t>
  </si>
  <si>
    <t>Polietileno Cal 4</t>
  </si>
  <si>
    <t>Manejo de Redes de Vitales (Energia)</t>
  </si>
  <si>
    <t>ml</t>
  </si>
  <si>
    <t>Accesorios de Fijación</t>
  </si>
  <si>
    <t>Accesorios PVC presión (% tubería)</t>
  </si>
  <si>
    <t>Limpiador removedor PVC  1/4</t>
  </si>
  <si>
    <t>Soldadura PVC liquida 1/4</t>
  </si>
  <si>
    <t>Manejo de Redes de Vitales (Acueducto)</t>
  </si>
  <si>
    <t>Cinta Aislante SCOTCH 33 19 mm x 20 m</t>
  </si>
  <si>
    <t>Cable Cu aislado #12 AWG THHN/THWN</t>
  </si>
  <si>
    <t xml:space="preserve">Cable encauchetado de cobre ST-C 3x12 AWG </t>
  </si>
  <si>
    <t>Clavija plastica 15 A - 125 V con PT</t>
  </si>
  <si>
    <t>Manejo de Redes de Vitales (Gas)</t>
  </si>
  <si>
    <t>Pasta Fundente Aga-2800 ó Similar</t>
  </si>
  <si>
    <t>Soldadura 50x50 rollo (500gr)</t>
  </si>
  <si>
    <t>Accesorios Cobre</t>
  </si>
  <si>
    <t>1-03-02</t>
  </si>
  <si>
    <t>Excavación en material común seco de 2 - 4 m manual</t>
  </si>
  <si>
    <r>
      <t>M</t>
    </r>
    <r>
      <rPr>
        <b/>
        <vertAlign val="superscript"/>
        <sz val="10"/>
        <color rgb="FF000000"/>
        <rFont val="Arial"/>
        <family val="2"/>
      </rPr>
      <t>3</t>
    </r>
  </si>
  <si>
    <t>Entibado (% mano obra)</t>
  </si>
  <si>
    <t>1-03-11</t>
  </si>
  <si>
    <t>Excavación en conglomerado bajo agua de 2 - 4 m manual</t>
  </si>
  <si>
    <t>1-15-01</t>
  </si>
  <si>
    <t>Control de aguas</t>
  </si>
  <si>
    <t>Manejo de aguas en Brechas Excavadas</t>
  </si>
  <si>
    <t>Manejo de Aguas en Brechas Excavadas</t>
  </si>
  <si>
    <t>Demolición caja domiciliaria</t>
  </si>
  <si>
    <t>Demolición Caja Domiciliaria</t>
  </si>
  <si>
    <t>und</t>
  </si>
  <si>
    <t>Demolición en Concreto Simple</t>
  </si>
  <si>
    <t>Entibado Preventivo para Excavaciones en Zanja h&gt;1.50</t>
  </si>
  <si>
    <t>Telera común cepillada 3,00 x 0,20 x 0,04 mts</t>
  </si>
  <si>
    <t>Sucio de Rio</t>
  </si>
  <si>
    <t>Vibrocompactador manual</t>
  </si>
  <si>
    <t>1-03-25</t>
  </si>
  <si>
    <t>Afirmado</t>
  </si>
  <si>
    <t>Rampa en concreto de 20,7 Mpa (3.000 psi) e = 0,10 m</t>
  </si>
  <si>
    <t>1-02-11</t>
  </si>
  <si>
    <t>Adhesivo epóxico tipo IV grado 3 (ASTM C-881-02)
para anclar barras de acero al concreto. X 600 ml</t>
  </si>
  <si>
    <t>Varilla de Acero Corrugado de 3/4"</t>
  </si>
  <si>
    <t>Concreto de 20,7 Mpa (producción)</t>
  </si>
  <si>
    <t>Acero Fy = 60.000 psi</t>
  </si>
  <si>
    <t>MA</t>
  </si>
  <si>
    <t>Botellones de agua</t>
  </si>
  <si>
    <t>Tapabocas lavables, (se entregan 6 por persona)</t>
  </si>
  <si>
    <t>MO</t>
  </si>
  <si>
    <t>Termometro digital</t>
  </si>
  <si>
    <t>M.A.</t>
  </si>
  <si>
    <t>mes</t>
  </si>
  <si>
    <t xml:space="preserve">Proyectó: </t>
  </si>
  <si>
    <t>ARLEX DAVID CASTRILLON LONDOÑO</t>
  </si>
  <si>
    <t>ANA MARIA ARCILA RAMIREZ</t>
  </si>
  <si>
    <t xml:space="preserve">Ingeniero Civil </t>
  </si>
  <si>
    <t>Directora Area Técnica</t>
  </si>
  <si>
    <t>Aguas y Aseo de Risaralda S.A. E.S.P.</t>
  </si>
  <si>
    <t>AU</t>
  </si>
  <si>
    <t>CM-146</t>
  </si>
  <si>
    <t>CM-147</t>
  </si>
  <si>
    <t>CM-148</t>
  </si>
  <si>
    <t>CM-121</t>
  </si>
  <si>
    <r>
      <t xml:space="preserve">CONSORCIO 2A PM SANTUARIO
</t>
    </r>
    <r>
      <rPr>
        <sz val="11"/>
        <rFont val="Arial Narrow"/>
        <family val="2"/>
      </rPr>
      <t>CONSULTOR</t>
    </r>
  </si>
  <si>
    <t>Silla Yee Pvc de pared estructural 400X160</t>
  </si>
  <si>
    <t>1-13-46</t>
  </si>
  <si>
    <t>Base granular tipo INVIAS</t>
  </si>
  <si>
    <t>Base Granular Tipo Invias</t>
  </si>
  <si>
    <t>Pavimento en concreto MR = 4,1 Mpa premezclado, e = 0.20 m, incluye refuerzo, corte con disco y sello de juntas</t>
  </si>
  <si>
    <t>Acero</t>
  </si>
  <si>
    <t>Cuerpos de camara #4</t>
  </si>
  <si>
    <t>Remate exsquinas</t>
  </si>
  <si>
    <t>Sumideros</t>
  </si>
  <si>
    <t>OPTIMIZACIÓN DE LAS REDES DE ACUEDUCTO Y ALCANTARILLADO UBICADOS EN LA CALLE 6 ENTRE CARRERAS 9 Y 11 - MUNICIPIO DE SANTUARIO RISARALDA</t>
  </si>
  <si>
    <t>Estampilla Pro Deporte</t>
  </si>
  <si>
    <t>Sub Total - Personal Profesional</t>
  </si>
  <si>
    <t>Factor Multiplicador</t>
  </si>
  <si>
    <t>INTERVENTORIA TÉCNICA, ADMINISTRATIVA Y FINANCIERA A LA OPTIMIZACIÓN DE LAS REDES DE ACUEDUCTO Y ALCANTARILLADO UBICADOS EN LA CALLE 6 ENTRE CARRERAS 9 Y 11 - MUNICIPIO DE SANTUARIO RISARALDA</t>
  </si>
  <si>
    <t>Excavación en congomerado seco de 2-4 m manual</t>
  </si>
  <si>
    <t>PRESUPUESTO DE OBRA</t>
  </si>
  <si>
    <t>FACTOR MULTIPLICADOR PARA PERSONAL PROFESIONAL, ADMINISTRATIVO Y TÉCNICA</t>
  </si>
  <si>
    <t>No.</t>
  </si>
  <si>
    <t>CONCEPTO</t>
  </si>
  <si>
    <t>FORMULA</t>
  </si>
  <si>
    <t>A</t>
  </si>
  <si>
    <t>VALOR BASE</t>
  </si>
  <si>
    <t>SALARIO</t>
  </si>
  <si>
    <t>B</t>
  </si>
  <si>
    <t>a</t>
  </si>
  <si>
    <t>A/12</t>
  </si>
  <si>
    <t>b</t>
  </si>
  <si>
    <t>Intereses sobre Cesantías</t>
  </si>
  <si>
    <t>a*12%</t>
  </si>
  <si>
    <t>c</t>
  </si>
  <si>
    <t>(15/360*100)</t>
  </si>
  <si>
    <t>d</t>
  </si>
  <si>
    <t>Prima Anual</t>
  </si>
  <si>
    <t>e</t>
  </si>
  <si>
    <t>%A</t>
  </si>
  <si>
    <t>f</t>
  </si>
  <si>
    <t>Aporte Pensión</t>
  </si>
  <si>
    <t>g</t>
  </si>
  <si>
    <t>Aporte Salud</t>
  </si>
  <si>
    <t>h</t>
  </si>
  <si>
    <t>Aporte Riesgos Profesionales</t>
  </si>
  <si>
    <t>i</t>
  </si>
  <si>
    <t>j</t>
  </si>
  <si>
    <t>k</t>
  </si>
  <si>
    <t>ICBF</t>
  </si>
  <si>
    <t>l</t>
  </si>
  <si>
    <t>SENA</t>
  </si>
  <si>
    <t>Días Festivos (18 al año)</t>
  </si>
  <si>
    <t>n</t>
  </si>
  <si>
    <t>C</t>
  </si>
  <si>
    <t>SUMA PARCIAL</t>
  </si>
  <si>
    <t>A + B</t>
  </si>
  <si>
    <t>D</t>
  </si>
  <si>
    <t>Perfeccionamiento del Contrato</t>
  </si>
  <si>
    <t>Estampilla Prohospital</t>
  </si>
  <si>
    <t>Estampilla Proadulto mayor</t>
  </si>
  <si>
    <t>Estampilla Prodeporte</t>
  </si>
  <si>
    <t>Estampilla Prouniversidad</t>
  </si>
  <si>
    <t>Industria y Comercio</t>
  </si>
  <si>
    <t>Polizas</t>
  </si>
  <si>
    <t>E</t>
  </si>
  <si>
    <t>Arriendo Oficina y Servicios Públicos</t>
  </si>
  <si>
    <t>Papeleria Oficina Consultor</t>
  </si>
  <si>
    <t>Personal Administrativo No Facturable</t>
  </si>
  <si>
    <t>Asesoria Legal, Tributaria y Médica</t>
  </si>
  <si>
    <t>Gastos de Representación</t>
  </si>
  <si>
    <t>Gastos e Intereses Bancarios por Financiación</t>
  </si>
  <si>
    <t>Equipos y Mantenimiento de Oficina</t>
  </si>
  <si>
    <t>Gastos de Transporte y Vehículo</t>
  </si>
  <si>
    <t>F</t>
  </si>
  <si>
    <t>SUBTOTAL</t>
  </si>
  <si>
    <t>C + D + E</t>
  </si>
  <si>
    <t>G</t>
  </si>
  <si>
    <t>HONORARIOS (UTILIDAD DEL CONSULTOR)</t>
  </si>
  <si>
    <t>E * 10%</t>
  </si>
  <si>
    <t>H</t>
  </si>
  <si>
    <t>TOTAL FACTOR MULTIPLICADOR</t>
  </si>
  <si>
    <t>E + F</t>
  </si>
  <si>
    <t>Ciento Veintiséis Millones Quinientos veintiséis mil setecientos cincuenta Pesos MCTE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</si>
</sst>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0.0"/>
    <numFmt numFmtId="168" formatCode="_(&quot;$&quot;* #,##0.00_);_(&quot;$&quot;* \(#,##0.00\);_(&quot;$&quot;* &quot;-&quot;??_);_(@_)"/>
    <numFmt numFmtId="169" formatCode="_(&quot;$&quot;* #,##0_);_(&quot;$&quot;* \(#,##0\);_(&quot;$&quot;* &quot;-&quot;??_);_(@_)"/>
    <numFmt numFmtId="170" formatCode="_ &quot;$&quot;\ * #,##0_ ;_ &quot;$&quot;\ * \-#,##0_ ;_ &quot;$&quot;\ * &quot;-&quot;??_ ;_ @_ "/>
    <numFmt numFmtId="171" formatCode="#,##0_ ;\-#,##0\ "/>
    <numFmt numFmtId="172" formatCode="_-&quot;$&quot;* #,##0.00_-;\-&quot;$&quot;* #,##0.00_-;_-&quot;$&quot;* &quot;-&quot;_-;_-@_-"/>
    <numFmt numFmtId="173" formatCode="_(&quot;$&quot;\ * #,##0_);_(&quot;$&quot;\ * \(#,##0\);_(&quot;$&quot;\ * &quot;-&quot;??_);_(@_)"/>
    <numFmt numFmtId="174" formatCode="_-&quot;$&quot;* #,##0_-;\-&quot;$&quot;* #,##0_-;_-&quot;$&quot;* &quot;-&quot;_-;_-@_-"/>
    <numFmt numFmtId="175" formatCode="_-* #,##0.00\ _€_-;\-* #,##0.00\ _€_-;_-* &quot;-&quot;??\ _€_-;_-@_-"/>
    <numFmt numFmtId="176" formatCode="_-* #,##0.000\ _€_-;\-* #,##0.000\ _€_-;_-* &quot;-&quot;??\ _€_-;_-@_-"/>
    <numFmt numFmtId="177" formatCode="&quot;$&quot;#,##0"/>
    <numFmt numFmtId="178" formatCode="_ [$$-2C0A]\ * #,##0_ ;_ [$$-2C0A]\ * \-#,##0_ ;_ [$$-2C0A]\ * &quot;-&quot;_ ;_ @_ "/>
    <numFmt numFmtId="179" formatCode="_([$$-2C0A]* #,##0.00_);_([$$-2C0A]* \(#,##0.00\);_([$$-2C0A]* &quot;-&quot;??_);_(@_)"/>
    <numFmt numFmtId="180" formatCode="0.000%"/>
    <numFmt numFmtId="181" formatCode="_([$$-2C0A]* #,##0_);_([$$-2C0A]* \(#,##0\);_([$$-2C0A]* &quot;-&quot;??_);_(@_)"/>
    <numFmt numFmtId="182" formatCode="#,##0.000;\-#,##0.000"/>
    <numFmt numFmtId="183" formatCode="#,##0.00000"/>
    <numFmt numFmtId="184" formatCode="#,##0.000\ _€;\-#,##0.000\ _€"/>
    <numFmt numFmtId="185" formatCode="_-* #,##0.00\ _€_-;\-* #,##0.00\ _€_-;_-* &quot;-&quot;??\ _€_-;_-@"/>
    <numFmt numFmtId="186" formatCode="_-&quot;$&quot;* #,##0_-;\-&quot;$&quot;* #,##0_-;_-&quot;$&quot;* &quot;-&quot;_-;_-@"/>
    <numFmt numFmtId="187" formatCode="_-* #,##0.000\ _€_-;\-* #,##0.000\ _€_-;_-* &quot;-&quot;??\ _€_-;_-@"/>
    <numFmt numFmtId="188" formatCode="_-&quot;$&quot;\ * #,##0_-;\-&quot;$&quot;\ * #,##0_-;_-&quot;$&quot;\ * &quot;-&quot;??_-;_-@_-"/>
    <numFmt numFmtId="189" formatCode="_([$$-240A]\ * #,##0_);_([$$-240A]\ * \(#,##0\);_([$$-240A]\ * &quot;-&quot;??_);_(@_)"/>
    <numFmt numFmtId="190" formatCode="[$$-240A]\ #,##0.00"/>
    <numFmt numFmtId="191" formatCode="_([$$-240A]\ * #,##0.00_);_([$$-240A]\ * \(#,##0.00\);_([$$-240A]\ * &quot;-&quot;??_);_(@_)"/>
    <numFmt numFmtId="192" formatCode="0.000000%"/>
    <numFmt numFmtId="193" formatCode="_ &quot;$&quot;\ * #,##0.00_ ;_ &quot;$&quot;\ * \-#,##0.00_ ;_ &quot;$&quot;\ * &quot;-&quot;??_ ;_ @_ "/>
    <numFmt numFmtId="194" formatCode="_ [$$-2C0A]\ * #,##0.00_ ;_ [$$-2C0A]\ * \-#,##0.00_ ;_ [$$-2C0A]\ * &quot;-&quot;_ ;_ @_ "/>
    <numFmt numFmtId="195" formatCode="_(&quot;$&quot;\ * #,##0.00_);_(&quot;$&quot;\ * \(#,##0.00\);_(&quot;$&quot;\ * &quot;-&quot;_);_(@_)"/>
    <numFmt numFmtId="196" formatCode="_-&quot;$&quot;\ * #,##0.000000_-;\-&quot;$&quot;\ * #,##0.000000_-;_-&quot;$&quot;\ * &quot;-&quot;_-;_-@_-"/>
    <numFmt numFmtId="197" formatCode="_-&quot;$&quot;\ * #,##0.00_-;\-&quot;$&quot;\ * #,##0.00_-;_-&quot;$&quot;\ * &quot;-&quot;_-;_-@_-"/>
    <numFmt numFmtId="198" formatCode="_(* #,##0_);_(* \(#,##0\);_(* &quot;-&quot;??_);_(@_)"/>
  </numFmts>
  <fonts count="64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name val="Arial Narrow"/>
      <family val="2"/>
    </font>
    <font>
      <sz val="12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name val="Arial Narrow"/>
      <family val="2"/>
    </font>
    <font>
      <b/>
      <u/>
      <sz val="11"/>
      <name val="Arial Narrow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vertAlign val="superscript"/>
      <sz val="10"/>
      <color indexed="8"/>
      <name val="Arial"/>
      <family val="2"/>
    </font>
    <font>
      <sz val="11"/>
      <name val="Calibri"/>
      <family val="2"/>
    </font>
    <font>
      <sz val="20"/>
      <name val="Arial Black"/>
      <family val="2"/>
    </font>
    <font>
      <b/>
      <sz val="10"/>
      <color theme="0"/>
      <name val="Arial"/>
      <family val="2"/>
    </font>
    <font>
      <vertAlign val="superscript"/>
      <sz val="1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2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6"/>
      <color theme="1"/>
      <name val="Arial"/>
      <family val="2"/>
    </font>
    <font>
      <sz val="1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name val="Arial Narrow"/>
      <family val="2"/>
    </font>
    <font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2"/>
      <color rgb="FF000000"/>
      <name val="Arial"/>
      <family val="2"/>
    </font>
    <font>
      <b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b/>
      <vertAlign val="superscript"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12"/>
      <name val="Arial Narrow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2"/>
      <name val="Arial Narrow"/>
      <family val="2"/>
    </font>
    <font>
      <sz val="11"/>
      <name val="Calibri"/>
      <family val="2"/>
      <scheme val="minor"/>
    </font>
    <font>
      <sz val="11"/>
      <color rgb="FF000000"/>
      <name val="Calibri"/>
    </font>
    <font>
      <b/>
      <i/>
      <sz val="10"/>
      <color theme="1"/>
      <name val="Arial"/>
      <family val="2"/>
    </font>
    <font>
      <sz val="11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FFFFFF"/>
        <bgColor rgb="FFFFFFFF"/>
      </patternFill>
    </fill>
    <fill>
      <patternFill patternType="solid">
        <fgColor rgb="FF003366"/>
        <bgColor rgb="FF003366"/>
      </patternFill>
    </fill>
    <fill>
      <patternFill patternType="solid">
        <fgColor rgb="FFFF0000"/>
        <bgColor rgb="FFFF0000"/>
      </patternFill>
    </fill>
    <fill>
      <patternFill patternType="solid">
        <fgColor rgb="FF000000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0">
    <xf numFmtId="0" fontId="0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1"/>
    <xf numFmtId="168" fontId="5" fillId="0" borderId="1" applyFont="0" applyFill="0" applyBorder="0" applyAlignment="0" applyProtection="0"/>
    <xf numFmtId="167" fontId="3" fillId="0" borderId="1" applyFont="0" applyFill="0" applyBorder="0" applyAlignment="0" applyProtection="0"/>
    <xf numFmtId="0" fontId="13" fillId="0" borderId="1">
      <alignment vertical="center"/>
    </xf>
    <xf numFmtId="0" fontId="3" fillId="0" borderId="1"/>
    <xf numFmtId="0" fontId="3" fillId="0" borderId="1" applyFont="0" applyFill="0" applyBorder="0" applyAlignment="0" applyProtection="0"/>
    <xf numFmtId="9" fontId="3" fillId="0" borderId="1" applyFont="0" applyFill="0" applyBorder="0" applyAlignment="0" applyProtection="0"/>
    <xf numFmtId="41" fontId="13" fillId="0" borderId="1" applyFont="0" applyFill="0" applyBorder="0" applyAlignment="0" applyProtection="0"/>
    <xf numFmtId="165" fontId="13" fillId="0" borderId="1" applyFont="0" applyFill="0" applyBorder="0" applyAlignment="0" applyProtection="0"/>
    <xf numFmtId="9" fontId="18" fillId="0" borderId="1" applyFont="0" applyFill="0" applyBorder="0" applyAlignment="0" applyProtection="0"/>
    <xf numFmtId="175" fontId="18" fillId="0" borderId="1" applyFont="0" applyFill="0" applyBorder="0" applyAlignment="0" applyProtection="0"/>
    <xf numFmtId="174" fontId="13" fillId="0" borderId="1" applyFont="0" applyFill="0" applyBorder="0" applyAlignment="0" applyProtection="0"/>
    <xf numFmtId="0" fontId="22" fillId="0" borderId="1"/>
    <xf numFmtId="0" fontId="12" fillId="3" borderId="1" applyNumberFormat="0" applyBorder="0" applyAlignment="0" applyProtection="0"/>
    <xf numFmtId="0" fontId="12" fillId="2" borderId="1" applyNumberFormat="0" applyBorder="0" applyAlignment="0" applyProtection="0"/>
    <xf numFmtId="166" fontId="3" fillId="0" borderId="1" applyFont="0" applyFill="0" applyBorder="0" applyAlignment="0" applyProtection="0"/>
    <xf numFmtId="176" fontId="18" fillId="0" borderId="1" applyFont="0" applyFill="0" applyBorder="0" applyAlignment="0" applyProtection="0"/>
    <xf numFmtId="0" fontId="3" fillId="0" borderId="1"/>
    <xf numFmtId="167" fontId="3" fillId="0" borderId="1" applyFont="0" applyFill="0" applyBorder="0" applyAlignment="0" applyProtection="0"/>
    <xf numFmtId="9" fontId="3" fillId="0" borderId="1" applyFont="0" applyFill="0" applyBorder="0" applyAlignment="0" applyProtection="0"/>
    <xf numFmtId="164" fontId="22" fillId="0" borderId="1" applyFont="0" applyFill="0" applyBorder="0" applyAlignment="0" applyProtection="0"/>
    <xf numFmtId="9" fontId="3" fillId="0" borderId="1" applyFont="0" applyFill="0" applyBorder="0" applyAlignment="0" applyProtection="0"/>
    <xf numFmtId="42" fontId="22" fillId="0" borderId="1" applyFont="0" applyFill="0" applyBorder="0" applyAlignment="0" applyProtection="0"/>
    <xf numFmtId="9" fontId="22" fillId="0" borderId="1" applyFont="0" applyFill="0" applyBorder="0" applyAlignment="0" applyProtection="0"/>
    <xf numFmtId="165" fontId="48" fillId="0" borderId="0" applyFont="0" applyFill="0" applyBorder="0" applyAlignment="0" applyProtection="0"/>
    <xf numFmtId="0" fontId="3" fillId="0" borderId="1"/>
    <xf numFmtId="0" fontId="53" fillId="0" borderId="1"/>
    <xf numFmtId="43" fontId="61" fillId="0" borderId="0" applyFont="0" applyFill="0" applyBorder="0" applyAlignment="0" applyProtection="0"/>
    <xf numFmtId="0" fontId="3" fillId="0" borderId="1"/>
    <xf numFmtId="0" fontId="1" fillId="0" borderId="1"/>
    <xf numFmtId="42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3" fillId="0" borderId="1"/>
    <xf numFmtId="165" fontId="3" fillId="0" borderId="1" applyFont="0" applyFill="0" applyBorder="0" applyAlignment="0" applyProtection="0"/>
    <xf numFmtId="165" fontId="1" fillId="0" borderId="1" applyFont="0" applyFill="0" applyBorder="0" applyAlignment="0" applyProtection="0"/>
    <xf numFmtId="0" fontId="53" fillId="0" borderId="1"/>
    <xf numFmtId="0" fontId="63" fillId="0" borderId="1"/>
  </cellStyleXfs>
  <cellXfs count="887">
    <xf numFmtId="0" fontId="0" fillId="0" borderId="0" xfId="0" applyFont="1" applyAlignment="1"/>
    <xf numFmtId="0" fontId="6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2" xfId="3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7" fillId="0" borderId="0" xfId="0" applyFont="1" applyAlignment="1">
      <alignment horizontal="center" vertical="center"/>
    </xf>
    <xf numFmtId="0" fontId="6" fillId="0" borderId="1" xfId="3" applyFont="1" applyFill="1" applyAlignment="1">
      <alignment vertical="center"/>
    </xf>
    <xf numFmtId="0" fontId="6" fillId="0" borderId="1" xfId="3" applyFont="1" applyFill="1" applyAlignment="1">
      <alignment horizontal="center" vertical="center"/>
    </xf>
    <xf numFmtId="0" fontId="14" fillId="0" borderId="1" xfId="6" applyFont="1" applyFill="1">
      <alignment vertical="center"/>
    </xf>
    <xf numFmtId="0" fontId="15" fillId="0" borderId="1" xfId="6" applyFont="1" applyFill="1" applyAlignment="1">
      <alignment horizontal="center" vertical="center"/>
    </xf>
    <xf numFmtId="0" fontId="13" fillId="0" borderId="1" xfId="6" applyFill="1" applyAlignment="1">
      <alignment vertical="center"/>
    </xf>
    <xf numFmtId="0" fontId="15" fillId="0" borderId="1" xfId="6" applyFont="1" applyFill="1" applyBorder="1" applyAlignment="1">
      <alignment horizontal="center" vertical="center"/>
    </xf>
    <xf numFmtId="39" fontId="17" fillId="0" borderId="1" xfId="6" applyNumberFormat="1" applyFont="1" applyFill="1" applyAlignment="1" applyProtection="1">
      <alignment horizontal="center" vertical="center"/>
    </xf>
    <xf numFmtId="39" fontId="3" fillId="0" borderId="1" xfId="6" applyNumberFormat="1" applyFont="1" applyFill="1" applyAlignment="1" applyProtection="1">
      <alignment horizontal="justify" vertical="center"/>
    </xf>
    <xf numFmtId="49" fontId="17" fillId="0" borderId="1" xfId="6" applyNumberFormat="1" applyFont="1" applyFill="1" applyBorder="1" applyAlignment="1" applyProtection="1">
      <alignment horizontal="center" vertical="center"/>
      <protection locked="0"/>
    </xf>
    <xf numFmtId="0" fontId="13" fillId="0" borderId="1" xfId="6" applyFill="1" applyBorder="1" applyAlignment="1">
      <alignment vertical="center"/>
    </xf>
    <xf numFmtId="0" fontId="19" fillId="0" borderId="1" xfId="6" applyFont="1" applyFill="1" applyAlignment="1">
      <alignment horizontal="left" vertical="center"/>
    </xf>
    <xf numFmtId="39" fontId="3" fillId="0" borderId="1" xfId="6" applyNumberFormat="1" applyFont="1" applyFill="1" applyAlignment="1" applyProtection="1">
      <alignment horizontal="center" vertical="center"/>
    </xf>
    <xf numFmtId="0" fontId="17" fillId="0" borderId="1" xfId="6" applyFont="1" applyFill="1" applyBorder="1" applyAlignment="1">
      <alignment horizontal="center" vertical="center"/>
    </xf>
    <xf numFmtId="39" fontId="17" fillId="0" borderId="1" xfId="6" applyNumberFormat="1" applyFont="1" applyFill="1" applyBorder="1" applyAlignment="1" applyProtection="1">
      <alignment horizontal="center" vertical="center"/>
    </xf>
    <xf numFmtId="0" fontId="21" fillId="0" borderId="1" xfId="6" applyFont="1" applyFill="1" applyAlignment="1">
      <alignment vertical="center"/>
    </xf>
    <xf numFmtId="39" fontId="3" fillId="0" borderId="1" xfId="6" applyNumberFormat="1" applyFont="1" applyFill="1" applyBorder="1" applyAlignment="1" applyProtection="1">
      <alignment horizontal="justify" vertical="center"/>
    </xf>
    <xf numFmtId="0" fontId="14" fillId="0" borderId="1" xfId="6" applyFont="1" applyFill="1" applyBorder="1">
      <alignment vertical="center"/>
    </xf>
    <xf numFmtId="0" fontId="21" fillId="0" borderId="1" xfId="6" applyFont="1" applyFill="1" applyBorder="1" applyAlignment="1">
      <alignment vertical="center"/>
    </xf>
    <xf numFmtId="39" fontId="3" fillId="0" borderId="1" xfId="6" applyNumberFormat="1" applyFont="1" applyFill="1" applyBorder="1" applyAlignment="1" applyProtection="1">
      <alignment horizontal="justify" vertical="center"/>
      <protection locked="0"/>
    </xf>
    <xf numFmtId="37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3" fillId="0" borderId="1" xfId="6" applyFont="1" applyFill="1" applyBorder="1">
      <alignment vertical="center"/>
    </xf>
    <xf numFmtId="174" fontId="25" fillId="0" borderId="1" xfId="14" applyFont="1" applyFill="1" applyBorder="1" applyAlignment="1">
      <alignment vertical="center"/>
    </xf>
    <xf numFmtId="37" fontId="21" fillId="0" borderId="1" xfId="15" applyNumberFormat="1" applyFont="1" applyFill="1" applyBorder="1" applyAlignment="1" applyProtection="1">
      <alignment horizontal="left" vertical="center"/>
      <protection locked="0"/>
    </xf>
    <xf numFmtId="168" fontId="21" fillId="0" borderId="1" xfId="6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5" fillId="5" borderId="1" xfId="6" applyFont="1" applyFill="1" applyBorder="1" applyAlignment="1">
      <alignment horizontal="center" vertical="center"/>
    </xf>
    <xf numFmtId="39" fontId="15" fillId="0" borderId="1" xfId="6" applyNumberFormat="1" applyFont="1" applyFill="1" applyBorder="1" applyAlignment="1">
      <alignment horizontal="right" vertical="center"/>
    </xf>
    <xf numFmtId="39" fontId="3" fillId="0" borderId="1" xfId="6" applyNumberFormat="1" applyFont="1" applyFill="1" applyBorder="1" applyAlignment="1">
      <alignment horizontal="right" vertical="center"/>
    </xf>
    <xf numFmtId="39" fontId="17" fillId="0" borderId="1" xfId="6" applyNumberFormat="1" applyFont="1" applyFill="1" applyBorder="1" applyAlignment="1">
      <alignment horizontal="right" vertical="center"/>
    </xf>
    <xf numFmtId="0" fontId="29" fillId="0" borderId="1" xfId="6" applyFont="1" applyFill="1" applyBorder="1">
      <alignment vertical="center"/>
    </xf>
    <xf numFmtId="0" fontId="23" fillId="0" borderId="1" xfId="6" applyFont="1" applyFill="1">
      <alignment vertical="center"/>
    </xf>
    <xf numFmtId="39" fontId="15" fillId="0" borderId="1" xfId="6" applyNumberFormat="1" applyFont="1" applyFill="1" applyBorder="1" applyAlignment="1" applyProtection="1">
      <alignment horizontal="center" vertical="center"/>
      <protection locked="0"/>
    </xf>
    <xf numFmtId="39" fontId="15" fillId="0" borderId="1" xfId="6" applyNumberFormat="1" applyFont="1" applyFill="1" applyBorder="1" applyAlignment="1" applyProtection="1">
      <alignment horizontal="justify" vertical="center"/>
      <protection locked="0"/>
    </xf>
    <xf numFmtId="39" fontId="17" fillId="0" borderId="1" xfId="6" applyNumberFormat="1" applyFont="1" applyFill="1" applyBorder="1" applyAlignment="1">
      <alignment horizontal="center" vertical="center"/>
    </xf>
    <xf numFmtId="39" fontId="3" fillId="0" borderId="1" xfId="6" applyNumberFormat="1" applyFont="1" applyFill="1" applyBorder="1" applyAlignment="1" applyProtection="1">
      <alignment horizontal="center" vertical="center"/>
      <protection locked="0"/>
    </xf>
    <xf numFmtId="39" fontId="17" fillId="0" borderId="6" xfId="6" applyNumberFormat="1" applyFont="1" applyFill="1" applyBorder="1" applyAlignment="1" applyProtection="1">
      <alignment horizontal="center" vertical="center"/>
    </xf>
    <xf numFmtId="39" fontId="3" fillId="0" borderId="6" xfId="6" applyNumberFormat="1" applyFont="1" applyFill="1" applyBorder="1" applyAlignment="1" applyProtection="1">
      <alignment horizontal="justify" vertical="center"/>
    </xf>
    <xf numFmtId="39" fontId="3" fillId="0" borderId="6" xfId="6" applyNumberFormat="1" applyFont="1" applyFill="1" applyBorder="1" applyAlignment="1" applyProtection="1">
      <alignment horizontal="center" vertical="center"/>
    </xf>
    <xf numFmtId="39" fontId="15" fillId="0" borderId="7" xfId="6" applyNumberFormat="1" applyFont="1" applyFill="1" applyBorder="1" applyAlignment="1" applyProtection="1">
      <alignment horizontal="center" vertical="center"/>
      <protection locked="0"/>
    </xf>
    <xf numFmtId="0" fontId="18" fillId="0" borderId="1" xfId="6" applyFont="1" applyFill="1" applyAlignment="1">
      <alignment vertical="center"/>
    </xf>
    <xf numFmtId="0" fontId="14" fillId="0" borderId="1" xfId="6" applyFont="1" applyFill="1" applyBorder="1" applyAlignment="1">
      <alignment horizontal="center" vertical="center"/>
    </xf>
    <xf numFmtId="39" fontId="16" fillId="7" borderId="1" xfId="16" applyNumberFormat="1" applyFont="1" applyFill="1" applyBorder="1" applyAlignment="1">
      <alignment horizontal="center" vertical="center"/>
    </xf>
    <xf numFmtId="39" fontId="3" fillId="0" borderId="1" xfId="6" applyNumberFormat="1" applyFont="1" applyFill="1" applyBorder="1" applyAlignment="1" applyProtection="1">
      <alignment horizontal="center" vertical="center"/>
    </xf>
    <xf numFmtId="175" fontId="3" fillId="0" borderId="1" xfId="13" applyNumberFormat="1" applyFont="1" applyFill="1" applyBorder="1" applyAlignment="1" applyProtection="1">
      <alignment horizontal="center" vertical="center"/>
    </xf>
    <xf numFmtId="39" fontId="16" fillId="9" borderId="1" xfId="6" applyNumberFormat="1" applyFont="1" applyFill="1" applyBorder="1" applyAlignment="1">
      <alignment horizontal="center" vertical="center"/>
    </xf>
    <xf numFmtId="39" fontId="17" fillId="0" borderId="1" xfId="6" applyNumberFormat="1" applyFont="1" applyFill="1" applyBorder="1" applyAlignment="1" applyProtection="1">
      <alignment horizontal="center" vertical="center"/>
      <protection locked="0"/>
    </xf>
    <xf numFmtId="39" fontId="17" fillId="0" borderId="1" xfId="6" applyNumberFormat="1" applyFont="1" applyFill="1" applyBorder="1" applyAlignment="1" applyProtection="1">
      <alignment horizontal="justify" vertical="center"/>
      <protection locked="0"/>
    </xf>
    <xf numFmtId="39" fontId="16" fillId="6" borderId="1" xfId="6" applyNumberFormat="1" applyFont="1" applyFill="1" applyBorder="1" applyAlignment="1">
      <alignment horizontal="center" vertical="center"/>
    </xf>
    <xf numFmtId="39" fontId="16" fillId="8" borderId="1" xfId="17" applyNumberFormat="1" applyFont="1" applyFill="1" applyBorder="1" applyAlignment="1">
      <alignment horizontal="center" vertical="center"/>
    </xf>
    <xf numFmtId="0" fontId="13" fillId="0" borderId="1" xfId="6" applyFont="1" applyFill="1" applyAlignment="1">
      <alignment vertical="center"/>
    </xf>
    <xf numFmtId="0" fontId="23" fillId="0" borderId="1" xfId="6" applyFont="1" applyFill="1" applyBorder="1" applyAlignment="1">
      <alignment vertical="center"/>
    </xf>
    <xf numFmtId="39" fontId="16" fillId="8" borderId="1" xfId="6" applyNumberFormat="1" applyFont="1" applyFill="1" applyBorder="1" applyAlignment="1">
      <alignment horizontal="center" vertical="center"/>
    </xf>
    <xf numFmtId="0" fontId="14" fillId="0" borderId="1" xfId="6" applyFont="1" applyFill="1" applyAlignment="1">
      <alignment vertical="center"/>
    </xf>
    <xf numFmtId="39" fontId="16" fillId="7" borderId="1" xfId="16" applyNumberFormat="1" applyFont="1" applyFill="1" applyBorder="1" applyAlignment="1">
      <alignment horizontal="center" vertical="center"/>
    </xf>
    <xf numFmtId="39" fontId="17" fillId="0" borderId="7" xfId="6" applyNumberFormat="1" applyFont="1" applyFill="1" applyBorder="1" applyAlignment="1" applyProtection="1">
      <alignment horizontal="center" vertical="center"/>
      <protection locked="0"/>
    </xf>
    <xf numFmtId="0" fontId="15" fillId="0" borderId="1" xfId="6" applyFont="1" applyFill="1" applyAlignment="1">
      <alignment vertical="center"/>
    </xf>
    <xf numFmtId="39" fontId="17" fillId="0" borderId="6" xfId="6" applyNumberFormat="1" applyFont="1" applyFill="1" applyBorder="1" applyAlignment="1">
      <alignment horizontal="center" vertical="center"/>
    </xf>
    <xf numFmtId="4" fontId="3" fillId="0" borderId="1" xfId="13" applyNumberFormat="1" applyFont="1" applyFill="1" applyAlignment="1" applyProtection="1">
      <alignment horizontal="center" vertical="center"/>
    </xf>
    <xf numFmtId="49" fontId="15" fillId="0" borderId="1" xfId="6" applyNumberFormat="1" applyFont="1" applyFill="1" applyBorder="1" applyAlignment="1" applyProtection="1">
      <alignment horizontal="center" vertical="center"/>
      <protection locked="0"/>
    </xf>
    <xf numFmtId="0" fontId="16" fillId="9" borderId="1" xfId="16" applyFont="1" applyFill="1" applyBorder="1" applyAlignment="1">
      <alignment horizontal="center" vertical="center" wrapText="1"/>
    </xf>
    <xf numFmtId="49" fontId="15" fillId="0" borderId="7" xfId="6" applyNumberFormat="1" applyFont="1" applyFill="1" applyBorder="1" applyAlignment="1" applyProtection="1">
      <alignment horizontal="center" vertical="center"/>
      <protection locked="0"/>
    </xf>
    <xf numFmtId="0" fontId="27" fillId="0" borderId="1" xfId="6" applyFont="1" applyFill="1" applyBorder="1" applyAlignment="1">
      <alignment horizontal="center" vertical="center"/>
    </xf>
    <xf numFmtId="0" fontId="23" fillId="0" borderId="1" xfId="6" applyFont="1" applyFill="1" applyAlignment="1">
      <alignment horizontal="center" vertical="center"/>
    </xf>
    <xf numFmtId="0" fontId="3" fillId="0" borderId="1" xfId="6" applyFont="1" applyFill="1">
      <alignment vertical="center"/>
    </xf>
    <xf numFmtId="3" fontId="23" fillId="0" borderId="1" xfId="6" applyNumberFormat="1" applyFont="1" applyFill="1">
      <alignment vertical="center"/>
    </xf>
    <xf numFmtId="0" fontId="23" fillId="0" borderId="1" xfId="6" applyFont="1" applyFill="1" applyBorder="1">
      <alignment vertical="center"/>
    </xf>
    <xf numFmtId="0" fontId="15" fillId="0" borderId="1" xfId="6" applyFont="1" applyFill="1" applyBorder="1" applyAlignment="1">
      <alignment vertical="center"/>
    </xf>
    <xf numFmtId="0" fontId="21" fillId="0" borderId="1" xfId="6" applyFont="1" applyFill="1" applyBorder="1" applyAlignment="1">
      <alignment horizontal="center" vertical="center"/>
    </xf>
    <xf numFmtId="39" fontId="3" fillId="0" borderId="1" xfId="0" applyNumberFormat="1" applyFont="1" applyFill="1" applyBorder="1" applyAlignment="1">
      <alignment horizontal="right" vertical="center"/>
    </xf>
    <xf numFmtId="39" fontId="17" fillId="0" borderId="7" xfId="6" applyNumberFormat="1" applyFont="1" applyFill="1" applyBorder="1" applyAlignment="1" applyProtection="1">
      <alignment horizontal="justify" vertical="center"/>
      <protection locked="0"/>
    </xf>
    <xf numFmtId="39" fontId="15" fillId="0" borderId="7" xfId="6" applyNumberFormat="1" applyFont="1" applyFill="1" applyBorder="1" applyAlignment="1" applyProtection="1">
      <alignment horizontal="justify" vertical="center"/>
      <protection locked="0"/>
    </xf>
    <xf numFmtId="39" fontId="3" fillId="0" borderId="6" xfId="0" applyNumberFormat="1" applyFont="1" applyFill="1" applyBorder="1" applyAlignment="1" applyProtection="1">
      <alignment horizontal="justify" vertical="center"/>
    </xf>
    <xf numFmtId="39" fontId="3" fillId="0" borderId="6" xfId="0" applyNumberFormat="1" applyFont="1" applyFill="1" applyBorder="1" applyAlignment="1" applyProtection="1">
      <alignment horizontal="center" vertical="center"/>
    </xf>
    <xf numFmtId="39" fontId="3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vertical="center"/>
    </xf>
    <xf numFmtId="39" fontId="19" fillId="0" borderId="7" xfId="6" applyNumberFormat="1" applyFont="1" applyFill="1" applyBorder="1" applyAlignment="1" applyProtection="1">
      <alignment horizontal="justify" vertical="center"/>
      <protection locked="0"/>
    </xf>
    <xf numFmtId="39" fontId="19" fillId="0" borderId="7" xfId="6" applyNumberFormat="1" applyFont="1" applyFill="1" applyBorder="1" applyAlignment="1" applyProtection="1">
      <alignment horizontal="center" vertical="center"/>
      <protection locked="0"/>
    </xf>
    <xf numFmtId="39" fontId="23" fillId="0" borderId="1" xfId="6" applyNumberFormat="1" applyFont="1" applyFill="1" applyBorder="1" applyAlignment="1" applyProtection="1">
      <alignment horizontal="justify" vertical="center"/>
    </xf>
    <xf numFmtId="39" fontId="23" fillId="0" borderId="1" xfId="6" applyNumberFormat="1" applyFont="1" applyFill="1" applyBorder="1" applyAlignment="1" applyProtection="1">
      <alignment horizontal="center" vertical="center"/>
    </xf>
    <xf numFmtId="39" fontId="23" fillId="0" borderId="6" xfId="6" applyNumberFormat="1" applyFont="1" applyFill="1" applyBorder="1" applyAlignment="1" applyProtection="1">
      <alignment horizontal="justify" vertical="center"/>
    </xf>
    <xf numFmtId="39" fontId="23" fillId="0" borderId="6" xfId="6" applyNumberFormat="1" applyFont="1" applyFill="1" applyBorder="1" applyAlignment="1" applyProtection="1">
      <alignment horizontal="center" vertical="center"/>
    </xf>
    <xf numFmtId="39" fontId="19" fillId="0" borderId="1" xfId="6" applyNumberFormat="1" applyFont="1" applyFill="1" applyBorder="1" applyAlignment="1" applyProtection="1">
      <alignment horizontal="justify" vertical="center"/>
      <protection locked="0"/>
    </xf>
    <xf numFmtId="39" fontId="19" fillId="0" borderId="1" xfId="6" applyNumberFormat="1" applyFont="1" applyFill="1" applyBorder="1" applyAlignment="1" applyProtection="1">
      <alignment horizontal="center" vertical="center"/>
      <protection locked="0"/>
    </xf>
    <xf numFmtId="39" fontId="19" fillId="0" borderId="1" xfId="6" applyNumberFormat="1" applyFont="1" applyFill="1" applyBorder="1" applyAlignment="1">
      <alignment horizontal="center" vertical="center"/>
    </xf>
    <xf numFmtId="39" fontId="23" fillId="0" borderId="1" xfId="6" applyNumberFormat="1" applyFont="1" applyFill="1" applyBorder="1" applyAlignment="1" applyProtection="1">
      <alignment horizontal="justify" vertical="center"/>
      <protection locked="0"/>
    </xf>
    <xf numFmtId="39" fontId="23" fillId="0" borderId="1" xfId="6" applyNumberFormat="1" applyFont="1" applyFill="1" applyBorder="1" applyAlignment="1" applyProtection="1">
      <alignment horizontal="center" vertical="center"/>
      <protection locked="0"/>
    </xf>
    <xf numFmtId="4" fontId="23" fillId="0" borderId="6" xfId="6" applyNumberFormat="1" applyFont="1" applyFill="1" applyBorder="1" applyAlignment="1">
      <alignment horizontal="center" vertical="center"/>
    </xf>
    <xf numFmtId="39" fontId="19" fillId="0" borderId="1" xfId="0" applyNumberFormat="1" applyFont="1" applyFill="1" applyBorder="1" applyAlignment="1">
      <alignment horizontal="center" vertical="center"/>
    </xf>
    <xf numFmtId="39" fontId="23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4" fontId="23" fillId="0" borderId="1" xfId="6" applyNumberFormat="1" applyFont="1" applyFill="1" applyBorder="1" applyAlignment="1">
      <alignment horizontal="center" vertical="center"/>
    </xf>
    <xf numFmtId="39" fontId="19" fillId="0" borderId="1" xfId="6" applyNumberFormat="1" applyFont="1" applyFill="1" applyBorder="1" applyAlignment="1" applyProtection="1">
      <alignment horizontal="center" vertical="center"/>
    </xf>
    <xf numFmtId="39" fontId="19" fillId="0" borderId="6" xfId="6" applyNumberFormat="1" applyFont="1" applyFill="1" applyBorder="1" applyAlignment="1" applyProtection="1">
      <alignment horizontal="center" vertical="center"/>
    </xf>
    <xf numFmtId="0" fontId="23" fillId="0" borderId="1" xfId="6" applyFont="1" applyFill="1" applyBorder="1" applyAlignment="1">
      <alignment horizontal="center" vertical="center"/>
    </xf>
    <xf numFmtId="170" fontId="23" fillId="0" borderId="1" xfId="6" applyNumberFormat="1" applyFont="1" applyFill="1">
      <alignment vertical="center"/>
    </xf>
    <xf numFmtId="0" fontId="19" fillId="0" borderId="1" xfId="6" applyFont="1" applyFill="1" applyAlignment="1">
      <alignment horizontal="center" vertical="center"/>
    </xf>
    <xf numFmtId="0" fontId="23" fillId="0" borderId="1" xfId="7" applyFont="1" applyFill="1"/>
    <xf numFmtId="170" fontId="19" fillId="0" borderId="1" xfId="8" applyNumberFormat="1" applyFont="1" applyFill="1"/>
    <xf numFmtId="0" fontId="19" fillId="0" borderId="2" xfId="7" applyFont="1" applyFill="1" applyBorder="1" applyAlignment="1">
      <alignment horizontal="centerContinuous" vertical="center"/>
    </xf>
    <xf numFmtId="0" fontId="19" fillId="0" borderId="2" xfId="7" applyFont="1" applyFill="1" applyBorder="1" applyAlignment="1">
      <alignment horizontal="center" vertical="center" wrapText="1"/>
    </xf>
    <xf numFmtId="0" fontId="19" fillId="0" borderId="2" xfId="7" applyFont="1" applyFill="1" applyBorder="1"/>
    <xf numFmtId="0" fontId="23" fillId="0" borderId="2" xfId="7" applyFont="1" applyFill="1" applyBorder="1"/>
    <xf numFmtId="0" fontId="23" fillId="0" borderId="2" xfId="7" applyFont="1" applyFill="1" applyBorder="1" applyAlignment="1">
      <alignment horizontal="left" indent="1"/>
    </xf>
    <xf numFmtId="10" fontId="23" fillId="0" borderId="2" xfId="9" applyNumberFormat="1" applyFont="1" applyFill="1" applyBorder="1"/>
    <xf numFmtId="0" fontId="23" fillId="0" borderId="1" xfId="7" applyFont="1" applyFill="1" applyBorder="1"/>
    <xf numFmtId="10" fontId="19" fillId="0" borderId="2" xfId="9" applyNumberFormat="1" applyFont="1" applyFill="1" applyBorder="1"/>
    <xf numFmtId="0" fontId="23" fillId="0" borderId="2" xfId="6" applyFont="1" applyFill="1" applyBorder="1" applyAlignment="1">
      <alignment vertical="center"/>
    </xf>
    <xf numFmtId="171" fontId="23" fillId="0" borderId="2" xfId="6" applyNumberFormat="1" applyFont="1" applyFill="1" applyBorder="1">
      <alignment vertical="center"/>
    </xf>
    <xf numFmtId="171" fontId="23" fillId="0" borderId="2" xfId="6" applyNumberFormat="1" applyFont="1" applyFill="1" applyBorder="1" applyAlignment="1">
      <alignment horizontal="right" vertical="center"/>
    </xf>
    <xf numFmtId="3" fontId="23" fillId="0" borderId="2" xfId="6" applyNumberFormat="1" applyFont="1" applyFill="1" applyBorder="1">
      <alignment vertical="center"/>
    </xf>
    <xf numFmtId="0" fontId="23" fillId="0" borderId="2" xfId="6" applyFont="1" applyFill="1" applyBorder="1">
      <alignment vertical="center"/>
    </xf>
    <xf numFmtId="0" fontId="23" fillId="0" borderId="2" xfId="6" applyFont="1" applyFill="1" applyBorder="1" applyAlignment="1">
      <alignment horizontal="center" vertical="center"/>
    </xf>
    <xf numFmtId="0" fontId="23" fillId="0" borderId="11" xfId="6" applyFont="1" applyFill="1" applyBorder="1" applyAlignment="1">
      <alignment vertical="center"/>
    </xf>
    <xf numFmtId="171" fontId="23" fillId="0" borderId="11" xfId="6" applyNumberFormat="1" applyFont="1" applyFill="1" applyBorder="1">
      <alignment vertical="center"/>
    </xf>
    <xf numFmtId="171" fontId="23" fillId="0" borderId="11" xfId="6" applyNumberFormat="1" applyFont="1" applyFill="1" applyBorder="1" applyAlignment="1">
      <alignment horizontal="right" vertical="center"/>
    </xf>
    <xf numFmtId="3" fontId="23" fillId="0" borderId="11" xfId="6" applyNumberFormat="1" applyFont="1" applyFill="1" applyBorder="1">
      <alignment vertical="center"/>
    </xf>
    <xf numFmtId="0" fontId="11" fillId="0" borderId="2" xfId="6" applyFont="1" applyFill="1" applyBorder="1" applyAlignment="1">
      <alignment horizontal="center" vertical="center" wrapText="1"/>
    </xf>
    <xf numFmtId="172" fontId="3" fillId="0" borderId="1" xfId="10" applyNumberFormat="1" applyFont="1" applyFill="1" applyBorder="1" applyAlignment="1">
      <alignment vertical="center"/>
    </xf>
    <xf numFmtId="49" fontId="3" fillId="0" borderId="1" xfId="6" applyNumberFormat="1" applyFont="1" applyFill="1" applyBorder="1" applyAlignment="1" applyProtection="1">
      <alignment horizontal="left"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6" applyFont="1" applyFill="1" applyBorder="1" applyAlignment="1">
      <alignment horizontal="left" vertical="center"/>
    </xf>
    <xf numFmtId="49" fontId="3" fillId="0" borderId="1" xfId="6" applyNumberFormat="1" applyFont="1" applyFill="1" applyBorder="1" applyAlignment="1" applyProtection="1">
      <alignment horizontal="center" vertical="center"/>
      <protection locked="0"/>
    </xf>
    <xf numFmtId="39" fontId="3" fillId="0" borderId="1" xfId="6" applyNumberFormat="1" applyFont="1" applyFill="1" applyBorder="1" applyAlignment="1" applyProtection="1">
      <alignment horizontal="left" vertical="center"/>
    </xf>
    <xf numFmtId="49" fontId="3" fillId="0" borderId="1" xfId="6" applyNumberFormat="1" applyFont="1" applyFill="1" applyBorder="1" applyAlignment="1" applyProtection="1">
      <alignment horizontal="left" vertical="center" wrapText="1"/>
    </xf>
    <xf numFmtId="49" fontId="3" fillId="0" borderId="1" xfId="6" applyNumberFormat="1" applyFont="1" applyFill="1" applyBorder="1" applyAlignment="1" applyProtection="1">
      <alignment horizontal="left" vertical="center"/>
      <protection locked="0"/>
    </xf>
    <xf numFmtId="39" fontId="3" fillId="0" borderId="1" xfId="6" applyNumberFormat="1" applyFont="1" applyFill="1" applyBorder="1" applyAlignment="1" applyProtection="1">
      <alignment horizontal="left" vertical="center"/>
      <protection locked="0"/>
    </xf>
    <xf numFmtId="0" fontId="3" fillId="0" borderId="1" xfId="6" applyNumberFormat="1" applyFont="1" applyFill="1" applyBorder="1" applyAlignment="1" applyProtection="1">
      <alignment horizontal="center" vertical="center"/>
    </xf>
    <xf numFmtId="37" fontId="3" fillId="0" borderId="1" xfId="6" applyNumberFormat="1" applyFont="1" applyFill="1" applyBorder="1" applyAlignment="1" applyProtection="1">
      <alignment horizontal="center" vertical="center"/>
      <protection locked="0"/>
    </xf>
    <xf numFmtId="37" fontId="3" fillId="0" borderId="1" xfId="15" applyNumberFormat="1" applyFont="1" applyFill="1" applyBorder="1" applyAlignment="1" applyProtection="1">
      <alignment horizontal="center" vertical="center"/>
      <protection locked="0"/>
    </xf>
    <xf numFmtId="37" fontId="3" fillId="0" borderId="1" xfId="6" applyNumberFormat="1" applyFont="1" applyFill="1" applyBorder="1" applyAlignment="1" applyProtection="1">
      <alignment horizontal="center" vertical="center"/>
    </xf>
    <xf numFmtId="10" fontId="3" fillId="0" borderId="1" xfId="2" applyNumberFormat="1" applyFont="1" applyFill="1" applyBorder="1" applyAlignment="1">
      <alignment horizontal="center" vertical="center"/>
    </xf>
    <xf numFmtId="39" fontId="31" fillId="0" borderId="1" xfId="6" applyNumberFormat="1" applyFont="1" applyFill="1" applyBorder="1" applyAlignment="1">
      <alignment horizontal="center" vertical="center"/>
    </xf>
    <xf numFmtId="42" fontId="19" fillId="0" borderId="7" xfId="1" applyFont="1" applyFill="1" applyBorder="1" applyAlignment="1" applyProtection="1">
      <alignment horizontal="left" vertical="center"/>
    </xf>
    <xf numFmtId="42" fontId="23" fillId="0" borderId="1" xfId="1" applyFont="1" applyFill="1" applyBorder="1" applyAlignment="1" applyProtection="1">
      <alignment horizontal="left" vertical="center"/>
    </xf>
    <xf numFmtId="42" fontId="23" fillId="0" borderId="6" xfId="1" applyFont="1" applyFill="1" applyBorder="1" applyAlignment="1" applyProtection="1">
      <alignment horizontal="left" vertical="center"/>
    </xf>
    <xf numFmtId="42" fontId="19" fillId="0" borderId="1" xfId="1" applyFont="1" applyFill="1" applyBorder="1" applyAlignment="1" applyProtection="1">
      <alignment horizontal="left" vertical="center"/>
    </xf>
    <xf numFmtId="42" fontId="19" fillId="0" borderId="1" xfId="1" applyFont="1" applyFill="1" applyBorder="1" applyAlignment="1" applyProtection="1">
      <alignment vertical="center"/>
    </xf>
    <xf numFmtId="42" fontId="19" fillId="0" borderId="7" xfId="1" applyFont="1" applyFill="1" applyBorder="1" applyAlignment="1" applyProtection="1">
      <alignment vertical="center"/>
    </xf>
    <xf numFmtId="42" fontId="23" fillId="0" borderId="6" xfId="1" applyFont="1" applyFill="1" applyBorder="1" applyAlignment="1" applyProtection="1">
      <alignment vertical="center"/>
    </xf>
    <xf numFmtId="42" fontId="23" fillId="0" borderId="1" xfId="1" applyFont="1" applyFill="1" applyBorder="1" applyAlignment="1" applyProtection="1">
      <alignment vertical="center"/>
    </xf>
    <xf numFmtId="42" fontId="17" fillId="0" borderId="1" xfId="1" applyFont="1" applyFill="1" applyBorder="1" applyAlignment="1" applyProtection="1">
      <alignment horizontal="right" vertical="center"/>
    </xf>
    <xf numFmtId="42" fontId="3" fillId="0" borderId="6" xfId="1" applyFont="1" applyFill="1" applyBorder="1" applyAlignment="1" applyProtection="1">
      <alignment horizontal="right" vertical="center"/>
    </xf>
    <xf numFmtId="42" fontId="3" fillId="0" borderId="1" xfId="1" applyFont="1" applyFill="1" applyBorder="1" applyAlignment="1" applyProtection="1">
      <alignment horizontal="right" vertical="center"/>
    </xf>
    <xf numFmtId="42" fontId="17" fillId="0" borderId="7" xfId="1" applyFont="1" applyFill="1" applyBorder="1" applyAlignment="1" applyProtection="1">
      <alignment horizontal="right" vertical="center"/>
    </xf>
    <xf numFmtId="42" fontId="19" fillId="0" borderId="7" xfId="1" applyFont="1" applyFill="1" applyBorder="1" applyAlignment="1">
      <alignment vertical="center"/>
    </xf>
    <xf numFmtId="42" fontId="19" fillId="0" borderId="1" xfId="1" applyFont="1" applyFill="1" applyBorder="1" applyAlignment="1">
      <alignment vertical="center"/>
    </xf>
    <xf numFmtId="42" fontId="15" fillId="0" borderId="1" xfId="1" applyFont="1" applyFill="1" applyBorder="1" applyAlignment="1">
      <alignment vertical="center"/>
    </xf>
    <xf numFmtId="42" fontId="3" fillId="0" borderId="1" xfId="1" applyFont="1" applyFill="1" applyBorder="1" applyAlignment="1" applyProtection="1">
      <alignment vertical="center"/>
    </xf>
    <xf numFmtId="42" fontId="17" fillId="0" borderId="1" xfId="1" applyFont="1" applyFill="1" applyBorder="1" applyAlignment="1">
      <alignment vertical="center"/>
    </xf>
    <xf numFmtId="42" fontId="17" fillId="0" borderId="7" xfId="1" applyFont="1" applyFill="1" applyBorder="1" applyAlignment="1" applyProtection="1">
      <alignment vertical="center"/>
    </xf>
    <xf numFmtId="42" fontId="17" fillId="0" borderId="7" xfId="1" applyFont="1" applyFill="1" applyBorder="1" applyAlignment="1">
      <alignment vertical="center"/>
    </xf>
    <xf numFmtId="42" fontId="15" fillId="0" borderId="7" xfId="1" applyFont="1" applyFill="1" applyBorder="1" applyAlignment="1">
      <alignment vertical="center"/>
    </xf>
    <xf numFmtId="43" fontId="14" fillId="0" borderId="1" xfId="6" applyNumberFormat="1" applyFont="1" applyFill="1" applyBorder="1">
      <alignment vertical="center"/>
    </xf>
    <xf numFmtId="0" fontId="30" fillId="0" borderId="1" xfId="6" applyFont="1" applyFill="1" applyBorder="1" applyAlignment="1">
      <alignment horizontal="center" vertical="center"/>
    </xf>
    <xf numFmtId="49" fontId="17" fillId="0" borderId="7" xfId="6" applyNumberFormat="1" applyFont="1" applyFill="1" applyBorder="1" applyAlignment="1" applyProtection="1">
      <alignment horizontal="center" vertical="center"/>
      <protection locked="0"/>
    </xf>
    <xf numFmtId="39" fontId="17" fillId="0" borderId="1" xfId="6" applyNumberFormat="1" applyFont="1" applyFill="1" applyBorder="1" applyAlignment="1">
      <alignment vertical="center"/>
    </xf>
    <xf numFmtId="39" fontId="19" fillId="0" borderId="1" xfId="6" applyNumberFormat="1" applyFont="1" applyFill="1" applyBorder="1" applyAlignment="1">
      <alignment vertical="center"/>
    </xf>
    <xf numFmtId="0" fontId="23" fillId="0" borderId="1" xfId="6" applyFont="1" applyBorder="1" applyAlignment="1">
      <alignment horizontal="center" vertical="center"/>
    </xf>
    <xf numFmtId="42" fontId="19" fillId="0" borderId="1" xfId="1" applyFont="1" applyFill="1" applyBorder="1" applyAlignment="1">
      <alignment horizontal="left" vertical="center" wrapText="1"/>
    </xf>
    <xf numFmtId="42" fontId="19" fillId="0" borderId="1" xfId="1" applyFont="1" applyFill="1" applyBorder="1" applyAlignment="1">
      <alignment horizontal="center" vertical="center" wrapText="1"/>
    </xf>
    <xf numFmtId="3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6" applyFont="1" applyFill="1" applyAlignment="1">
      <alignment vertical="center"/>
    </xf>
    <xf numFmtId="42" fontId="23" fillId="0" borderId="1" xfId="1" applyFont="1" applyFill="1" applyBorder="1" applyAlignment="1">
      <alignment horizontal="left" vertical="center"/>
    </xf>
    <xf numFmtId="42" fontId="23" fillId="0" borderId="1" xfId="1" applyFont="1" applyFill="1" applyBorder="1" applyAlignment="1">
      <alignment vertical="center"/>
    </xf>
    <xf numFmtId="17" fontId="23" fillId="0" borderId="1" xfId="6" applyNumberFormat="1" applyFont="1" applyFill="1" applyBorder="1">
      <alignment vertical="center"/>
    </xf>
    <xf numFmtId="0" fontId="19" fillId="0" borderId="1" xfId="0" applyFont="1" applyFill="1" applyBorder="1" applyAlignment="1">
      <alignment horizontal="center" vertical="center"/>
    </xf>
    <xf numFmtId="49" fontId="19" fillId="0" borderId="1" xfId="6" applyNumberFormat="1" applyFont="1" applyFill="1" applyBorder="1" applyAlignment="1" applyProtection="1">
      <alignment horizontal="center" vertical="center"/>
    </xf>
    <xf numFmtId="0" fontId="23" fillId="0" borderId="1" xfId="6" applyFont="1" applyBorder="1">
      <alignment vertical="center"/>
    </xf>
    <xf numFmtId="0" fontId="23" fillId="0" borderId="1" xfId="6" applyFont="1">
      <alignment vertical="center"/>
    </xf>
    <xf numFmtId="0" fontId="3" fillId="0" borderId="1" xfId="6" applyFont="1" applyFill="1" applyAlignment="1">
      <alignment vertical="center"/>
    </xf>
    <xf numFmtId="0" fontId="3" fillId="0" borderId="1" xfId="6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39" fontId="17" fillId="0" borderId="1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18" fillId="0" borderId="1" xfId="6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49" fontId="15" fillId="0" borderId="7" xfId="0" applyNumberFormat="1" applyFont="1" applyFill="1" applyBorder="1" applyAlignment="1" applyProtection="1">
      <alignment horizontal="center" vertical="center"/>
      <protection locked="0"/>
    </xf>
    <xf numFmtId="39" fontId="16" fillId="6" borderId="1" xfId="0" applyNumberFormat="1" applyFont="1" applyFill="1" applyBorder="1" applyAlignment="1">
      <alignment horizontal="center" vertical="center"/>
    </xf>
    <xf numFmtId="39" fontId="17" fillId="0" borderId="1" xfId="0" applyNumberFormat="1" applyFont="1" applyFill="1" applyBorder="1" applyAlignment="1" applyProtection="1">
      <alignment horizontal="center" vertical="center"/>
    </xf>
    <xf numFmtId="39" fontId="17" fillId="0" borderId="6" xfId="0" applyNumberFormat="1" applyFont="1" applyFill="1" applyBorder="1" applyAlignment="1" applyProtection="1">
      <alignment horizontal="center" vertical="center"/>
    </xf>
    <xf numFmtId="4" fontId="19" fillId="0" borderId="1" xfId="6" applyNumberFormat="1" applyFont="1" applyFill="1" applyBorder="1" applyAlignment="1">
      <alignment vertical="center"/>
    </xf>
    <xf numFmtId="4" fontId="19" fillId="0" borderId="1" xfId="6" applyNumberFormat="1" applyFont="1" applyFill="1" applyBorder="1" applyAlignment="1">
      <alignment horizontal="center" vertical="center" wrapText="1"/>
    </xf>
    <xf numFmtId="4" fontId="19" fillId="0" borderId="7" xfId="6" applyNumberFormat="1" applyFont="1" applyFill="1" applyBorder="1" applyAlignment="1">
      <alignment horizontal="center" vertical="center"/>
    </xf>
    <xf numFmtId="4" fontId="23" fillId="0" borderId="1" xfId="6" applyNumberFormat="1" applyFont="1" applyFill="1" applyBorder="1" applyAlignment="1" applyProtection="1">
      <alignment horizontal="center" vertical="center"/>
    </xf>
    <xf numFmtId="4" fontId="23" fillId="0" borderId="6" xfId="6" applyNumberFormat="1" applyFont="1" applyFill="1" applyBorder="1" applyAlignment="1" applyProtection="1">
      <alignment horizontal="center" vertical="center"/>
    </xf>
    <xf numFmtId="4" fontId="19" fillId="0" borderId="1" xfId="6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4" fontId="23" fillId="0" borderId="1" xfId="0" applyNumberFormat="1" applyFont="1" applyFill="1" applyBorder="1" applyAlignment="1" applyProtection="1">
      <alignment horizontal="center" vertical="center"/>
    </xf>
    <xf numFmtId="4" fontId="23" fillId="0" borderId="1" xfId="6" applyNumberFormat="1" applyFont="1" applyFill="1">
      <alignment vertical="center"/>
    </xf>
    <xf numFmtId="4" fontId="19" fillId="0" borderId="1" xfId="13" applyNumberFormat="1" applyFont="1" applyFill="1" applyBorder="1" applyAlignment="1">
      <alignment horizontal="center" vertical="center"/>
    </xf>
    <xf numFmtId="4" fontId="19" fillId="0" borderId="7" xfId="13" applyNumberFormat="1" applyFont="1" applyFill="1" applyBorder="1" applyAlignment="1" applyProtection="1">
      <alignment horizontal="center" vertical="center"/>
    </xf>
    <xf numFmtId="4" fontId="23" fillId="0" borderId="1" xfId="13" applyNumberFormat="1" applyFont="1" applyFill="1" applyBorder="1" applyAlignment="1" applyProtection="1">
      <alignment horizontal="center" vertical="center"/>
    </xf>
    <xf numFmtId="4" fontId="23" fillId="0" borderId="6" xfId="13" applyNumberFormat="1" applyFont="1" applyFill="1" applyBorder="1" applyAlignment="1" applyProtection="1">
      <alignment horizontal="center" vertical="center"/>
    </xf>
    <xf numFmtId="4" fontId="19" fillId="0" borderId="7" xfId="13" applyNumberFormat="1" applyFont="1" applyFill="1" applyBorder="1" applyAlignment="1">
      <alignment horizontal="center" vertical="center"/>
    </xf>
    <xf numFmtId="4" fontId="17" fillId="0" borderId="1" xfId="13" applyNumberFormat="1" applyFont="1" applyFill="1" applyBorder="1" applyAlignment="1" applyProtection="1">
      <alignment horizontal="center" vertical="center"/>
    </xf>
    <xf numFmtId="4" fontId="3" fillId="0" borderId="6" xfId="13" applyNumberFormat="1" applyFont="1" applyFill="1" applyBorder="1" applyAlignment="1" applyProtection="1">
      <alignment horizontal="center" vertical="center"/>
    </xf>
    <xf numFmtId="4" fontId="23" fillId="0" borderId="1" xfId="13" applyNumberFormat="1" applyFont="1" applyFill="1" applyBorder="1" applyAlignment="1">
      <alignment horizontal="center" vertical="center"/>
    </xf>
    <xf numFmtId="4" fontId="17" fillId="0" borderId="7" xfId="13" applyNumberFormat="1" applyFont="1" applyFill="1" applyBorder="1" applyAlignment="1" applyProtection="1">
      <alignment horizontal="center" vertical="center"/>
    </xf>
    <xf numFmtId="4" fontId="3" fillId="0" borderId="1" xfId="13" applyNumberFormat="1" applyFont="1" applyFill="1" applyBorder="1" applyAlignment="1" applyProtection="1">
      <alignment horizontal="center" vertical="center"/>
    </xf>
    <xf numFmtId="4" fontId="3" fillId="0" borderId="1" xfId="13" applyNumberFormat="1" applyFont="1" applyFill="1" applyBorder="1" applyAlignment="1">
      <alignment horizontal="center" vertical="center"/>
    </xf>
    <xf numFmtId="4" fontId="17" fillId="0" borderId="1" xfId="13" applyNumberFormat="1" applyFont="1" applyFill="1" applyBorder="1" applyAlignment="1">
      <alignment horizontal="center" vertical="center"/>
    </xf>
    <xf numFmtId="4" fontId="17" fillId="0" borderId="7" xfId="13" applyNumberFormat="1" applyFont="1" applyFill="1" applyBorder="1" applyAlignment="1">
      <alignment horizontal="center" vertical="center"/>
    </xf>
    <xf numFmtId="4" fontId="3" fillId="0" borderId="6" xfId="13" applyNumberFormat="1" applyFont="1" applyFill="1" applyBorder="1" applyAlignment="1">
      <alignment horizontal="center" vertical="center"/>
    </xf>
    <xf numFmtId="4" fontId="23" fillId="0" borderId="1" xfId="13" applyNumberFormat="1" applyFont="1" applyFill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6" fillId="0" borderId="1" xfId="3" applyNumberFormat="1" applyFont="1" applyFill="1" applyBorder="1" applyAlignment="1">
      <alignment horizontal="center" vertical="center"/>
    </xf>
    <xf numFmtId="169" fontId="6" fillId="0" borderId="1" xfId="4" applyNumberFormat="1" applyFont="1" applyFill="1" applyBorder="1" applyAlignment="1">
      <alignment horizontal="center" vertical="center" wrapText="1"/>
    </xf>
    <xf numFmtId="39" fontId="17" fillId="0" borderId="12" xfId="6" applyNumberFormat="1" applyFont="1" applyFill="1" applyBorder="1" applyAlignment="1" applyProtection="1">
      <alignment horizontal="center" vertical="center"/>
    </xf>
    <xf numFmtId="39" fontId="3" fillId="0" borderId="12" xfId="6" applyNumberFormat="1" applyFont="1" applyFill="1" applyBorder="1" applyAlignment="1" applyProtection="1">
      <alignment horizontal="justify" vertical="center"/>
    </xf>
    <xf numFmtId="39" fontId="3" fillId="0" borderId="12" xfId="6" applyNumberFormat="1" applyFont="1" applyFill="1" applyBorder="1" applyAlignment="1" applyProtection="1">
      <alignment horizontal="center" vertical="center"/>
    </xf>
    <xf numFmtId="4" fontId="3" fillId="0" borderId="12" xfId="13" applyNumberFormat="1" applyFont="1" applyFill="1" applyBorder="1" applyAlignment="1" applyProtection="1">
      <alignment horizontal="center" vertical="center"/>
    </xf>
    <xf numFmtId="42" fontId="23" fillId="0" borderId="12" xfId="1" applyFont="1" applyFill="1" applyBorder="1" applyAlignment="1" applyProtection="1">
      <alignment horizontal="left" vertical="center"/>
    </xf>
    <xf numFmtId="39" fontId="23" fillId="0" borderId="12" xfId="6" applyNumberFormat="1" applyFont="1" applyFill="1" applyBorder="1" applyAlignment="1" applyProtection="1">
      <alignment horizontal="justify" vertical="center"/>
    </xf>
    <xf numFmtId="4" fontId="23" fillId="0" borderId="12" xfId="13" applyNumberFormat="1" applyFont="1" applyFill="1" applyBorder="1" applyAlignment="1">
      <alignment horizontal="center" vertical="center"/>
    </xf>
    <xf numFmtId="0" fontId="19" fillId="0" borderId="1" xfId="6" applyFont="1" applyFill="1" applyBorder="1">
      <alignment vertical="center"/>
    </xf>
    <xf numFmtId="42" fontId="23" fillId="0" borderId="12" xfId="1" applyFont="1" applyFill="1" applyBorder="1" applyAlignment="1" applyProtection="1">
      <alignment vertical="center"/>
    </xf>
    <xf numFmtId="42" fontId="3" fillId="0" borderId="12" xfId="1" applyFont="1" applyFill="1" applyBorder="1" applyAlignment="1" applyProtection="1">
      <alignment vertical="center"/>
    </xf>
    <xf numFmtId="39" fontId="16" fillId="8" borderId="12" xfId="17" applyNumberFormat="1" applyFont="1" applyFill="1" applyBorder="1" applyAlignment="1">
      <alignment horizontal="center" vertical="center"/>
    </xf>
    <xf numFmtId="39" fontId="16" fillId="7" borderId="12" xfId="16" applyNumberFormat="1" applyFont="1" applyFill="1" applyBorder="1" applyAlignment="1">
      <alignment horizontal="center" vertical="center"/>
    </xf>
    <xf numFmtId="39" fontId="16" fillId="4" borderId="12" xfId="6" applyNumberFormat="1" applyFont="1" applyFill="1" applyBorder="1" applyAlignment="1">
      <alignment vertical="center"/>
    </xf>
    <xf numFmtId="0" fontId="13" fillId="0" borderId="1" xfId="6" applyFont="1" applyFill="1" applyBorder="1" applyAlignment="1">
      <alignment vertical="center"/>
    </xf>
    <xf numFmtId="0" fontId="37" fillId="0" borderId="13" xfId="20" applyFont="1" applyBorder="1" applyAlignment="1">
      <alignment vertical="center"/>
    </xf>
    <xf numFmtId="0" fontId="38" fillId="0" borderId="16" xfId="20" applyFont="1" applyBorder="1" applyAlignment="1">
      <alignment vertical="center" wrapText="1"/>
    </xf>
    <xf numFmtId="0" fontId="37" fillId="0" borderId="1" xfId="20" applyFont="1" applyAlignment="1">
      <alignment vertical="center"/>
    </xf>
    <xf numFmtId="0" fontId="39" fillId="0" borderId="1" xfId="20" applyFont="1" applyAlignment="1">
      <alignment vertical="center"/>
    </xf>
    <xf numFmtId="0" fontId="39" fillId="0" borderId="1" xfId="20" applyFont="1" applyAlignment="1">
      <alignment horizontal="center" vertical="center"/>
    </xf>
    <xf numFmtId="0" fontId="39" fillId="0" borderId="18" xfId="20" applyFont="1" applyFill="1" applyBorder="1" applyAlignment="1">
      <alignment horizontal="center" vertical="center"/>
    </xf>
    <xf numFmtId="10" fontId="39" fillId="0" borderId="19" xfId="20" applyNumberFormat="1" applyFont="1" applyFill="1" applyBorder="1" applyAlignment="1">
      <alignment horizontal="center" vertical="center"/>
    </xf>
    <xf numFmtId="0" fontId="37" fillId="0" borderId="1" xfId="20" applyFont="1" applyFill="1" applyBorder="1" applyAlignment="1">
      <alignment vertical="center"/>
    </xf>
    <xf numFmtId="0" fontId="37" fillId="0" borderId="1" xfId="20" applyFont="1" applyFill="1" applyAlignment="1">
      <alignment vertical="center"/>
    </xf>
    <xf numFmtId="0" fontId="39" fillId="0" borderId="2" xfId="20" applyFont="1" applyFill="1" applyBorder="1" applyAlignment="1">
      <alignment horizontal="center" vertical="center"/>
    </xf>
    <xf numFmtId="0" fontId="39" fillId="0" borderId="1" xfId="20" applyFont="1" applyFill="1" applyBorder="1" applyAlignment="1">
      <alignment horizontal="right" vertical="center"/>
    </xf>
    <xf numFmtId="9" fontId="37" fillId="0" borderId="1" xfId="20" applyNumberFormat="1" applyFont="1" applyFill="1" applyBorder="1" applyAlignment="1">
      <alignment horizontal="center" vertical="center"/>
    </xf>
    <xf numFmtId="177" fontId="39" fillId="0" borderId="1" xfId="20" applyNumberFormat="1" applyFont="1" applyFill="1" applyBorder="1" applyAlignment="1">
      <alignment horizontal="center" vertical="center"/>
    </xf>
    <xf numFmtId="0" fontId="39" fillId="0" borderId="23" xfId="20" applyFont="1" applyFill="1" applyBorder="1" applyAlignment="1">
      <alignment horizontal="center" vertical="center"/>
    </xf>
    <xf numFmtId="2" fontId="37" fillId="0" borderId="24" xfId="20" applyNumberFormat="1" applyFont="1" applyFill="1" applyBorder="1" applyAlignment="1">
      <alignment horizontal="center" vertical="center"/>
    </xf>
    <xf numFmtId="0" fontId="38" fillId="11" borderId="17" xfId="20" applyFont="1" applyFill="1" applyBorder="1" applyAlignment="1">
      <alignment horizontal="center" vertical="center" wrapText="1"/>
    </xf>
    <xf numFmtId="179" fontId="38" fillId="11" borderId="18" xfId="20" applyNumberFormat="1" applyFont="1" applyFill="1" applyBorder="1" applyAlignment="1">
      <alignment horizontal="center" vertical="center" wrapText="1"/>
    </xf>
    <xf numFmtId="0" fontId="38" fillId="11" borderId="18" xfId="20" applyFont="1" applyFill="1" applyBorder="1" applyAlignment="1">
      <alignment horizontal="center" vertical="center" wrapText="1"/>
    </xf>
    <xf numFmtId="2" fontId="38" fillId="11" borderId="18" xfId="20" applyNumberFormat="1" applyFont="1" applyFill="1" applyBorder="1" applyAlignment="1">
      <alignment horizontal="center" vertical="center" wrapText="1"/>
    </xf>
    <xf numFmtId="179" fontId="38" fillId="11" borderId="19" xfId="20" applyNumberFormat="1" applyFont="1" applyFill="1" applyBorder="1" applyAlignment="1">
      <alignment horizontal="center" vertical="center" wrapText="1"/>
    </xf>
    <xf numFmtId="0" fontId="37" fillId="0" borderId="25" xfId="20" applyFont="1" applyFill="1" applyBorder="1" applyAlignment="1">
      <alignment horizontal="left" vertical="center" wrapText="1"/>
    </xf>
    <xf numFmtId="2" fontId="37" fillId="0" borderId="2" xfId="20" applyNumberFormat="1" applyFont="1" applyFill="1" applyBorder="1" applyAlignment="1">
      <alignment horizontal="center" vertical="center"/>
    </xf>
    <xf numFmtId="0" fontId="37" fillId="0" borderId="20" xfId="20" applyFont="1" applyFill="1" applyBorder="1" applyAlignment="1">
      <alignment vertical="center"/>
    </xf>
    <xf numFmtId="0" fontId="37" fillId="0" borderId="20" xfId="20" applyFont="1" applyFill="1" applyBorder="1" applyAlignment="1">
      <alignment horizontal="left" vertical="center" wrapText="1"/>
    </xf>
    <xf numFmtId="0" fontId="37" fillId="0" borderId="20" xfId="20" applyFont="1" applyFill="1" applyBorder="1" applyAlignment="1">
      <alignment horizontal="left" vertical="center"/>
    </xf>
    <xf numFmtId="0" fontId="37" fillId="0" borderId="22" xfId="20" applyFont="1" applyFill="1" applyBorder="1" applyAlignment="1">
      <alignment horizontal="left" vertical="center"/>
    </xf>
    <xf numFmtId="2" fontId="37" fillId="0" borderId="23" xfId="20" applyNumberFormat="1" applyFont="1" applyFill="1" applyBorder="1" applyAlignment="1">
      <alignment horizontal="center" vertical="center"/>
    </xf>
    <xf numFmtId="178" fontId="37" fillId="0" borderId="1" xfId="20" applyNumberFormat="1" applyFont="1" applyBorder="1" applyAlignment="1">
      <alignment vertical="center"/>
    </xf>
    <xf numFmtId="0" fontId="37" fillId="0" borderId="1" xfId="20" applyFont="1" applyAlignment="1">
      <alignment horizontal="center" vertical="center"/>
    </xf>
    <xf numFmtId="2" fontId="37" fillId="0" borderId="1" xfId="20" applyNumberFormat="1" applyFont="1" applyBorder="1" applyAlignment="1">
      <alignment horizontal="center" vertical="center"/>
    </xf>
    <xf numFmtId="0" fontId="38" fillId="0" borderId="5" xfId="20" applyFont="1" applyBorder="1" applyAlignment="1">
      <alignment vertical="center"/>
    </xf>
    <xf numFmtId="179" fontId="37" fillId="0" borderId="1" xfId="20" applyNumberFormat="1" applyFont="1" applyBorder="1" applyAlignment="1">
      <alignment vertical="center"/>
    </xf>
    <xf numFmtId="0" fontId="37" fillId="0" borderId="1" xfId="20" applyFont="1" applyBorder="1" applyAlignment="1">
      <alignment horizontal="center" vertical="center"/>
    </xf>
    <xf numFmtId="9" fontId="37" fillId="0" borderId="1" xfId="20" applyNumberFormat="1" applyFont="1" applyBorder="1" applyAlignment="1">
      <alignment horizontal="center" vertical="center"/>
    </xf>
    <xf numFmtId="179" fontId="38" fillId="0" borderId="5" xfId="20" applyNumberFormat="1" applyFont="1" applyFill="1" applyBorder="1" applyAlignment="1">
      <alignment vertical="center"/>
    </xf>
    <xf numFmtId="0" fontId="37" fillId="0" borderId="1" xfId="20" applyFont="1" applyBorder="1" applyAlignment="1">
      <alignment vertical="center"/>
    </xf>
    <xf numFmtId="179" fontId="38" fillId="0" borderId="1" xfId="20" applyNumberFormat="1" applyFont="1" applyBorder="1" applyAlignment="1">
      <alignment vertical="center"/>
    </xf>
    <xf numFmtId="0" fontId="37" fillId="0" borderId="20" xfId="20" applyFont="1" applyBorder="1" applyAlignment="1">
      <alignment horizontal="left" vertical="center" wrapText="1"/>
    </xf>
    <xf numFmtId="9" fontId="37" fillId="0" borderId="2" xfId="22" applyFont="1" applyFill="1" applyBorder="1" applyAlignment="1">
      <alignment horizontal="center" vertical="center"/>
    </xf>
    <xf numFmtId="180" fontId="37" fillId="0" borderId="2" xfId="22" applyNumberFormat="1" applyFont="1" applyBorder="1" applyAlignment="1">
      <alignment horizontal="center" vertical="center"/>
    </xf>
    <xf numFmtId="0" fontId="37" fillId="0" borderId="22" xfId="20" applyFont="1" applyBorder="1" applyAlignment="1">
      <alignment horizontal="left" vertical="center" wrapText="1"/>
    </xf>
    <xf numFmtId="9" fontId="37" fillId="0" borderId="23" xfId="22" applyFont="1" applyBorder="1" applyAlignment="1">
      <alignment horizontal="center" vertical="center"/>
    </xf>
    <xf numFmtId="180" fontId="37" fillId="0" borderId="23" xfId="22" applyNumberFormat="1" applyFont="1" applyBorder="1" applyAlignment="1">
      <alignment horizontal="center" vertical="center"/>
    </xf>
    <xf numFmtId="179" fontId="37" fillId="0" borderId="1" xfId="20" applyNumberFormat="1" applyFont="1" applyAlignment="1">
      <alignment vertical="center"/>
    </xf>
    <xf numFmtId="2" fontId="37" fillId="0" borderId="1" xfId="20" applyNumberFormat="1" applyFont="1" applyAlignment="1">
      <alignment horizontal="center" vertical="center"/>
    </xf>
    <xf numFmtId="179" fontId="37" fillId="0" borderId="8" xfId="20" applyNumberFormat="1" applyFont="1" applyBorder="1" applyAlignment="1">
      <alignment vertical="center"/>
    </xf>
    <xf numFmtId="178" fontId="37" fillId="0" borderId="2" xfId="20" applyNumberFormat="1" applyFont="1" applyFill="1" applyBorder="1" applyAlignment="1">
      <alignment horizontal="center" vertical="center"/>
    </xf>
    <xf numFmtId="0" fontId="37" fillId="0" borderId="22" xfId="20" applyFont="1" applyFill="1" applyBorder="1" applyAlignment="1">
      <alignment vertical="center"/>
    </xf>
    <xf numFmtId="178" fontId="37" fillId="0" borderId="23" xfId="20" applyNumberFormat="1" applyFont="1" applyFill="1" applyBorder="1" applyAlignment="1">
      <alignment horizontal="center" vertical="center"/>
    </xf>
    <xf numFmtId="0" fontId="37" fillId="0" borderId="22" xfId="20" applyFont="1" applyFill="1" applyBorder="1" applyAlignment="1">
      <alignment horizontal="left" vertical="center" wrapText="1"/>
    </xf>
    <xf numFmtId="10" fontId="41" fillId="0" borderId="2" xfId="20" applyNumberFormat="1" applyFont="1" applyBorder="1" applyAlignment="1">
      <alignment horizontal="center" vertical="center"/>
    </xf>
    <xf numFmtId="10" fontId="41" fillId="0" borderId="29" xfId="20" applyNumberFormat="1" applyFont="1" applyFill="1" applyBorder="1" applyAlignment="1">
      <alignment horizontal="center" vertical="center"/>
    </xf>
    <xf numFmtId="0" fontId="37" fillId="0" borderId="1" xfId="20" applyFont="1" applyAlignment="1">
      <alignment horizontal="right" vertical="center"/>
    </xf>
    <xf numFmtId="178" fontId="37" fillId="0" borderId="1" xfId="21" applyNumberFormat="1" applyFont="1" applyFill="1" applyBorder="1" applyAlignment="1">
      <alignment vertical="center"/>
    </xf>
    <xf numFmtId="2" fontId="37" fillId="0" borderId="1" xfId="20" applyNumberFormat="1" applyFont="1" applyFill="1" applyBorder="1" applyAlignment="1">
      <alignment horizontal="center" vertical="center"/>
    </xf>
    <xf numFmtId="167" fontId="37" fillId="0" borderId="1" xfId="20" applyNumberFormat="1" applyFont="1" applyFill="1" applyBorder="1" applyAlignment="1">
      <alignment horizontal="center" vertical="center"/>
    </xf>
    <xf numFmtId="178" fontId="37" fillId="0" borderId="1" xfId="20" applyNumberFormat="1" applyFont="1" applyFill="1" applyBorder="1" applyAlignment="1">
      <alignment vertical="center"/>
    </xf>
    <xf numFmtId="167" fontId="38" fillId="0" borderId="1" xfId="20" applyNumberFormat="1" applyFont="1" applyFill="1" applyBorder="1" applyAlignment="1">
      <alignment horizontal="center" vertical="center"/>
    </xf>
    <xf numFmtId="179" fontId="38" fillId="0" borderId="35" xfId="20" applyNumberFormat="1" applyFont="1" applyFill="1" applyBorder="1" applyAlignment="1">
      <alignment vertical="center"/>
    </xf>
    <xf numFmtId="10" fontId="38" fillId="0" borderId="1" xfId="20" applyNumberFormat="1" applyFont="1" applyBorder="1" applyAlignment="1">
      <alignment horizontal="center" vertical="center"/>
    </xf>
    <xf numFmtId="178" fontId="37" fillId="0" borderId="12" xfId="20" applyNumberFormat="1" applyFont="1" applyFill="1" applyBorder="1" applyAlignment="1">
      <alignment vertical="center"/>
    </xf>
    <xf numFmtId="10" fontId="42" fillId="0" borderId="36" xfId="15" applyNumberFormat="1" applyFont="1" applyBorder="1" applyAlignment="1">
      <alignment horizontal="center" vertical="center"/>
    </xf>
    <xf numFmtId="0" fontId="17" fillId="10" borderId="13" xfId="6" applyFont="1" applyFill="1" applyBorder="1" applyAlignment="1">
      <alignment horizontal="center" vertical="center"/>
    </xf>
    <xf numFmtId="173" fontId="25" fillId="0" borderId="1" xfId="11" applyNumberFormat="1" applyFont="1" applyFill="1" applyBorder="1" applyAlignment="1">
      <alignment vertical="center"/>
    </xf>
    <xf numFmtId="49" fontId="21" fillId="0" borderId="1" xfId="6" applyNumberFormat="1" applyFont="1" applyFill="1" applyBorder="1" applyAlignment="1">
      <alignment horizontal="left" vertical="center"/>
    </xf>
    <xf numFmtId="49" fontId="3" fillId="0" borderId="1" xfId="6" applyNumberFormat="1" applyFont="1" applyFill="1" applyBorder="1" applyAlignment="1">
      <alignment horizontal="center" vertical="center"/>
    </xf>
    <xf numFmtId="172" fontId="3" fillId="0" borderId="1" xfId="10" applyNumberFormat="1" applyFont="1" applyFill="1" applyBorder="1" applyAlignment="1">
      <alignment horizontal="center" vertical="center" wrapText="1"/>
    </xf>
    <xf numFmtId="49" fontId="36" fillId="0" borderId="1" xfId="6" applyNumberFormat="1" applyFont="1" applyFill="1" applyBorder="1" applyAlignment="1">
      <alignment horizontal="left" vertical="center"/>
    </xf>
    <xf numFmtId="0" fontId="36" fillId="0" borderId="1" xfId="6" applyFont="1" applyFill="1" applyBorder="1" applyAlignment="1">
      <alignment horizontal="center" vertical="center"/>
    </xf>
    <xf numFmtId="9" fontId="25" fillId="0" borderId="1" xfId="12" applyFont="1" applyFill="1" applyBorder="1" applyAlignment="1">
      <alignment vertical="center"/>
    </xf>
    <xf numFmtId="173" fontId="21" fillId="0" borderId="1" xfId="6" applyNumberFormat="1" applyFont="1" applyFill="1" applyBorder="1" applyAlignment="1">
      <alignment vertical="center"/>
    </xf>
    <xf numFmtId="174" fontId="21" fillId="0" borderId="1" xfId="6" applyNumberFormat="1" applyFont="1" applyFill="1" applyBorder="1" applyAlignment="1">
      <alignment vertical="center"/>
    </xf>
    <xf numFmtId="49" fontId="3" fillId="0" borderId="1" xfId="6" applyNumberFormat="1" applyFont="1" applyFill="1" applyBorder="1" applyAlignment="1" applyProtection="1">
      <alignment horizontal="justify" vertical="center"/>
    </xf>
    <xf numFmtId="49" fontId="3" fillId="0" borderId="1" xfId="6" applyNumberFormat="1" applyFont="1" applyFill="1" applyBorder="1" applyAlignment="1">
      <alignment horizontal="left" vertical="center"/>
    </xf>
    <xf numFmtId="39" fontId="3" fillId="0" borderId="1" xfId="6" applyNumberFormat="1" applyFont="1" applyFill="1" applyBorder="1" applyAlignment="1">
      <alignment vertical="center"/>
    </xf>
    <xf numFmtId="49" fontId="3" fillId="0" borderId="1" xfId="6" applyNumberFormat="1" applyFont="1" applyFill="1" applyBorder="1" applyAlignment="1">
      <alignment vertical="center"/>
    </xf>
    <xf numFmtId="49" fontId="36" fillId="0" borderId="1" xfId="6" applyNumberFormat="1" applyFont="1" applyFill="1" applyBorder="1" applyAlignment="1">
      <alignment vertical="center"/>
    </xf>
    <xf numFmtId="0" fontId="36" fillId="0" borderId="1" xfId="6" applyFont="1" applyFill="1" applyBorder="1" applyAlignment="1">
      <alignment vertical="center"/>
    </xf>
    <xf numFmtId="172" fontId="21" fillId="0" borderId="1" xfId="6" applyNumberFormat="1" applyFont="1" applyFill="1" applyBorder="1" applyAlignment="1">
      <alignment vertical="center"/>
    </xf>
    <xf numFmtId="41" fontId="21" fillId="0" borderId="1" xfId="6" applyNumberFormat="1" applyFont="1" applyFill="1" applyBorder="1" applyAlignment="1">
      <alignment vertical="center"/>
    </xf>
    <xf numFmtId="0" fontId="36" fillId="0" borderId="1" xfId="6" applyFont="1" applyFill="1" applyBorder="1" applyAlignment="1">
      <alignment horizontal="left" vertical="center"/>
    </xf>
    <xf numFmtId="0" fontId="21" fillId="0" borderId="1" xfId="6" applyFont="1" applyFill="1" applyBorder="1" applyAlignment="1">
      <alignment horizontal="left" vertical="center"/>
    </xf>
    <xf numFmtId="173" fontId="36" fillId="0" borderId="1" xfId="11" applyNumberFormat="1" applyFont="1" applyFill="1" applyBorder="1" applyAlignment="1">
      <alignment vertical="center"/>
    </xf>
    <xf numFmtId="173" fontId="3" fillId="0" borderId="1" xfId="11" applyNumberFormat="1" applyFont="1" applyFill="1" applyBorder="1" applyAlignment="1">
      <alignment horizontal="center" vertical="center" wrapText="1"/>
    </xf>
    <xf numFmtId="173" fontId="3" fillId="0" borderId="1" xfId="11" applyNumberFormat="1" applyFont="1" applyFill="1" applyBorder="1" applyAlignment="1" applyProtection="1">
      <alignment horizontal="justify" vertical="center"/>
    </xf>
    <xf numFmtId="173" fontId="3" fillId="0" borderId="1" xfId="11" applyNumberFormat="1" applyFont="1" applyFill="1" applyBorder="1" applyAlignment="1" applyProtection="1">
      <alignment horizontal="center" vertical="center"/>
      <protection locked="0"/>
    </xf>
    <xf numFmtId="173" fontId="3" fillId="0" borderId="1" xfId="11" applyNumberFormat="1" applyFont="1" applyFill="1" applyBorder="1" applyAlignment="1" applyProtection="1">
      <alignment horizontal="center" vertical="center"/>
    </xf>
    <xf numFmtId="173" fontId="3" fillId="0" borderId="1" xfId="11" applyNumberFormat="1" applyFont="1" applyFill="1" applyBorder="1" applyAlignment="1" applyProtection="1">
      <alignment horizontal="justify" vertical="center"/>
      <protection locked="0"/>
    </xf>
    <xf numFmtId="173" fontId="21" fillId="0" borderId="1" xfId="11" applyNumberFormat="1" applyFont="1" applyFill="1" applyBorder="1" applyAlignment="1" applyProtection="1">
      <alignment horizontal="left" vertical="center"/>
      <protection locked="0"/>
    </xf>
    <xf numFmtId="173" fontId="3" fillId="0" borderId="1" xfId="11" applyNumberFormat="1" applyFont="1" applyFill="1" applyBorder="1" applyAlignment="1" applyProtection="1">
      <alignment horizontal="left" vertical="center"/>
    </xf>
    <xf numFmtId="173" fontId="3" fillId="0" borderId="1" xfId="11" applyNumberFormat="1" applyFont="1" applyFill="1" applyBorder="1" applyAlignment="1">
      <alignment vertical="center"/>
    </xf>
    <xf numFmtId="39" fontId="3" fillId="0" borderId="1" xfId="6" applyNumberFormat="1" applyFont="1" applyFill="1" applyBorder="1" applyAlignment="1">
      <alignment horizontal="left" vertical="center"/>
    </xf>
    <xf numFmtId="173" fontId="21" fillId="0" borderId="1" xfId="11" applyNumberFormat="1" applyFont="1" applyFill="1" applyBorder="1" applyAlignment="1">
      <alignment horizontal="center" vertical="center"/>
    </xf>
    <xf numFmtId="37" fontId="3" fillId="0" borderId="1" xfId="6" applyNumberFormat="1" applyFont="1" applyFill="1" applyBorder="1" applyAlignment="1">
      <alignment horizontal="left" vertical="center"/>
    </xf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/>
    </xf>
    <xf numFmtId="0" fontId="23" fillId="0" borderId="1" xfId="6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49" fontId="15" fillId="0" borderId="39" xfId="0" applyNumberFormat="1" applyFont="1" applyFill="1" applyBorder="1" applyAlignment="1" applyProtection="1">
      <alignment horizontal="center" vertical="center"/>
      <protection locked="0"/>
    </xf>
    <xf numFmtId="0" fontId="19" fillId="0" borderId="36" xfId="6" applyFont="1" applyFill="1" applyBorder="1" applyAlignment="1">
      <alignment horizontal="center" vertical="center"/>
    </xf>
    <xf numFmtId="4" fontId="19" fillId="0" borderId="36" xfId="13" applyNumberFormat="1" applyFont="1" applyFill="1" applyBorder="1" applyAlignment="1">
      <alignment horizontal="center" vertical="center" wrapText="1"/>
    </xf>
    <xf numFmtId="42" fontId="19" fillId="0" borderId="36" xfId="1" applyFont="1" applyFill="1" applyBorder="1" applyAlignment="1">
      <alignment horizontal="center" vertical="center" wrapText="1"/>
    </xf>
    <xf numFmtId="4" fontId="19" fillId="0" borderId="36" xfId="6" applyNumberFormat="1" applyFont="1" applyFill="1" applyBorder="1" applyAlignment="1">
      <alignment horizontal="center" vertical="center" wrapText="1"/>
    </xf>
    <xf numFmtId="42" fontId="19" fillId="0" borderId="16" xfId="1" applyFont="1" applyFill="1" applyBorder="1" applyAlignment="1">
      <alignment horizontal="center" vertical="center" wrapText="1"/>
    </xf>
    <xf numFmtId="39" fontId="15" fillId="0" borderId="1" xfId="0" applyNumberFormat="1" applyFont="1" applyFill="1" applyBorder="1" applyAlignment="1" applyProtection="1">
      <alignment horizontal="justify" vertical="center" wrapText="1"/>
      <protection locked="0"/>
    </xf>
    <xf numFmtId="39" fontId="15" fillId="0" borderId="1" xfId="0" applyNumberFormat="1" applyFont="1" applyFill="1" applyBorder="1" applyAlignment="1" applyProtection="1">
      <alignment horizontal="center" vertical="center"/>
      <protection locked="0"/>
    </xf>
    <xf numFmtId="175" fontId="17" fillId="0" borderId="1" xfId="13" applyNumberFormat="1" applyFont="1" applyFill="1" applyBorder="1" applyAlignment="1">
      <alignment horizontal="center" vertical="center"/>
    </xf>
    <xf numFmtId="174" fontId="17" fillId="0" borderId="1" xfId="14" applyFont="1" applyFill="1" applyBorder="1" applyAlignment="1" applyProtection="1">
      <alignment horizontal="left" vertical="center"/>
    </xf>
    <xf numFmtId="174" fontId="15" fillId="0" borderId="42" xfId="0" applyNumberFormat="1" applyFont="1" applyFill="1" applyBorder="1" applyAlignment="1">
      <alignment vertical="center"/>
    </xf>
    <xf numFmtId="39" fontId="17" fillId="0" borderId="38" xfId="0" applyNumberFormat="1" applyFont="1" applyFill="1" applyBorder="1" applyAlignment="1" applyProtection="1">
      <alignment horizontal="center" vertical="center"/>
    </xf>
    <xf numFmtId="39" fontId="3" fillId="0" borderId="1" xfId="0" applyNumberFormat="1" applyFont="1" applyFill="1" applyBorder="1" applyAlignment="1" applyProtection="1">
      <alignment horizontal="justify" vertical="center" wrapText="1"/>
    </xf>
    <xf numFmtId="174" fontId="3" fillId="0" borderId="42" xfId="0" applyNumberFormat="1" applyFont="1" applyFill="1" applyBorder="1" applyAlignment="1" applyProtection="1">
      <alignment vertical="center"/>
    </xf>
    <xf numFmtId="174" fontId="3" fillId="0" borderId="1" xfId="14" applyFont="1" applyFill="1" applyBorder="1" applyAlignment="1" applyProtection="1">
      <alignment horizontal="left" vertical="center"/>
    </xf>
    <xf numFmtId="39" fontId="17" fillId="0" borderId="41" xfId="0" applyNumberFormat="1" applyFont="1" applyFill="1" applyBorder="1" applyAlignment="1" applyProtection="1">
      <alignment horizontal="center" vertical="center"/>
    </xf>
    <xf numFmtId="39" fontId="3" fillId="0" borderId="12" xfId="0" applyNumberFormat="1" applyFont="1" applyFill="1" applyBorder="1" applyAlignment="1" applyProtection="1">
      <alignment horizontal="justify" vertical="center" wrapText="1"/>
    </xf>
    <xf numFmtId="39" fontId="3" fillId="0" borderId="12" xfId="0" applyNumberFormat="1" applyFont="1" applyFill="1" applyBorder="1" applyAlignment="1" applyProtection="1">
      <alignment horizontal="center" vertical="center"/>
    </xf>
    <xf numFmtId="175" fontId="3" fillId="0" borderId="12" xfId="13" applyNumberFormat="1" applyFont="1" applyFill="1" applyBorder="1" applyAlignment="1" applyProtection="1">
      <alignment horizontal="center" vertical="center"/>
    </xf>
    <xf numFmtId="174" fontId="3" fillId="0" borderId="12" xfId="14" applyFont="1" applyFill="1" applyBorder="1" applyAlignment="1" applyProtection="1">
      <alignment horizontal="left" vertical="center"/>
    </xf>
    <xf numFmtId="174" fontId="3" fillId="0" borderId="43" xfId="0" applyNumberFormat="1" applyFont="1" applyFill="1" applyBorder="1" applyAlignment="1" applyProtection="1">
      <alignment vertical="center"/>
    </xf>
    <xf numFmtId="39" fontId="17" fillId="0" borderId="12" xfId="0" applyNumberFormat="1" applyFont="1" applyFill="1" applyBorder="1" applyAlignment="1" applyProtection="1">
      <alignment horizontal="center" vertical="center"/>
    </xf>
    <xf numFmtId="174" fontId="3" fillId="0" borderId="1" xfId="0" applyNumberFormat="1" applyFont="1" applyFill="1" applyBorder="1" applyAlignment="1" applyProtection="1">
      <alignment vertical="center"/>
    </xf>
    <xf numFmtId="49" fontId="17" fillId="0" borderId="39" xfId="0" applyNumberFormat="1" applyFont="1" applyFill="1" applyBorder="1" applyAlignment="1" applyProtection="1">
      <alignment horizontal="center" vertical="center"/>
      <protection locked="0"/>
    </xf>
    <xf numFmtId="39" fontId="15" fillId="0" borderId="44" xfId="0" applyNumberFormat="1" applyFont="1" applyFill="1" applyBorder="1" applyAlignment="1" applyProtection="1">
      <alignment horizontal="center" vertical="center"/>
      <protection locked="0"/>
    </xf>
    <xf numFmtId="39" fontId="15" fillId="0" borderId="1" xfId="0" applyNumberFormat="1" applyFont="1" applyFill="1" applyBorder="1" applyAlignment="1" applyProtection="1">
      <alignment horizontal="justify" vertical="center"/>
      <protection locked="0"/>
    </xf>
    <xf numFmtId="3" fontId="17" fillId="0" borderId="1" xfId="0" applyNumberFormat="1" applyFont="1" applyFill="1" applyBorder="1" applyAlignment="1" applyProtection="1">
      <alignment horizontal="right" vertical="center"/>
    </xf>
    <xf numFmtId="39" fontId="3" fillId="0" borderId="1" xfId="0" applyNumberFormat="1" applyFont="1" applyFill="1" applyBorder="1" applyAlignment="1" applyProtection="1">
      <alignment horizontal="justify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39" fontId="16" fillId="8" borderId="40" xfId="17" applyNumberFormat="1" applyFont="1" applyFill="1" applyBorder="1" applyAlignment="1">
      <alignment horizontal="center" vertical="center"/>
    </xf>
    <xf numFmtId="39" fontId="3" fillId="0" borderId="12" xfId="0" applyNumberFormat="1" applyFont="1" applyFill="1" applyBorder="1" applyAlignment="1" applyProtection="1">
      <alignment horizontal="justify" vertical="center"/>
    </xf>
    <xf numFmtId="3" fontId="3" fillId="0" borderId="12" xfId="0" applyNumberFormat="1" applyFont="1" applyFill="1" applyBorder="1" applyAlignment="1" applyProtection="1">
      <alignment horizontal="right" vertical="center"/>
    </xf>
    <xf numFmtId="39" fontId="17" fillId="0" borderId="1" xfId="0" applyNumberFormat="1" applyFont="1" applyFill="1" applyBorder="1" applyAlignment="1" applyProtection="1">
      <alignment horizontal="center" vertical="center"/>
      <protection locked="0"/>
    </xf>
    <xf numFmtId="39" fontId="17" fillId="0" borderId="1" xfId="0" applyNumberFormat="1" applyFont="1" applyFill="1" applyBorder="1" applyAlignment="1" applyProtection="1">
      <alignment horizontal="justify" vertical="center"/>
      <protection locked="0"/>
    </xf>
    <xf numFmtId="42" fontId="17" fillId="0" borderId="1" xfId="1" applyFont="1" applyFill="1" applyBorder="1" applyAlignment="1" applyProtection="1">
      <alignment horizontal="left" vertical="center"/>
    </xf>
    <xf numFmtId="174" fontId="15" fillId="0" borderId="1" xfId="0" applyNumberFormat="1" applyFont="1" applyFill="1" applyBorder="1" applyAlignment="1">
      <alignment vertical="center"/>
    </xf>
    <xf numFmtId="39" fontId="14" fillId="0" borderId="1" xfId="0" applyNumberFormat="1" applyFont="1" applyFill="1" applyBorder="1" applyAlignment="1" applyProtection="1">
      <alignment horizontal="justify" vertical="center"/>
    </xf>
    <xf numFmtId="39" fontId="14" fillId="0" borderId="1" xfId="0" applyNumberFormat="1" applyFont="1" applyFill="1" applyBorder="1" applyAlignment="1" applyProtection="1">
      <alignment horizontal="center" vertical="center"/>
    </xf>
    <xf numFmtId="174" fontId="14" fillId="0" borderId="1" xfId="0" applyNumberFormat="1" applyFont="1" applyFill="1" applyBorder="1" applyAlignment="1" applyProtection="1">
      <alignment vertical="center"/>
    </xf>
    <xf numFmtId="39" fontId="19" fillId="0" borderId="12" xfId="6" applyNumberFormat="1" applyFont="1" applyFill="1" applyBorder="1" applyAlignment="1" applyProtection="1">
      <alignment horizontal="center" vertical="center"/>
    </xf>
    <xf numFmtId="39" fontId="23" fillId="0" borderId="12" xfId="6" applyNumberFormat="1" applyFont="1" applyFill="1" applyBorder="1" applyAlignment="1" applyProtection="1">
      <alignment horizontal="center" vertical="center"/>
    </xf>
    <xf numFmtId="4" fontId="23" fillId="0" borderId="12" xfId="13" applyNumberFormat="1" applyFont="1" applyFill="1" applyBorder="1" applyAlignment="1" applyProtection="1">
      <alignment horizontal="center" vertical="center"/>
    </xf>
    <xf numFmtId="4" fontId="23" fillId="0" borderId="12" xfId="6" applyNumberFormat="1" applyFont="1" applyFill="1" applyBorder="1" applyAlignment="1" applyProtection="1">
      <alignment horizontal="center" vertical="center"/>
    </xf>
    <xf numFmtId="174" fontId="3" fillId="0" borderId="12" xfId="0" applyNumberFormat="1" applyFont="1" applyFill="1" applyBorder="1" applyAlignment="1" applyProtection="1">
      <alignment vertical="center"/>
    </xf>
    <xf numFmtId="39" fontId="15" fillId="0" borderId="1" xfId="0" applyNumberFormat="1" applyFont="1" applyFill="1" applyBorder="1" applyAlignment="1" applyProtection="1">
      <alignment horizontal="center" vertical="center"/>
    </xf>
    <xf numFmtId="39" fontId="16" fillId="9" borderId="39" xfId="0" applyNumberFormat="1" applyFont="1" applyFill="1" applyBorder="1" applyAlignment="1">
      <alignment horizontal="center" vertical="center"/>
    </xf>
    <xf numFmtId="39" fontId="16" fillId="7" borderId="39" xfId="16" applyNumberFormat="1" applyFont="1" applyFill="1" applyBorder="1" applyAlignment="1">
      <alignment horizontal="center" vertical="center"/>
    </xf>
    <xf numFmtId="39" fontId="16" fillId="6" borderId="39" xfId="0" applyNumberFormat="1" applyFont="1" applyFill="1" applyBorder="1" applyAlignment="1">
      <alignment horizontal="center" vertical="center"/>
    </xf>
    <xf numFmtId="49" fontId="15" fillId="5" borderId="39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/>
    </xf>
    <xf numFmtId="175" fontId="3" fillId="0" borderId="1" xfId="13" applyNumberFormat="1" applyFont="1" applyFill="1" applyBorder="1" applyAlignment="1">
      <alignment horizontal="center" vertical="center"/>
    </xf>
    <xf numFmtId="175" fontId="17" fillId="0" borderId="1" xfId="13" applyNumberFormat="1" applyFont="1" applyFill="1" applyBorder="1" applyAlignment="1" applyProtection="1">
      <alignment horizontal="center" vertical="center"/>
    </xf>
    <xf numFmtId="39" fontId="17" fillId="0" borderId="37" xfId="0" applyNumberFormat="1" applyFont="1" applyFill="1" applyBorder="1" applyAlignment="1" applyProtection="1">
      <alignment horizontal="center" vertical="center"/>
      <protection locked="0"/>
    </xf>
    <xf numFmtId="175" fontId="17" fillId="0" borderId="37" xfId="13" applyNumberFormat="1" applyFont="1" applyFill="1" applyBorder="1" applyAlignment="1" applyProtection="1">
      <alignment horizontal="center" vertical="center"/>
    </xf>
    <xf numFmtId="174" fontId="17" fillId="0" borderId="45" xfId="0" applyNumberFormat="1" applyFont="1" applyFill="1" applyBorder="1" applyAlignment="1">
      <alignment vertical="center"/>
    </xf>
    <xf numFmtId="39" fontId="3" fillId="0" borderId="1" xfId="0" applyNumberFormat="1" applyFont="1" applyFill="1" applyBorder="1" applyAlignment="1" applyProtection="1">
      <alignment horizontal="justify" vertical="center"/>
      <protection locked="0"/>
    </xf>
    <xf numFmtId="0" fontId="15" fillId="0" borderId="1" xfId="0" applyFont="1" applyFill="1" applyBorder="1" applyAlignment="1">
      <alignment horizontal="center" vertical="center"/>
    </xf>
    <xf numFmtId="39" fontId="45" fillId="0" borderId="1" xfId="0" applyNumberFormat="1" applyFont="1" applyFill="1" applyBorder="1" applyAlignment="1" applyProtection="1">
      <alignment horizontal="center" vertical="center"/>
      <protection locked="0"/>
    </xf>
    <xf numFmtId="4" fontId="23" fillId="0" borderId="1" xfId="6" applyNumberFormat="1" applyFont="1" applyFill="1" applyAlignment="1" applyProtection="1">
      <alignment horizontal="center" vertical="center"/>
    </xf>
    <xf numFmtId="39" fontId="23" fillId="0" borderId="12" xfId="0" applyNumberFormat="1" applyFont="1" applyFill="1" applyBorder="1" applyAlignment="1" applyProtection="1">
      <alignment horizontal="center" vertical="center"/>
    </xf>
    <xf numFmtId="4" fontId="23" fillId="0" borderId="6" xfId="0" applyNumberFormat="1" applyFont="1" applyFill="1" applyBorder="1" applyAlignment="1" applyProtection="1">
      <alignment horizontal="center" vertical="center"/>
    </xf>
    <xf numFmtId="182" fontId="23" fillId="0" borderId="1" xfId="0" applyNumberFormat="1" applyFont="1" applyFill="1" applyBorder="1" applyAlignment="1" applyProtection="1">
      <alignment horizontal="center" vertical="center"/>
    </xf>
    <xf numFmtId="183" fontId="23" fillId="0" borderId="1" xfId="0" applyNumberFormat="1" applyFont="1" applyFill="1" applyBorder="1" applyAlignment="1" applyProtection="1">
      <alignment horizontal="center" vertical="center"/>
    </xf>
    <xf numFmtId="39" fontId="19" fillId="0" borderId="37" xfId="0" applyNumberFormat="1" applyFont="1" applyFill="1" applyBorder="1" applyAlignment="1">
      <alignment horizontal="center" vertical="center"/>
    </xf>
    <xf numFmtId="184" fontId="23" fillId="0" borderId="1" xfId="0" applyNumberFormat="1" applyFont="1" applyFill="1" applyBorder="1" applyAlignment="1" applyProtection="1">
      <alignment horizontal="center" vertical="center"/>
    </xf>
    <xf numFmtId="42" fontId="21" fillId="0" borderId="1" xfId="6" applyNumberFormat="1" applyFont="1" applyFill="1" applyBorder="1" applyAlignment="1">
      <alignment vertical="center"/>
    </xf>
    <xf numFmtId="39" fontId="16" fillId="9" borderId="1" xfId="6" applyNumberFormat="1" applyFont="1" applyFill="1" applyBorder="1" applyAlignment="1">
      <alignment horizontal="center" vertical="center"/>
    </xf>
    <xf numFmtId="39" fontId="16" fillId="8" borderId="1" xfId="17" applyNumberFormat="1" applyFont="1" applyFill="1" applyBorder="1" applyAlignment="1">
      <alignment horizontal="center" vertical="center"/>
    </xf>
    <xf numFmtId="39" fontId="16" fillId="7" borderId="39" xfId="16" applyNumberFormat="1" applyFont="1" applyFill="1" applyBorder="1" applyAlignment="1">
      <alignment horizontal="center" vertical="center"/>
    </xf>
    <xf numFmtId="39" fontId="16" fillId="8" borderId="39" xfId="17" applyNumberFormat="1" applyFont="1" applyFill="1" applyBorder="1" applyAlignment="1">
      <alignment horizontal="center" vertical="center"/>
    </xf>
    <xf numFmtId="39" fontId="16" fillId="8" borderId="40" xfId="17" applyNumberFormat="1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/>
    </xf>
    <xf numFmtId="0" fontId="23" fillId="0" borderId="1" xfId="6" applyFont="1" applyFill="1" applyBorder="1" applyAlignment="1">
      <alignment horizontal="center" vertical="center"/>
    </xf>
    <xf numFmtId="0" fontId="4" fillId="11" borderId="2" xfId="3" applyFont="1" applyFill="1" applyBorder="1" applyAlignment="1">
      <alignment horizontal="center" vertical="center"/>
    </xf>
    <xf numFmtId="0" fontId="4" fillId="11" borderId="2" xfId="3" applyFont="1" applyFill="1" applyBorder="1" applyAlignment="1">
      <alignment horizontal="center" vertical="center" wrapText="1"/>
    </xf>
    <xf numFmtId="1" fontId="4" fillId="11" borderId="2" xfId="3" applyNumberFormat="1" applyFont="1" applyFill="1" applyBorder="1" applyAlignment="1">
      <alignment horizontal="center" vertical="center"/>
    </xf>
    <xf numFmtId="0" fontId="4" fillId="11" borderId="2" xfId="3" applyFont="1" applyFill="1" applyBorder="1" applyAlignment="1">
      <alignment horizontal="left" vertical="center" wrapText="1"/>
    </xf>
    <xf numFmtId="4" fontId="4" fillId="11" borderId="2" xfId="3" applyNumberFormat="1" applyFont="1" applyFill="1" applyBorder="1" applyAlignment="1">
      <alignment horizontal="center" vertical="center"/>
    </xf>
    <xf numFmtId="39" fontId="19" fillId="13" borderId="7" xfId="6" applyNumberFormat="1" applyFont="1" applyFill="1" applyBorder="1" applyAlignment="1" applyProtection="1">
      <alignment horizontal="center" vertical="center"/>
      <protection locked="0"/>
    </xf>
    <xf numFmtId="39" fontId="19" fillId="13" borderId="7" xfId="6" applyNumberFormat="1" applyFont="1" applyFill="1" applyBorder="1" applyAlignment="1" applyProtection="1">
      <alignment horizontal="justify" vertical="center"/>
      <protection locked="0"/>
    </xf>
    <xf numFmtId="4" fontId="19" fillId="13" borderId="7" xfId="13" applyNumberFormat="1" applyFont="1" applyFill="1" applyBorder="1" applyAlignment="1">
      <alignment horizontal="center" vertical="center"/>
    </xf>
    <xf numFmtId="42" fontId="19" fillId="13" borderId="7" xfId="1" applyFont="1" applyFill="1" applyBorder="1" applyAlignment="1" applyProtection="1">
      <alignment horizontal="left" vertical="center"/>
    </xf>
    <xf numFmtId="4" fontId="19" fillId="13" borderId="7" xfId="6" applyNumberFormat="1" applyFont="1" applyFill="1" applyBorder="1" applyAlignment="1">
      <alignment horizontal="center" vertical="center"/>
    </xf>
    <xf numFmtId="49" fontId="15" fillId="13" borderId="46" xfId="6" applyNumberFormat="1" applyFont="1" applyFill="1" applyBorder="1" applyAlignment="1" applyProtection="1">
      <alignment horizontal="center" vertical="center"/>
      <protection locked="0"/>
    </xf>
    <xf numFmtId="39" fontId="15" fillId="13" borderId="7" xfId="6" applyNumberFormat="1" applyFont="1" applyFill="1" applyBorder="1" applyAlignment="1" applyProtection="1">
      <alignment horizontal="center" vertical="center"/>
      <protection locked="0"/>
    </xf>
    <xf numFmtId="42" fontId="19" fillId="13" borderId="47" xfId="1" applyFont="1" applyFill="1" applyBorder="1" applyAlignment="1">
      <alignment vertical="center"/>
    </xf>
    <xf numFmtId="39" fontId="19" fillId="0" borderId="2" xfId="6" applyNumberFormat="1" applyFont="1" applyFill="1" applyBorder="1" applyAlignment="1" applyProtection="1">
      <alignment horizontal="center" vertical="center"/>
    </xf>
    <xf numFmtId="39" fontId="23" fillId="0" borderId="2" xfId="6" applyNumberFormat="1" applyFont="1" applyFill="1" applyBorder="1" applyAlignment="1" applyProtection="1">
      <alignment horizontal="justify" vertical="center"/>
    </xf>
    <xf numFmtId="39" fontId="23" fillId="0" borderId="2" xfId="6" applyNumberFormat="1" applyFont="1" applyFill="1" applyBorder="1" applyAlignment="1" applyProtection="1">
      <alignment horizontal="center" vertical="center"/>
    </xf>
    <xf numFmtId="4" fontId="23" fillId="0" borderId="2" xfId="13" applyNumberFormat="1" applyFont="1" applyFill="1" applyBorder="1" applyAlignment="1" applyProtection="1">
      <alignment horizontal="center" vertical="center"/>
    </xf>
    <xf numFmtId="42" fontId="23" fillId="0" borderId="2" xfId="1" applyFont="1" applyFill="1" applyBorder="1" applyAlignment="1" applyProtection="1">
      <alignment horizontal="left" vertical="center"/>
    </xf>
    <xf numFmtId="4" fontId="23" fillId="0" borderId="2" xfId="6" applyNumberFormat="1" applyFont="1" applyFill="1" applyBorder="1" applyAlignment="1" applyProtection="1">
      <alignment horizontal="center" vertical="center"/>
    </xf>
    <xf numFmtId="42" fontId="23" fillId="0" borderId="2" xfId="1" applyFont="1" applyFill="1" applyBorder="1" applyAlignment="1" applyProtection="1">
      <alignment vertical="center"/>
    </xf>
    <xf numFmtId="42" fontId="3" fillId="0" borderId="2" xfId="1" applyFont="1" applyFill="1" applyBorder="1" applyAlignment="1" applyProtection="1">
      <alignment vertical="center"/>
    </xf>
    <xf numFmtId="39" fontId="16" fillId="7" borderId="2" xfId="16" applyNumberFormat="1" applyFont="1" applyFill="1" applyBorder="1" applyAlignment="1">
      <alignment horizontal="center" vertical="center"/>
    </xf>
    <xf numFmtId="39" fontId="16" fillId="8" borderId="2" xfId="17" applyNumberFormat="1" applyFont="1" applyFill="1" applyBorder="1" applyAlignment="1">
      <alignment horizontal="center" vertical="center"/>
    </xf>
    <xf numFmtId="3" fontId="23" fillId="0" borderId="2" xfId="13" applyNumberFormat="1" applyFont="1" applyFill="1" applyBorder="1" applyAlignment="1" applyProtection="1">
      <alignment horizontal="center" vertical="center"/>
    </xf>
    <xf numFmtId="39" fontId="16" fillId="6" borderId="2" xfId="6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39" fontId="49" fillId="14" borderId="1" xfId="0" applyNumberFormat="1" applyFont="1" applyFill="1" applyBorder="1" applyAlignment="1">
      <alignment horizontal="center" vertical="center" textRotation="90"/>
    </xf>
    <xf numFmtId="39" fontId="17" fillId="0" borderId="0" xfId="0" applyNumberFormat="1" applyFont="1" applyAlignment="1">
      <alignment horizontal="center" vertical="center"/>
    </xf>
    <xf numFmtId="39" fontId="3" fillId="0" borderId="0" xfId="0" applyNumberFormat="1" applyFont="1" applyAlignment="1">
      <alignment horizontal="left" vertical="center"/>
    </xf>
    <xf numFmtId="39" fontId="3" fillId="0" borderId="0" xfId="0" applyNumberFormat="1" applyFont="1" applyAlignment="1">
      <alignment horizontal="center" vertical="center"/>
    </xf>
    <xf numFmtId="185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right" vertical="center"/>
    </xf>
    <xf numFmtId="186" fontId="3" fillId="0" borderId="0" xfId="0" applyNumberFormat="1" applyFont="1" applyAlignment="1">
      <alignment vertical="center"/>
    </xf>
    <xf numFmtId="0" fontId="50" fillId="15" borderId="1" xfId="0" applyFont="1" applyFill="1" applyBorder="1" applyAlignment="1">
      <alignment horizontal="center" vertical="center"/>
    </xf>
    <xf numFmtId="39" fontId="3" fillId="0" borderId="0" xfId="0" applyNumberFormat="1" applyFont="1" applyAlignment="1">
      <alignment horizontal="right" vertical="center"/>
    </xf>
    <xf numFmtId="187" fontId="3" fillId="0" borderId="0" xfId="0" applyNumberFormat="1" applyFont="1" applyAlignment="1">
      <alignment horizontal="center" vertical="center"/>
    </xf>
    <xf numFmtId="39" fontId="50" fillId="0" borderId="0" xfId="0" applyNumberFormat="1" applyFont="1" applyAlignment="1">
      <alignment horizontal="right" vertical="center"/>
    </xf>
    <xf numFmtId="39" fontId="49" fillId="16" borderId="1" xfId="0" applyNumberFormat="1" applyFont="1" applyFill="1" applyBorder="1" applyAlignment="1">
      <alignment horizontal="center" vertical="center"/>
    </xf>
    <xf numFmtId="39" fontId="49" fillId="17" borderId="1" xfId="0" applyNumberFormat="1" applyFont="1" applyFill="1" applyBorder="1" applyAlignment="1">
      <alignment horizontal="center" vertical="center"/>
    </xf>
    <xf numFmtId="39" fontId="17" fillId="0" borderId="48" xfId="0" applyNumberFormat="1" applyFont="1" applyBorder="1" applyAlignment="1">
      <alignment horizontal="center" vertical="center"/>
    </xf>
    <xf numFmtId="39" fontId="3" fillId="0" borderId="48" xfId="0" applyNumberFormat="1" applyFont="1" applyBorder="1" applyAlignment="1">
      <alignment horizontal="left" vertical="center"/>
    </xf>
    <xf numFmtId="39" fontId="3" fillId="0" borderId="48" xfId="0" applyNumberFormat="1" applyFont="1" applyBorder="1" applyAlignment="1">
      <alignment horizontal="center" vertical="center"/>
    </xf>
    <xf numFmtId="185" fontId="3" fillId="0" borderId="48" xfId="0" applyNumberFormat="1" applyFont="1" applyBorder="1" applyAlignment="1">
      <alignment horizontal="center" vertical="center"/>
    </xf>
    <xf numFmtId="3" fontId="3" fillId="0" borderId="48" xfId="0" applyNumberFormat="1" applyFont="1" applyBorder="1" applyAlignment="1">
      <alignment horizontal="right" vertical="center"/>
    </xf>
    <xf numFmtId="186" fontId="3" fillId="0" borderId="48" xfId="0" applyNumberFormat="1" applyFont="1" applyBorder="1" applyAlignment="1">
      <alignment vertical="center"/>
    </xf>
    <xf numFmtId="39" fontId="16" fillId="0" borderId="1" xfId="17" applyNumberFormat="1" applyFont="1" applyFill="1" applyBorder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39" fontId="50" fillId="0" borderId="0" xfId="0" applyNumberFormat="1" applyFont="1" applyAlignment="1">
      <alignment horizontal="center" vertical="center"/>
    </xf>
    <xf numFmtId="39" fontId="50" fillId="0" borderId="0" xfId="0" applyNumberFormat="1" applyFont="1" applyAlignment="1">
      <alignment horizontal="left" vertical="center"/>
    </xf>
    <xf numFmtId="185" fontId="17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right" vertical="center"/>
    </xf>
    <xf numFmtId="186" fontId="50" fillId="0" borderId="0" xfId="0" applyNumberFormat="1" applyFont="1" applyAlignment="1">
      <alignment vertical="center"/>
    </xf>
    <xf numFmtId="0" fontId="49" fillId="16" borderId="1" xfId="0" applyFont="1" applyFill="1" applyBorder="1" applyAlignment="1">
      <alignment horizontal="center" vertical="center" wrapText="1"/>
    </xf>
    <xf numFmtId="49" fontId="17" fillId="0" borderId="46" xfId="0" applyNumberFormat="1" applyFont="1" applyBorder="1" applyAlignment="1">
      <alignment horizontal="center" vertical="center"/>
    </xf>
    <xf numFmtId="39" fontId="50" fillId="0" borderId="7" xfId="0" applyNumberFormat="1" applyFont="1" applyBorder="1" applyAlignment="1">
      <alignment horizontal="center" vertical="center"/>
    </xf>
    <xf numFmtId="39" fontId="50" fillId="0" borderId="7" xfId="0" applyNumberFormat="1" applyFont="1" applyBorder="1" applyAlignment="1">
      <alignment horizontal="left" vertical="center"/>
    </xf>
    <xf numFmtId="185" fontId="17" fillId="0" borderId="7" xfId="0" applyNumberFormat="1" applyFont="1" applyBorder="1" applyAlignment="1">
      <alignment horizontal="center" vertical="center"/>
    </xf>
    <xf numFmtId="3" fontId="17" fillId="0" borderId="7" xfId="0" applyNumberFormat="1" applyFont="1" applyBorder="1" applyAlignment="1">
      <alignment horizontal="right" vertical="center"/>
    </xf>
    <xf numFmtId="39" fontId="17" fillId="0" borderId="7" xfId="0" applyNumberFormat="1" applyFont="1" applyBorder="1" applyAlignment="1">
      <alignment horizontal="center" vertical="center"/>
    </xf>
    <xf numFmtId="186" fontId="50" fillId="0" borderId="47" xfId="0" applyNumberFormat="1" applyFont="1" applyBorder="1" applyAlignment="1">
      <alignment vertical="center"/>
    </xf>
    <xf numFmtId="0" fontId="49" fillId="16" borderId="39" xfId="0" applyFont="1" applyFill="1" applyBorder="1" applyAlignment="1">
      <alignment horizontal="center" vertical="center" wrapText="1"/>
    </xf>
    <xf numFmtId="39" fontId="17" fillId="0" borderId="1" xfId="0" applyNumberFormat="1" applyFont="1" applyBorder="1" applyAlignment="1">
      <alignment horizontal="center" vertical="center"/>
    </xf>
    <xf numFmtId="39" fontId="3" fillId="0" borderId="1" xfId="0" applyNumberFormat="1" applyFont="1" applyBorder="1" applyAlignment="1">
      <alignment horizontal="left" vertical="center"/>
    </xf>
    <xf numFmtId="39" fontId="3" fillId="0" borderId="1" xfId="0" applyNumberFormat="1" applyFont="1" applyBorder="1" applyAlignment="1">
      <alignment horizontal="center" vertical="center"/>
    </xf>
    <xf numFmtId="185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182" fontId="3" fillId="0" borderId="1" xfId="0" applyNumberFormat="1" applyFont="1" applyBorder="1" applyAlignment="1">
      <alignment horizontal="center" vertical="center"/>
    </xf>
    <xf numFmtId="186" fontId="3" fillId="0" borderId="42" xfId="0" applyNumberFormat="1" applyFont="1" applyBorder="1" applyAlignment="1">
      <alignment vertical="center"/>
    </xf>
    <xf numFmtId="39" fontId="49" fillId="17" borderId="39" xfId="0" applyNumberFormat="1" applyFont="1" applyFill="1" applyBorder="1" applyAlignment="1">
      <alignment horizontal="center" vertical="center"/>
    </xf>
    <xf numFmtId="39" fontId="49" fillId="17" borderId="40" xfId="0" applyNumberFormat="1" applyFont="1" applyFill="1" applyBorder="1" applyAlignment="1">
      <alignment horizontal="center" vertical="center"/>
    </xf>
    <xf numFmtId="39" fontId="17" fillId="0" borderId="12" xfId="0" applyNumberFormat="1" applyFont="1" applyBorder="1" applyAlignment="1">
      <alignment horizontal="center" vertical="center"/>
    </xf>
    <xf numFmtId="39" fontId="3" fillId="0" borderId="12" xfId="0" applyNumberFormat="1" applyFont="1" applyBorder="1" applyAlignment="1">
      <alignment horizontal="left" vertical="center"/>
    </xf>
    <xf numFmtId="39" fontId="3" fillId="0" borderId="12" xfId="0" applyNumberFormat="1" applyFont="1" applyBorder="1" applyAlignment="1">
      <alignment horizontal="center" vertical="center"/>
    </xf>
    <xf numFmtId="185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186" fontId="3" fillId="0" borderId="43" xfId="0" applyNumberFormat="1" applyFont="1" applyBorder="1" applyAlignment="1">
      <alignment vertical="center"/>
    </xf>
    <xf numFmtId="39" fontId="17" fillId="0" borderId="0" xfId="0" applyNumberFormat="1" applyFont="1" applyAlignment="1">
      <alignment horizontal="left" vertical="center"/>
    </xf>
    <xf numFmtId="186" fontId="17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39" fontId="3" fillId="15" borderId="1" xfId="0" applyNumberFormat="1" applyFont="1" applyFill="1" applyBorder="1" applyAlignment="1">
      <alignment horizontal="left" vertical="center"/>
    </xf>
    <xf numFmtId="49" fontId="50" fillId="0" borderId="1" xfId="0" applyNumberFormat="1" applyFont="1" applyFill="1" applyBorder="1" applyAlignment="1">
      <alignment horizontal="center" vertical="center"/>
    </xf>
    <xf numFmtId="39" fontId="50" fillId="0" borderId="1" xfId="0" applyNumberFormat="1" applyFont="1" applyFill="1" applyBorder="1" applyAlignment="1">
      <alignment horizontal="center" vertical="center"/>
    </xf>
    <xf numFmtId="39" fontId="50" fillId="0" borderId="1" xfId="0" applyNumberFormat="1" applyFont="1" applyFill="1" applyBorder="1" applyAlignment="1">
      <alignment horizontal="left" vertical="center"/>
    </xf>
    <xf numFmtId="185" fontId="17" fillId="0" borderId="1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right" vertical="center"/>
    </xf>
    <xf numFmtId="39" fontId="17" fillId="0" borderId="1" xfId="0" applyNumberFormat="1" applyFont="1" applyFill="1" applyBorder="1" applyAlignment="1">
      <alignment horizontal="center" vertical="center"/>
    </xf>
    <xf numFmtId="186" fontId="50" fillId="0" borderId="1" xfId="0" applyNumberFormat="1" applyFont="1" applyFill="1" applyBorder="1" applyAlignment="1">
      <alignment vertical="center"/>
    </xf>
    <xf numFmtId="49" fontId="15" fillId="0" borderId="46" xfId="6" applyNumberFormat="1" applyFont="1" applyFill="1" applyBorder="1" applyAlignment="1" applyProtection="1">
      <alignment horizontal="center" vertical="center"/>
      <protection locked="0"/>
    </xf>
    <xf numFmtId="42" fontId="19" fillId="0" borderId="47" xfId="1" applyFont="1" applyFill="1" applyBorder="1" applyAlignment="1">
      <alignment vertical="center"/>
    </xf>
    <xf numFmtId="42" fontId="23" fillId="0" borderId="42" xfId="1" applyFont="1" applyFill="1" applyBorder="1" applyAlignment="1" applyProtection="1">
      <alignment vertical="center"/>
    </xf>
    <xf numFmtId="42" fontId="23" fillId="0" borderId="43" xfId="1" applyFont="1" applyFill="1" applyBorder="1" applyAlignment="1" applyProtection="1">
      <alignment vertical="center"/>
    </xf>
    <xf numFmtId="39" fontId="16" fillId="9" borderId="39" xfId="6" applyNumberFormat="1" applyFont="1" applyFill="1" applyBorder="1" applyAlignment="1">
      <alignment horizontal="center" vertical="center"/>
    </xf>
    <xf numFmtId="4" fontId="23" fillId="0" borderId="12" xfId="6" applyNumberFormat="1" applyFont="1" applyFill="1" applyBorder="1" applyAlignment="1">
      <alignment horizontal="center" vertical="center"/>
    </xf>
    <xf numFmtId="49" fontId="15" fillId="0" borderId="46" xfId="0" applyNumberFormat="1" applyFont="1" applyFill="1" applyBorder="1" applyAlignment="1" applyProtection="1">
      <alignment horizontal="center" vertical="center"/>
      <protection locked="0"/>
    </xf>
    <xf numFmtId="39" fontId="19" fillId="0" borderId="7" xfId="0" applyNumberFormat="1" applyFont="1" applyFill="1" applyBorder="1" applyAlignment="1">
      <alignment horizontal="center" vertical="center"/>
    </xf>
    <xf numFmtId="39" fontId="19" fillId="0" borderId="7" xfId="0" applyNumberFormat="1" applyFont="1" applyFill="1" applyBorder="1" applyAlignment="1" applyProtection="1">
      <alignment horizontal="justify" vertical="center"/>
      <protection locked="0"/>
    </xf>
    <xf numFmtId="39" fontId="19" fillId="0" borderId="7" xfId="0" applyNumberFormat="1" applyFont="1" applyFill="1" applyBorder="1" applyAlignment="1" applyProtection="1">
      <alignment horizontal="center" vertical="center"/>
      <protection locked="0"/>
    </xf>
    <xf numFmtId="4" fontId="19" fillId="0" borderId="7" xfId="0" applyNumberFormat="1" applyFont="1" applyFill="1" applyBorder="1" applyAlignment="1">
      <alignment horizontal="center" vertical="center"/>
    </xf>
    <xf numFmtId="39" fontId="19" fillId="0" borderId="12" xfId="0" applyNumberFormat="1" applyFont="1" applyFill="1" applyBorder="1" applyAlignment="1" applyProtection="1">
      <alignment horizontal="center" vertical="center"/>
    </xf>
    <xf numFmtId="39" fontId="23" fillId="0" borderId="12" xfId="0" applyNumberFormat="1" applyFont="1" applyFill="1" applyBorder="1" applyAlignment="1" applyProtection="1">
      <alignment horizontal="justify" vertical="center"/>
    </xf>
    <xf numFmtId="4" fontId="23" fillId="0" borderId="12" xfId="0" applyNumberFormat="1" applyFont="1" applyFill="1" applyBorder="1" applyAlignment="1" applyProtection="1">
      <alignment horizontal="center" vertical="center"/>
    </xf>
    <xf numFmtId="39" fontId="16" fillId="8" borderId="40" xfId="6" applyNumberFormat="1" applyFont="1" applyFill="1" applyBorder="1" applyAlignment="1">
      <alignment horizontal="center" vertical="center"/>
    </xf>
    <xf numFmtId="39" fontId="16" fillId="0" borderId="1" xfId="6" applyNumberFormat="1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vertical="center"/>
    </xf>
    <xf numFmtId="0" fontId="53" fillId="0" borderId="1" xfId="0" applyFont="1" applyBorder="1" applyAlignment="1">
      <alignment horizontal="center" vertical="center"/>
    </xf>
    <xf numFmtId="188" fontId="3" fillId="0" borderId="1" xfId="27" applyNumberFormat="1" applyFont="1" applyBorder="1" applyAlignment="1">
      <alignment horizontal="right" vertical="center"/>
    </xf>
    <xf numFmtId="39" fontId="49" fillId="18" borderId="1" xfId="0" applyNumberFormat="1" applyFont="1" applyFill="1" applyBorder="1" applyAlignment="1">
      <alignment vertical="center"/>
    </xf>
    <xf numFmtId="39" fontId="49" fillId="14" borderId="39" xfId="0" applyNumberFormat="1" applyFont="1" applyFill="1" applyBorder="1" applyAlignment="1">
      <alignment horizontal="center" vertical="center" textRotation="90"/>
    </xf>
    <xf numFmtId="39" fontId="49" fillId="18" borderId="40" xfId="0" applyNumberFormat="1" applyFont="1" applyFill="1" applyBorder="1" applyAlignment="1">
      <alignment vertical="center"/>
    </xf>
    <xf numFmtId="187" fontId="3" fillId="0" borderId="12" xfId="0" applyNumberFormat="1" applyFont="1" applyBorder="1" applyAlignment="1">
      <alignment horizontal="center" vertical="center"/>
    </xf>
    <xf numFmtId="188" fontId="3" fillId="0" borderId="12" xfId="27" applyNumberFormat="1" applyFont="1" applyBorder="1" applyAlignment="1">
      <alignment horizontal="right" vertical="center"/>
    </xf>
    <xf numFmtId="2" fontId="3" fillId="0" borderId="12" xfId="0" applyNumberFormat="1" applyFont="1" applyBorder="1" applyAlignment="1">
      <alignment horizontal="center" vertical="center"/>
    </xf>
    <xf numFmtId="49" fontId="17" fillId="0" borderId="46" xfId="0" applyNumberFormat="1" applyFont="1" applyFill="1" applyBorder="1" applyAlignment="1">
      <alignment horizontal="center" vertical="center"/>
    </xf>
    <xf numFmtId="39" fontId="17" fillId="0" borderId="7" xfId="0" applyNumberFormat="1" applyFont="1" applyFill="1" applyBorder="1" applyAlignment="1">
      <alignment horizontal="center" vertical="center"/>
    </xf>
    <xf numFmtId="39" fontId="17" fillId="0" borderId="7" xfId="0" applyNumberFormat="1" applyFont="1" applyFill="1" applyBorder="1" applyAlignment="1">
      <alignment horizontal="left" vertical="center" wrapText="1"/>
    </xf>
    <xf numFmtId="185" fontId="17" fillId="0" borderId="7" xfId="0" applyNumberFormat="1" applyFont="1" applyFill="1" applyBorder="1" applyAlignment="1">
      <alignment horizontal="center" vertical="center"/>
    </xf>
    <xf numFmtId="188" fontId="17" fillId="0" borderId="7" xfId="27" applyNumberFormat="1" applyFont="1" applyFill="1" applyBorder="1" applyAlignment="1">
      <alignment horizontal="right" vertical="center"/>
    </xf>
    <xf numFmtId="186" fontId="17" fillId="0" borderId="47" xfId="0" applyNumberFormat="1" applyFont="1" applyFill="1" applyBorder="1" applyAlignment="1">
      <alignment vertical="center"/>
    </xf>
    <xf numFmtId="39" fontId="49" fillId="14" borderId="1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3" fillId="0" borderId="0" xfId="0" applyFont="1" applyAlignment="1">
      <alignment vertical="center"/>
    </xf>
    <xf numFmtId="0" fontId="53" fillId="0" borderId="0" xfId="0" applyFont="1" applyAlignment="1">
      <alignment horizontal="center" vertical="center"/>
    </xf>
    <xf numFmtId="39" fontId="30" fillId="17" borderId="1" xfId="0" applyNumberFormat="1" applyFont="1" applyFill="1" applyBorder="1" applyAlignment="1">
      <alignment horizontal="center" vertical="center"/>
    </xf>
    <xf numFmtId="187" fontId="3" fillId="0" borderId="48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0" fontId="4" fillId="19" borderId="2" xfId="3" applyFont="1" applyFill="1" applyBorder="1" applyAlignment="1">
      <alignment horizontal="center" vertical="center"/>
    </xf>
    <xf numFmtId="0" fontId="4" fillId="19" borderId="2" xfId="3" applyFont="1" applyFill="1" applyBorder="1" applyAlignment="1">
      <alignment horizontal="left" vertical="center" wrapText="1"/>
    </xf>
    <xf numFmtId="4" fontId="4" fillId="19" borderId="2" xfId="3" applyNumberFormat="1" applyFont="1" applyFill="1" applyBorder="1" applyAlignment="1">
      <alignment horizontal="center" vertical="center"/>
    </xf>
    <xf numFmtId="0" fontId="4" fillId="19" borderId="2" xfId="0" applyFont="1" applyFill="1" applyBorder="1" applyAlignment="1">
      <alignment horizontal="left" vertical="center" wrapText="1"/>
    </xf>
    <xf numFmtId="42" fontId="15" fillId="0" borderId="47" xfId="1" applyFont="1" applyFill="1" applyBorder="1" applyAlignment="1">
      <alignment vertical="center"/>
    </xf>
    <xf numFmtId="42" fontId="3" fillId="0" borderId="42" xfId="1" applyFont="1" applyFill="1" applyBorder="1" applyAlignment="1" applyProtection="1">
      <alignment vertical="center"/>
    </xf>
    <xf numFmtId="42" fontId="3" fillId="0" borderId="12" xfId="1" applyFont="1" applyFill="1" applyBorder="1" applyAlignment="1" applyProtection="1">
      <alignment horizontal="right" vertical="center"/>
    </xf>
    <xf numFmtId="42" fontId="3" fillId="0" borderId="43" xfId="1" applyFont="1" applyFill="1" applyBorder="1" applyAlignment="1" applyProtection="1">
      <alignment vertical="center"/>
    </xf>
    <xf numFmtId="39" fontId="3" fillId="0" borderId="1" xfId="0" applyNumberFormat="1" applyFont="1" applyFill="1" applyBorder="1" applyAlignment="1">
      <alignment horizontal="left" vertical="center"/>
    </xf>
    <xf numFmtId="39" fontId="3" fillId="0" borderId="1" xfId="0" applyNumberFormat="1" applyFont="1" applyFill="1" applyBorder="1" applyAlignment="1">
      <alignment horizontal="center" vertical="center"/>
    </xf>
    <xf numFmtId="185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186" fontId="3" fillId="0" borderId="1" xfId="0" applyNumberFormat="1" applyFont="1" applyFill="1" applyBorder="1" applyAlignment="1">
      <alignment vertical="center"/>
    </xf>
    <xf numFmtId="39" fontId="17" fillId="0" borderId="0" xfId="0" applyNumberFormat="1" applyFont="1" applyFill="1" applyAlignment="1">
      <alignment horizontal="center" vertical="center"/>
    </xf>
    <xf numFmtId="39" fontId="3" fillId="0" borderId="0" xfId="0" applyNumberFormat="1" applyFont="1" applyFill="1" applyAlignment="1">
      <alignment horizontal="left" vertical="center"/>
    </xf>
    <xf numFmtId="39" fontId="3" fillId="0" borderId="0" xfId="0" applyNumberFormat="1" applyFont="1" applyFill="1" applyAlignment="1">
      <alignment horizontal="center" vertical="center"/>
    </xf>
    <xf numFmtId="185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right" vertical="center"/>
    </xf>
    <xf numFmtId="186" fontId="3" fillId="0" borderId="0" xfId="0" applyNumberFormat="1" applyFont="1" applyFill="1" applyAlignment="1">
      <alignment vertical="center"/>
    </xf>
    <xf numFmtId="39" fontId="16" fillId="6" borderId="39" xfId="6" applyNumberFormat="1" applyFont="1" applyFill="1" applyBorder="1" applyAlignment="1">
      <alignment horizontal="center" vertical="center"/>
    </xf>
    <xf numFmtId="39" fontId="16" fillId="7" borderId="40" xfId="16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39" fontId="54" fillId="15" borderId="1" xfId="0" applyNumberFormat="1" applyFont="1" applyFill="1" applyBorder="1" applyAlignment="1">
      <alignment horizontal="center" vertical="center"/>
    </xf>
    <xf numFmtId="39" fontId="3" fillId="15" borderId="1" xfId="0" applyNumberFormat="1" applyFont="1" applyFill="1" applyBorder="1" applyAlignment="1">
      <alignment horizontal="center" vertical="center"/>
    </xf>
    <xf numFmtId="185" fontId="3" fillId="15" borderId="1" xfId="0" applyNumberFormat="1" applyFont="1" applyFill="1" applyBorder="1" applyAlignment="1">
      <alignment horizontal="center" vertical="center"/>
    </xf>
    <xf numFmtId="186" fontId="3" fillId="15" borderId="1" xfId="0" applyNumberFormat="1" applyFont="1" applyFill="1" applyBorder="1" applyAlignment="1">
      <alignment horizontal="left" vertical="center"/>
    </xf>
    <xf numFmtId="186" fontId="3" fillId="15" borderId="1" xfId="0" applyNumberFormat="1" applyFont="1" applyFill="1" applyBorder="1" applyAlignment="1">
      <alignment vertical="center"/>
    </xf>
    <xf numFmtId="39" fontId="54" fillId="15" borderId="48" xfId="0" applyNumberFormat="1" applyFont="1" applyFill="1" applyBorder="1" applyAlignment="1">
      <alignment horizontal="center" vertical="center"/>
    </xf>
    <xf numFmtId="39" fontId="3" fillId="15" borderId="48" xfId="0" applyNumberFormat="1" applyFont="1" applyFill="1" applyBorder="1" applyAlignment="1">
      <alignment horizontal="left" vertical="center"/>
    </xf>
    <xf numFmtId="39" fontId="3" fillId="15" borderId="48" xfId="0" applyNumberFormat="1" applyFont="1" applyFill="1" applyBorder="1" applyAlignment="1">
      <alignment horizontal="center" vertical="center"/>
    </xf>
    <xf numFmtId="185" fontId="3" fillId="15" borderId="48" xfId="0" applyNumberFormat="1" applyFont="1" applyFill="1" applyBorder="1" applyAlignment="1">
      <alignment horizontal="center" vertical="center"/>
    </xf>
    <xf numFmtId="186" fontId="3" fillId="15" borderId="48" xfId="0" applyNumberFormat="1" applyFont="1" applyFill="1" applyBorder="1" applyAlignment="1">
      <alignment horizontal="left" vertical="center"/>
    </xf>
    <xf numFmtId="186" fontId="3" fillId="15" borderId="48" xfId="0" applyNumberFormat="1" applyFont="1" applyFill="1" applyBorder="1" applyAlignment="1">
      <alignment vertical="center"/>
    </xf>
    <xf numFmtId="0" fontId="25" fillId="0" borderId="0" xfId="0" applyFont="1" applyAlignment="1"/>
    <xf numFmtId="0" fontId="25" fillId="0" borderId="0" xfId="0" applyFont="1" applyFill="1" applyAlignment="1"/>
    <xf numFmtId="0" fontId="55" fillId="0" borderId="0" xfId="0" applyFont="1" applyAlignment="1"/>
    <xf numFmtId="4" fontId="25" fillId="0" borderId="0" xfId="0" applyNumberFormat="1" applyFont="1" applyAlignment="1"/>
    <xf numFmtId="170" fontId="56" fillId="0" borderId="2" xfId="5" applyNumberFormat="1" applyFont="1" applyFill="1" applyBorder="1" applyAlignment="1">
      <alignment horizontal="center" vertical="center"/>
    </xf>
    <xf numFmtId="10" fontId="56" fillId="0" borderId="2" xfId="2" applyNumberFormat="1" applyFont="1" applyFill="1" applyBorder="1" applyAlignment="1">
      <alignment horizontal="center" vertical="center"/>
    </xf>
    <xf numFmtId="167" fontId="6" fillId="0" borderId="2" xfId="3" applyNumberFormat="1" applyFont="1" applyFill="1" applyBorder="1" applyAlignment="1">
      <alignment horizontal="center" vertical="center"/>
    </xf>
    <xf numFmtId="39" fontId="6" fillId="0" borderId="2" xfId="0" applyNumberFormat="1" applyFont="1" applyFill="1" applyBorder="1" applyAlignment="1">
      <alignment horizontal="left" vertical="center" wrapText="1"/>
    </xf>
    <xf numFmtId="0" fontId="6" fillId="0" borderId="2" xfId="3" quotePrefix="1" applyFont="1" applyFill="1" applyBorder="1" applyAlignment="1">
      <alignment horizontal="center" vertical="center"/>
    </xf>
    <xf numFmtId="2" fontId="6" fillId="0" borderId="2" xfId="3" applyNumberFormat="1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left" vertical="center" wrapText="1"/>
    </xf>
    <xf numFmtId="4" fontId="19" fillId="0" borderId="1" xfId="6" applyNumberFormat="1" applyFont="1" applyFill="1" applyBorder="1">
      <alignment vertical="center"/>
    </xf>
    <xf numFmtId="39" fontId="16" fillId="0" borderId="1" xfId="6" applyNumberFormat="1" applyFont="1" applyFill="1" applyBorder="1" applyAlignment="1">
      <alignment vertical="center"/>
    </xf>
    <xf numFmtId="0" fontId="15" fillId="12" borderId="49" xfId="6" applyFont="1" applyFill="1" applyBorder="1" applyAlignment="1">
      <alignment horizontal="center" vertical="center"/>
    </xf>
    <xf numFmtId="0" fontId="19" fillId="12" borderId="50" xfId="6" applyFont="1" applyFill="1" applyBorder="1" applyAlignment="1">
      <alignment vertical="center"/>
    </xf>
    <xf numFmtId="0" fontId="19" fillId="12" borderId="50" xfId="6" applyFont="1" applyFill="1" applyBorder="1" applyAlignment="1">
      <alignment horizontal="left" vertical="center" wrapText="1"/>
    </xf>
    <xf numFmtId="0" fontId="19" fillId="12" borderId="50" xfId="6" applyFont="1" applyFill="1" applyBorder="1" applyAlignment="1">
      <alignment horizontal="center" vertical="center"/>
    </xf>
    <xf numFmtId="4" fontId="19" fillId="12" borderId="50" xfId="13" applyNumberFormat="1" applyFont="1" applyFill="1" applyBorder="1" applyAlignment="1">
      <alignment horizontal="center" vertical="center"/>
    </xf>
    <xf numFmtId="42" fontId="17" fillId="12" borderId="50" xfId="1" applyFont="1" applyFill="1" applyBorder="1" applyAlignment="1" applyProtection="1">
      <alignment horizontal="right" vertical="center"/>
    </xf>
    <xf numFmtId="4" fontId="19" fillId="12" borderId="50" xfId="6" applyNumberFormat="1" applyFont="1" applyFill="1" applyBorder="1" applyAlignment="1">
      <alignment vertical="center"/>
    </xf>
    <xf numFmtId="42" fontId="19" fillId="12" borderId="51" xfId="1" applyFont="1" applyFill="1" applyBorder="1" applyAlignment="1">
      <alignment vertical="center"/>
    </xf>
    <xf numFmtId="39" fontId="17" fillId="0" borderId="2" xfId="6" applyNumberFormat="1" applyFont="1" applyFill="1" applyBorder="1" applyAlignment="1" applyProtection="1">
      <alignment horizontal="center" vertical="center"/>
    </xf>
    <xf numFmtId="4" fontId="23" fillId="0" borderId="2" xfId="13" applyNumberFormat="1" applyFont="1" applyFill="1" applyBorder="1" applyAlignment="1">
      <alignment horizontal="center" vertical="center"/>
    </xf>
    <xf numFmtId="0" fontId="15" fillId="12" borderId="52" xfId="6" applyFont="1" applyFill="1" applyBorder="1" applyAlignment="1">
      <alignment horizontal="center" vertical="center"/>
    </xf>
    <xf numFmtId="0" fontId="19" fillId="12" borderId="53" xfId="6" applyFont="1" applyFill="1" applyBorder="1" applyAlignment="1">
      <alignment vertical="center"/>
    </xf>
    <xf numFmtId="0" fontId="19" fillId="12" borderId="53" xfId="6" applyFont="1" applyFill="1" applyBorder="1" applyAlignment="1">
      <alignment horizontal="left" vertical="center" wrapText="1"/>
    </xf>
    <xf numFmtId="0" fontId="19" fillId="12" borderId="53" xfId="6" applyFont="1" applyFill="1" applyBorder="1" applyAlignment="1">
      <alignment horizontal="center" vertical="center"/>
    </xf>
    <xf numFmtId="4" fontId="19" fillId="12" borderId="53" xfId="13" applyNumberFormat="1" applyFont="1" applyFill="1" applyBorder="1" applyAlignment="1">
      <alignment horizontal="center" vertical="center"/>
    </xf>
    <xf numFmtId="42" fontId="17" fillId="12" borderId="53" xfId="1" applyFont="1" applyFill="1" applyBorder="1" applyAlignment="1" applyProtection="1">
      <alignment horizontal="right" vertical="center"/>
    </xf>
    <xf numFmtId="4" fontId="19" fillId="12" borderId="53" xfId="6" applyNumberFormat="1" applyFont="1" applyFill="1" applyBorder="1" applyAlignment="1">
      <alignment vertical="center"/>
    </xf>
    <xf numFmtId="42" fontId="19" fillId="12" borderId="54" xfId="1" applyFont="1" applyFill="1" applyBorder="1" applyAlignment="1">
      <alignment vertical="center"/>
    </xf>
    <xf numFmtId="39" fontId="17" fillId="0" borderId="11" xfId="6" applyNumberFormat="1" applyFont="1" applyFill="1" applyBorder="1" applyAlignment="1" applyProtection="1">
      <alignment horizontal="center" vertical="center"/>
    </xf>
    <xf numFmtId="39" fontId="23" fillId="0" borderId="11" xfId="6" applyNumberFormat="1" applyFont="1" applyFill="1" applyBorder="1" applyAlignment="1" applyProtection="1">
      <alignment horizontal="justify" vertical="center"/>
    </xf>
    <xf numFmtId="0" fontId="23" fillId="0" borderId="11" xfId="6" applyFont="1" applyFill="1" applyBorder="1" applyAlignment="1">
      <alignment horizontal="center" vertical="center"/>
    </xf>
    <xf numFmtId="4" fontId="23" fillId="0" borderId="11" xfId="13" applyNumberFormat="1" applyFont="1" applyFill="1" applyBorder="1" applyAlignment="1">
      <alignment horizontal="center" vertical="center"/>
    </xf>
    <xf numFmtId="42" fontId="23" fillId="0" borderId="11" xfId="1" applyFont="1" applyFill="1" applyBorder="1" applyAlignment="1" applyProtection="1">
      <alignment horizontal="left" vertical="center"/>
    </xf>
    <xf numFmtId="4" fontId="23" fillId="0" borderId="11" xfId="6" applyNumberFormat="1" applyFont="1" applyFill="1" applyBorder="1" applyAlignment="1" applyProtection="1">
      <alignment horizontal="center" vertical="center"/>
    </xf>
    <xf numFmtId="42" fontId="3" fillId="0" borderId="11" xfId="1" applyFont="1" applyFill="1" applyBorder="1" applyAlignment="1" applyProtection="1">
      <alignment vertical="center"/>
    </xf>
    <xf numFmtId="49" fontId="15" fillId="12" borderId="13" xfId="6" applyNumberFormat="1" applyFont="1" applyFill="1" applyBorder="1" applyAlignment="1" applyProtection="1">
      <alignment horizontal="center" vertical="center"/>
      <protection locked="0"/>
    </xf>
    <xf numFmtId="39" fontId="19" fillId="12" borderId="36" xfId="6" applyNumberFormat="1" applyFont="1" applyFill="1" applyBorder="1" applyAlignment="1" applyProtection="1">
      <alignment horizontal="center" vertical="center"/>
      <protection locked="0"/>
    </xf>
    <xf numFmtId="39" fontId="19" fillId="12" borderId="36" xfId="6" applyNumberFormat="1" applyFont="1" applyFill="1" applyBorder="1" applyAlignment="1" applyProtection="1">
      <alignment horizontal="justify" vertical="center"/>
      <protection locked="0"/>
    </xf>
    <xf numFmtId="39" fontId="15" fillId="12" borderId="36" xfId="6" applyNumberFormat="1" applyFont="1" applyFill="1" applyBorder="1" applyAlignment="1" applyProtection="1">
      <alignment horizontal="center" vertical="center"/>
      <protection locked="0"/>
    </xf>
    <xf numFmtId="4" fontId="19" fillId="12" borderId="36" xfId="13" applyNumberFormat="1" applyFont="1" applyFill="1" applyBorder="1" applyAlignment="1">
      <alignment horizontal="center" vertical="center"/>
    </xf>
    <xf numFmtId="42" fontId="19" fillId="12" borderId="36" xfId="1" applyFont="1" applyFill="1" applyBorder="1" applyAlignment="1" applyProtection="1">
      <alignment horizontal="left" vertical="center"/>
    </xf>
    <xf numFmtId="4" fontId="19" fillId="12" borderId="36" xfId="6" applyNumberFormat="1" applyFont="1" applyFill="1" applyBorder="1" applyAlignment="1">
      <alignment horizontal="center" vertical="center"/>
    </xf>
    <xf numFmtId="42" fontId="19" fillId="12" borderId="16" xfId="1" applyFont="1" applyFill="1" applyBorder="1" applyAlignment="1">
      <alignment vertical="center"/>
    </xf>
    <xf numFmtId="39" fontId="19" fillId="0" borderId="11" xfId="6" applyNumberFormat="1" applyFont="1" applyFill="1" applyBorder="1" applyAlignment="1" applyProtection="1">
      <alignment horizontal="center" vertical="center"/>
    </xf>
    <xf numFmtId="39" fontId="23" fillId="0" borderId="11" xfId="6" applyNumberFormat="1" applyFont="1" applyFill="1" applyBorder="1" applyAlignment="1" applyProtection="1">
      <alignment horizontal="center" vertical="center"/>
    </xf>
    <xf numFmtId="4" fontId="23" fillId="0" borderId="11" xfId="13" applyNumberFormat="1" applyFont="1" applyFill="1" applyBorder="1" applyAlignment="1" applyProtection="1">
      <alignment horizontal="center" vertical="center"/>
    </xf>
    <xf numFmtId="42" fontId="23" fillId="0" borderId="11" xfId="1" applyFont="1" applyFill="1" applyBorder="1" applyAlignment="1" applyProtection="1">
      <alignment vertical="center"/>
    </xf>
    <xf numFmtId="0" fontId="44" fillId="20" borderId="0" xfId="0" applyFont="1" applyFill="1" applyAlignment="1"/>
    <xf numFmtId="0" fontId="7" fillId="20" borderId="0" xfId="0" applyFont="1" applyFill="1" applyAlignment="1"/>
    <xf numFmtId="0" fontId="57" fillId="0" borderId="1" xfId="3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1" xfId="3"/>
    <xf numFmtId="0" fontId="58" fillId="0" borderId="1" xfId="28" applyFont="1" applyAlignment="1">
      <alignment horizontal="left"/>
    </xf>
    <xf numFmtId="173" fontId="59" fillId="0" borderId="1" xfId="4" applyNumberFormat="1" applyFont="1" applyAlignment="1">
      <alignment horizontal="center" vertical="center" wrapText="1"/>
    </xf>
    <xf numFmtId="189" fontId="59" fillId="0" borderId="0" xfId="27" applyNumberFormat="1" applyFont="1" applyAlignment="1">
      <alignment horizontal="center" vertical="center" wrapText="1"/>
    </xf>
    <xf numFmtId="0" fontId="57" fillId="0" borderId="1" xfId="3" applyFont="1" applyAlignment="1">
      <alignment horizontal="right" vertical="center" wrapText="1"/>
    </xf>
    <xf numFmtId="0" fontId="53" fillId="0" borderId="1" xfId="29" applyFont="1"/>
    <xf numFmtId="0" fontId="54" fillId="0" borderId="0" xfId="0" applyFont="1" applyAlignment="1">
      <alignment horizontal="right" vertical="center"/>
    </xf>
    <xf numFmtId="190" fontId="57" fillId="0" borderId="0" xfId="0" applyNumberFormat="1" applyFont="1" applyAlignment="1">
      <alignment vertical="center"/>
    </xf>
    <xf numFmtId="189" fontId="57" fillId="0" borderId="0" xfId="27" applyNumberFormat="1" applyFont="1" applyAlignment="1">
      <alignment horizontal="center" vertical="center"/>
    </xf>
    <xf numFmtId="191" fontId="60" fillId="0" borderId="0" xfId="27" applyNumberFormat="1" applyFont="1"/>
    <xf numFmtId="0" fontId="60" fillId="0" borderId="0" xfId="0" applyFont="1"/>
    <xf numFmtId="39" fontId="14" fillId="0" borderId="1" xfId="6" applyNumberFormat="1" applyFont="1" applyFill="1" applyBorder="1" applyAlignment="1" applyProtection="1">
      <alignment horizontal="justify" vertical="center"/>
      <protection locked="0"/>
    </xf>
    <xf numFmtId="173" fontId="6" fillId="0" borderId="1" xfId="27" applyNumberFormat="1" applyFont="1" applyFill="1" applyBorder="1" applyAlignment="1">
      <alignment vertical="center"/>
    </xf>
    <xf numFmtId="173" fontId="59" fillId="0" borderId="0" xfId="27" applyNumberFormat="1" applyFont="1" applyAlignment="1">
      <alignment horizontal="center" vertical="center" wrapText="1"/>
    </xf>
    <xf numFmtId="173" fontId="57" fillId="0" borderId="0" xfId="27" applyNumberFormat="1" applyFont="1" applyAlignment="1">
      <alignment horizontal="center" vertical="center"/>
    </xf>
    <xf numFmtId="173" fontId="25" fillId="0" borderId="0" xfId="27" applyNumberFormat="1" applyFont="1" applyAlignment="1">
      <alignment vertical="center"/>
    </xf>
    <xf numFmtId="173" fontId="25" fillId="0" borderId="0" xfId="27" applyNumberFormat="1" applyFont="1" applyFill="1" applyAlignment="1">
      <alignment vertical="center"/>
    </xf>
    <xf numFmtId="173" fontId="25" fillId="0" borderId="0" xfId="27" applyNumberFormat="1" applyFont="1" applyAlignment="1"/>
    <xf numFmtId="39" fontId="16" fillId="6" borderId="39" xfId="6" applyNumberFormat="1" applyFont="1" applyFill="1" applyBorder="1" applyAlignment="1">
      <alignment horizontal="center" vertical="center"/>
    </xf>
    <xf numFmtId="39" fontId="16" fillId="7" borderId="39" xfId="16" applyNumberFormat="1" applyFont="1" applyFill="1" applyBorder="1" applyAlignment="1">
      <alignment horizontal="center" vertical="center"/>
    </xf>
    <xf numFmtId="0" fontId="23" fillId="0" borderId="1" xfId="6" applyFont="1" applyFill="1" applyBorder="1" applyAlignment="1">
      <alignment horizontal="center" vertical="center"/>
    </xf>
    <xf numFmtId="0" fontId="7" fillId="21" borderId="2" xfId="0" applyFont="1" applyFill="1" applyBorder="1" applyAlignment="1">
      <alignment horizontal="center" vertical="center"/>
    </xf>
    <xf numFmtId="192" fontId="37" fillId="0" borderId="1" xfId="2" applyNumberFormat="1" applyFont="1" applyBorder="1" applyAlignment="1">
      <alignment vertical="center"/>
    </xf>
    <xf numFmtId="170" fontId="25" fillId="0" borderId="0" xfId="0" applyNumberFormat="1" applyFont="1" applyAlignment="1"/>
    <xf numFmtId="0" fontId="7" fillId="0" borderId="0" xfId="0" applyFont="1"/>
    <xf numFmtId="173" fontId="25" fillId="0" borderId="0" xfId="0" applyNumberFormat="1" applyFont="1" applyFill="1" applyAlignment="1"/>
    <xf numFmtId="173" fontId="55" fillId="0" borderId="0" xfId="0" applyNumberFormat="1" applyFont="1" applyAlignment="1"/>
    <xf numFmtId="0" fontId="37" fillId="0" borderId="31" xfId="20" applyFont="1" applyFill="1" applyBorder="1" applyAlignment="1">
      <alignment vertical="center"/>
    </xf>
    <xf numFmtId="0" fontId="6" fillId="0" borderId="2" xfId="3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4" fillId="11" borderId="1" xfId="3" applyFont="1" applyFill="1" applyBorder="1" applyAlignment="1">
      <alignment horizontal="center" vertical="center" wrapText="1"/>
    </xf>
    <xf numFmtId="169" fontId="4" fillId="11" borderId="1" xfId="3" applyNumberFormat="1" applyFont="1" applyFill="1" applyBorder="1" applyAlignment="1">
      <alignment horizontal="center" vertical="center"/>
    </xf>
    <xf numFmtId="170" fontId="56" fillId="0" borderId="1" xfId="5" applyNumberFormat="1" applyFont="1" applyFill="1" applyBorder="1" applyAlignment="1">
      <alignment horizontal="center" vertical="center"/>
    </xf>
    <xf numFmtId="168" fontId="6" fillId="0" borderId="2" xfId="4" applyNumberFormat="1" applyFont="1" applyFill="1" applyBorder="1" applyAlignment="1">
      <alignment horizontal="center" vertical="center" wrapText="1"/>
    </xf>
    <xf numFmtId="168" fontId="4" fillId="11" borderId="2" xfId="1" applyNumberFormat="1" applyFont="1" applyFill="1" applyBorder="1" applyAlignment="1">
      <alignment horizontal="center" vertical="center" wrapText="1"/>
    </xf>
    <xf numFmtId="168" fontId="4" fillId="19" borderId="2" xfId="1" applyNumberFormat="1" applyFont="1" applyFill="1" applyBorder="1" applyAlignment="1">
      <alignment horizontal="center" vertical="center" wrapText="1"/>
    </xf>
    <xf numFmtId="168" fontId="6" fillId="0" borderId="2" xfId="1" applyNumberFormat="1" applyFont="1" applyFill="1" applyBorder="1" applyAlignment="1">
      <alignment horizontal="center" vertical="center" wrapText="1"/>
    </xf>
    <xf numFmtId="168" fontId="4" fillId="19" borderId="2" xfId="4" applyNumberFormat="1" applyFont="1" applyFill="1" applyBorder="1" applyAlignment="1">
      <alignment horizontal="center" vertical="center" wrapText="1"/>
    </xf>
    <xf numFmtId="168" fontId="6" fillId="0" borderId="1" xfId="4" applyNumberFormat="1" applyFont="1" applyFill="1" applyBorder="1" applyAlignment="1">
      <alignment horizontal="center" vertical="center" wrapText="1"/>
    </xf>
    <xf numFmtId="168" fontId="4" fillId="11" borderId="1" xfId="3" applyNumberFormat="1" applyFont="1" applyFill="1" applyBorder="1" applyAlignment="1">
      <alignment horizontal="center" vertical="center"/>
    </xf>
    <xf numFmtId="43" fontId="6" fillId="0" borderId="1" xfId="30" applyFont="1" applyFill="1" applyBorder="1" applyAlignment="1">
      <alignment horizontal="center" vertical="center" wrapText="1"/>
    </xf>
    <xf numFmtId="43" fontId="4" fillId="11" borderId="1" xfId="30" applyFont="1" applyFill="1" applyBorder="1" applyAlignment="1">
      <alignment horizontal="center" vertical="center"/>
    </xf>
    <xf numFmtId="43" fontId="4" fillId="19" borderId="1" xfId="30" applyFont="1" applyFill="1" applyBorder="1" applyAlignment="1">
      <alignment horizontal="center" vertical="center"/>
    </xf>
    <xf numFmtId="193" fontId="56" fillId="0" borderId="1" xfId="5" applyNumberFormat="1" applyFont="1" applyFill="1" applyBorder="1" applyAlignment="1">
      <alignment horizontal="center" vertical="center"/>
    </xf>
    <xf numFmtId="193" fontId="25" fillId="0" borderId="0" xfId="0" applyNumberFormat="1" applyFont="1" applyAlignment="1"/>
    <xf numFmtId="168" fontId="4" fillId="0" borderId="1" xfId="4" applyNumberFormat="1" applyFont="1" applyFill="1" applyBorder="1" applyAlignment="1">
      <alignment horizontal="center" vertical="center" wrapText="1"/>
    </xf>
    <xf numFmtId="165" fontId="25" fillId="0" borderId="0" xfId="27" applyNumberFormat="1" applyFont="1" applyAlignment="1"/>
    <xf numFmtId="193" fontId="56" fillId="0" borderId="2" xfId="5" applyNumberFormat="1" applyFont="1" applyFill="1" applyBorder="1" applyAlignment="1">
      <alignment horizontal="center" vertical="center"/>
    </xf>
    <xf numFmtId="168" fontId="4" fillId="11" borderId="2" xfId="3" applyNumberFormat="1" applyFont="1" applyFill="1" applyBorder="1" applyAlignment="1">
      <alignment horizontal="center" vertical="center"/>
    </xf>
    <xf numFmtId="168" fontId="4" fillId="11" borderId="2" xfId="4" applyNumberFormat="1" applyFont="1" applyFill="1" applyBorder="1" applyAlignment="1">
      <alignment horizontal="center" vertical="center" wrapText="1"/>
    </xf>
    <xf numFmtId="165" fontId="37" fillId="0" borderId="1" xfId="27" applyFont="1" applyBorder="1" applyAlignment="1">
      <alignment vertical="center"/>
    </xf>
    <xf numFmtId="181" fontId="38" fillId="0" borderId="1" xfId="20" applyNumberFormat="1" applyFont="1" applyBorder="1" applyAlignment="1">
      <alignment vertical="center"/>
    </xf>
    <xf numFmtId="181" fontId="37" fillId="0" borderId="1" xfId="20" applyNumberFormat="1" applyFont="1" applyBorder="1" applyAlignment="1">
      <alignment vertical="center"/>
    </xf>
    <xf numFmtId="173" fontId="59" fillId="0" borderId="1" xfId="4" applyNumberFormat="1" applyFont="1" applyBorder="1" applyAlignment="1">
      <alignment horizontal="center" vertical="center" wrapText="1"/>
    </xf>
    <xf numFmtId="191" fontId="60" fillId="0" borderId="1" xfId="27" applyNumberFormat="1" applyFont="1" applyBorder="1"/>
    <xf numFmtId="194" fontId="37" fillId="0" borderId="2" xfId="21" applyNumberFormat="1" applyFont="1" applyFill="1" applyBorder="1" applyAlignment="1">
      <alignment vertical="center"/>
    </xf>
    <xf numFmtId="10" fontId="37" fillId="0" borderId="2" xfId="2" applyNumberFormat="1" applyFont="1" applyFill="1" applyBorder="1" applyAlignment="1">
      <alignment horizontal="center" vertical="center"/>
    </xf>
    <xf numFmtId="194" fontId="37" fillId="0" borderId="21" xfId="20" applyNumberFormat="1" applyFont="1" applyFill="1" applyBorder="1" applyAlignment="1">
      <alignment vertical="center"/>
    </xf>
    <xf numFmtId="194" fontId="37" fillId="0" borderId="16" xfId="20" applyNumberFormat="1" applyFont="1" applyFill="1" applyBorder="1" applyAlignment="1">
      <alignment vertical="center"/>
    </xf>
    <xf numFmtId="194" fontId="37" fillId="0" borderId="2" xfId="20" applyNumberFormat="1" applyFont="1" applyFill="1" applyBorder="1" applyAlignment="1">
      <alignment horizontal="right" vertical="center"/>
    </xf>
    <xf numFmtId="194" fontId="37" fillId="0" borderId="23" xfId="20" applyNumberFormat="1" applyFont="1" applyFill="1" applyBorder="1" applyAlignment="1">
      <alignment horizontal="right" vertical="center"/>
    </xf>
    <xf numFmtId="10" fontId="37" fillId="0" borderId="23" xfId="2" applyNumberFormat="1" applyFont="1" applyFill="1" applyBorder="1" applyAlignment="1">
      <alignment horizontal="center" vertical="center"/>
    </xf>
    <xf numFmtId="194" fontId="37" fillId="0" borderId="21" xfId="20" applyNumberFormat="1" applyFont="1" applyFill="1" applyBorder="1" applyAlignment="1">
      <alignment horizontal="right" vertical="center"/>
    </xf>
    <xf numFmtId="194" fontId="37" fillId="0" borderId="24" xfId="20" applyNumberFormat="1" applyFont="1" applyFill="1" applyBorder="1" applyAlignment="1">
      <alignment horizontal="right" vertical="center"/>
    </xf>
    <xf numFmtId="195" fontId="37" fillId="0" borderId="2" xfId="23" applyNumberFormat="1" applyFont="1" applyBorder="1" applyAlignment="1">
      <alignment horizontal="center" vertical="center"/>
    </xf>
    <xf numFmtId="194" fontId="37" fillId="0" borderId="21" xfId="20" applyNumberFormat="1" applyFont="1" applyBorder="1" applyAlignment="1">
      <alignment vertical="center"/>
    </xf>
    <xf numFmtId="194" fontId="37" fillId="0" borderId="2" xfId="20" applyNumberFormat="1" applyFont="1" applyFill="1" applyBorder="1" applyAlignment="1">
      <alignment horizontal="center" vertical="center"/>
    </xf>
    <xf numFmtId="194" fontId="37" fillId="0" borderId="10" xfId="20" applyNumberFormat="1" applyFont="1" applyFill="1" applyBorder="1" applyAlignment="1">
      <alignment horizontal="center" vertical="center"/>
    </xf>
    <xf numFmtId="194" fontId="37" fillId="0" borderId="23" xfId="20" applyNumberFormat="1" applyFont="1" applyFill="1" applyBorder="1" applyAlignment="1">
      <alignment horizontal="center" vertical="center"/>
    </xf>
    <xf numFmtId="194" fontId="37" fillId="0" borderId="21" xfId="20" applyNumberFormat="1" applyFont="1" applyFill="1" applyBorder="1" applyAlignment="1">
      <alignment horizontal="center" vertical="center"/>
    </xf>
    <xf numFmtId="10" fontId="41" fillId="0" borderId="18" xfId="2" applyNumberFormat="1" applyFont="1" applyBorder="1" applyAlignment="1">
      <alignment horizontal="center" vertical="center"/>
    </xf>
    <xf numFmtId="179" fontId="41" fillId="0" borderId="19" xfId="20" applyNumberFormat="1" applyFont="1" applyFill="1" applyBorder="1" applyAlignment="1">
      <alignment vertical="center"/>
    </xf>
    <xf numFmtId="179" fontId="41" fillId="0" borderId="21" xfId="20" applyNumberFormat="1" applyFont="1" applyBorder="1" applyAlignment="1">
      <alignment vertical="center"/>
    </xf>
    <xf numFmtId="9" fontId="37" fillId="0" borderId="1" xfId="2" applyFont="1" applyBorder="1" applyAlignment="1">
      <alignment vertical="center"/>
    </xf>
    <xf numFmtId="173" fontId="56" fillId="0" borderId="1" xfId="27" applyNumberFormat="1" applyFont="1" applyFill="1" applyBorder="1" applyAlignment="1">
      <alignment horizontal="center" vertical="center"/>
    </xf>
    <xf numFmtId="10" fontId="56" fillId="0" borderId="1" xfId="2" applyNumberFormat="1" applyFont="1" applyFill="1" applyBorder="1" applyAlignment="1">
      <alignment horizontal="center" vertical="center"/>
    </xf>
    <xf numFmtId="0" fontId="37" fillId="0" borderId="13" xfId="31" applyFont="1" applyBorder="1" applyAlignment="1">
      <alignment vertical="center"/>
    </xf>
    <xf numFmtId="0" fontId="38" fillId="0" borderId="16" xfId="31" applyFont="1" applyBorder="1" applyAlignment="1">
      <alignment vertical="center" wrapText="1"/>
    </xf>
    <xf numFmtId="0" fontId="37" fillId="0" borderId="1" xfId="31" applyFont="1" applyAlignment="1">
      <alignment vertical="center"/>
    </xf>
    <xf numFmtId="0" fontId="3" fillId="0" borderId="1" xfId="31" applyAlignment="1">
      <alignment vertical="center"/>
    </xf>
    <xf numFmtId="0" fontId="19" fillId="10" borderId="32" xfId="32" applyFont="1" applyFill="1" applyBorder="1" applyAlignment="1">
      <alignment wrapText="1"/>
    </xf>
    <xf numFmtId="42" fontId="23" fillId="0" borderId="19" xfId="32" applyNumberFormat="1" applyFont="1" applyBorder="1" applyAlignment="1">
      <alignment horizontal="center" vertical="center"/>
    </xf>
    <xf numFmtId="0" fontId="23" fillId="0" borderId="1" xfId="32" applyFont="1"/>
    <xf numFmtId="0" fontId="19" fillId="10" borderId="33" xfId="32" applyFont="1" applyFill="1" applyBorder="1"/>
    <xf numFmtId="2" fontId="23" fillId="0" borderId="24" xfId="32" applyNumberFormat="1" applyFont="1" applyBorder="1" applyAlignment="1">
      <alignment horizontal="center"/>
    </xf>
    <xf numFmtId="0" fontId="19" fillId="10" borderId="17" xfId="32" applyFont="1" applyFill="1" applyBorder="1" applyAlignment="1">
      <alignment horizontal="center" vertical="center" wrapText="1"/>
    </xf>
    <xf numFmtId="0" fontId="19" fillId="10" borderId="18" xfId="32" applyFont="1" applyFill="1" applyBorder="1" applyAlignment="1">
      <alignment horizontal="center" vertical="center" wrapText="1"/>
    </xf>
    <xf numFmtId="0" fontId="19" fillId="10" borderId="19" xfId="32" applyFont="1" applyFill="1" applyBorder="1" applyAlignment="1">
      <alignment horizontal="center" vertical="center" wrapText="1"/>
    </xf>
    <xf numFmtId="0" fontId="23" fillId="0" borderId="20" xfId="32" applyFont="1" applyBorder="1"/>
    <xf numFmtId="42" fontId="23" fillId="0" borderId="2" xfId="33" applyFont="1" applyBorder="1"/>
    <xf numFmtId="9" fontId="23" fillId="0" borderId="2" xfId="34" applyFont="1" applyBorder="1" applyAlignment="1">
      <alignment horizontal="center"/>
    </xf>
    <xf numFmtId="2" fontId="23" fillId="0" borderId="2" xfId="32" applyNumberFormat="1" applyFont="1" applyBorder="1" applyAlignment="1">
      <alignment horizontal="center"/>
    </xf>
    <xf numFmtId="0" fontId="23" fillId="0" borderId="22" xfId="32" applyFont="1" applyBorder="1"/>
    <xf numFmtId="42" fontId="23" fillId="0" borderId="23" xfId="33" applyFont="1" applyBorder="1"/>
    <xf numFmtId="9" fontId="23" fillId="0" borderId="23" xfId="34" applyFont="1" applyBorder="1" applyAlignment="1">
      <alignment horizontal="center"/>
    </xf>
    <xf numFmtId="2" fontId="23" fillId="0" borderId="23" xfId="32" applyNumberFormat="1" applyFont="1" applyBorder="1" applyAlignment="1">
      <alignment horizontal="center"/>
    </xf>
    <xf numFmtId="43" fontId="23" fillId="0" borderId="16" xfId="18" applyNumberFormat="1" applyFont="1" applyBorder="1" applyAlignment="1">
      <alignment horizontal="right" vertical="center"/>
    </xf>
    <xf numFmtId="0" fontId="23" fillId="0" borderId="20" xfId="32" applyFont="1" applyBorder="1" applyAlignment="1">
      <alignment horizontal="left" vertical="center" wrapText="1"/>
    </xf>
    <xf numFmtId="42" fontId="23" fillId="0" borderId="2" xfId="33" applyFont="1" applyBorder="1" applyAlignment="1">
      <alignment horizontal="left" vertical="center" wrapText="1"/>
    </xf>
    <xf numFmtId="9" fontId="23" fillId="0" borderId="2" xfId="34" applyFont="1" applyBorder="1" applyAlignment="1">
      <alignment horizontal="center" vertical="center"/>
    </xf>
    <xf numFmtId="2" fontId="23" fillId="0" borderId="2" xfId="32" applyNumberFormat="1" applyFont="1" applyBorder="1" applyAlignment="1">
      <alignment horizontal="center" vertical="center"/>
    </xf>
    <xf numFmtId="0" fontId="19" fillId="0" borderId="1" xfId="32" applyFont="1"/>
    <xf numFmtId="42" fontId="19" fillId="0" borderId="1" xfId="32" applyNumberFormat="1" applyFont="1"/>
    <xf numFmtId="0" fontId="3" fillId="0" borderId="1" xfId="31" applyAlignment="1">
      <alignment horizontal="right" vertical="center"/>
    </xf>
    <xf numFmtId="10" fontId="19" fillId="0" borderId="23" xfId="34" applyNumberFormat="1" applyFont="1" applyFill="1" applyBorder="1" applyAlignment="1">
      <alignment horizontal="center" vertical="center"/>
    </xf>
    <xf numFmtId="173" fontId="3" fillId="0" borderId="0" xfId="27" applyNumberFormat="1" applyFont="1" applyAlignment="1">
      <alignment vertical="center" wrapText="1"/>
    </xf>
    <xf numFmtId="42" fontId="3" fillId="0" borderId="1" xfId="31" applyNumberFormat="1" applyAlignment="1">
      <alignment vertical="center"/>
    </xf>
    <xf numFmtId="196" fontId="3" fillId="0" borderId="1" xfId="31" applyNumberFormat="1" applyAlignment="1">
      <alignment vertical="center"/>
    </xf>
    <xf numFmtId="0" fontId="3" fillId="0" borderId="1" xfId="35" applyAlignment="1">
      <alignment horizontal="right"/>
    </xf>
    <xf numFmtId="0" fontId="3" fillId="0" borderId="1" xfId="32" applyFont="1" applyAlignment="1">
      <alignment horizontal="left" vertical="center"/>
    </xf>
    <xf numFmtId="0" fontId="3" fillId="0" borderId="1" xfId="35" applyAlignment="1">
      <alignment vertical="center"/>
    </xf>
    <xf numFmtId="0" fontId="17" fillId="0" borderId="1" xfId="35" applyFont="1" applyAlignment="1">
      <alignment horizontal="left" vertical="center"/>
    </xf>
    <xf numFmtId="0" fontId="3" fillId="0" borderId="1" xfId="35"/>
    <xf numFmtId="173" fontId="3" fillId="0" borderId="1" xfId="36" applyNumberFormat="1" applyFont="1" applyAlignment="1">
      <alignment horizontal="center" vertical="center" wrapText="1"/>
    </xf>
    <xf numFmtId="189" fontId="3" fillId="0" borderId="1" xfId="37" applyNumberFormat="1" applyFont="1" applyAlignment="1">
      <alignment horizontal="center" vertical="center" wrapText="1"/>
    </xf>
    <xf numFmtId="0" fontId="3" fillId="0" borderId="1" xfId="35" applyAlignment="1">
      <alignment horizontal="right" vertical="center" wrapText="1"/>
    </xf>
    <xf numFmtId="0" fontId="17" fillId="0" borderId="1" xfId="32" applyFont="1" applyAlignment="1">
      <alignment vertical="center" wrapText="1"/>
    </xf>
    <xf numFmtId="0" fontId="3" fillId="0" borderId="1" xfId="35" applyAlignment="1">
      <alignment horizontal="left" vertical="center"/>
    </xf>
    <xf numFmtId="0" fontId="53" fillId="0" borderId="1" xfId="38" applyAlignment="1">
      <alignment vertical="center"/>
    </xf>
    <xf numFmtId="0" fontId="3" fillId="0" borderId="1" xfId="32" applyFont="1" applyAlignment="1">
      <alignment vertical="center" wrapText="1"/>
    </xf>
    <xf numFmtId="0" fontId="3" fillId="0" borderId="1" xfId="35" applyAlignment="1">
      <alignment horizontal="center" vertical="center" wrapText="1"/>
    </xf>
    <xf numFmtId="0" fontId="17" fillId="0" borderId="1" xfId="32" applyFont="1" applyAlignment="1">
      <alignment horizontal="right" vertical="center"/>
    </xf>
    <xf numFmtId="0" fontId="3" fillId="0" borderId="1" xfId="32" applyFont="1" applyAlignment="1">
      <alignment wrapText="1"/>
    </xf>
    <xf numFmtId="0" fontId="3" fillId="0" borderId="1" xfId="32" applyFont="1"/>
    <xf numFmtId="0" fontId="3" fillId="0" borderId="1" xfId="32" applyFont="1" applyAlignment="1">
      <alignment horizontal="center" vertical="center"/>
    </xf>
    <xf numFmtId="190" fontId="3" fillId="0" borderId="1" xfId="32" applyNumberFormat="1" applyFont="1" applyAlignment="1">
      <alignment vertical="center"/>
    </xf>
    <xf numFmtId="189" fontId="3" fillId="0" borderId="1" xfId="37" applyNumberFormat="1" applyFont="1" applyAlignment="1">
      <alignment horizontal="center" vertical="center"/>
    </xf>
    <xf numFmtId="191" fontId="3" fillId="0" borderId="1" xfId="37" applyNumberFormat="1" applyFont="1"/>
    <xf numFmtId="191" fontId="3" fillId="0" borderId="1" xfId="32" applyNumberFormat="1" applyFont="1" applyAlignment="1">
      <alignment vertical="center"/>
    </xf>
    <xf numFmtId="197" fontId="23" fillId="0" borderId="21" xfId="32" applyNumberFormat="1" applyFont="1" applyBorder="1"/>
    <xf numFmtId="197" fontId="23" fillId="0" borderId="24" xfId="32" applyNumberFormat="1" applyFont="1" applyBorder="1"/>
    <xf numFmtId="44" fontId="19" fillId="0" borderId="5" xfId="8" applyNumberFormat="1" applyFont="1" applyBorder="1"/>
    <xf numFmtId="197" fontId="23" fillId="0" borderId="5" xfId="32" applyNumberFormat="1" applyFont="1" applyBorder="1"/>
    <xf numFmtId="197" fontId="23" fillId="0" borderId="21" xfId="33" applyNumberFormat="1" applyFont="1" applyBorder="1"/>
    <xf numFmtId="197" fontId="23" fillId="0" borderId="19" xfId="32" applyNumberFormat="1" applyFont="1" applyBorder="1"/>
    <xf numFmtId="197" fontId="19" fillId="0" borderId="24" xfId="32" applyNumberFormat="1" applyFont="1" applyBorder="1"/>
    <xf numFmtId="179" fontId="38" fillId="0" borderId="24" xfId="20" applyNumberFormat="1" applyFont="1" applyBorder="1" applyAlignment="1">
      <alignment vertical="center"/>
    </xf>
    <xf numFmtId="0" fontId="63" fillId="0" borderId="1" xfId="39" applyAlignment="1">
      <alignment horizontal="center" vertical="center"/>
    </xf>
    <xf numFmtId="0" fontId="11" fillId="11" borderId="2" xfId="39" applyFont="1" applyFill="1" applyBorder="1" applyAlignment="1">
      <alignment horizontal="center" vertical="center"/>
    </xf>
    <xf numFmtId="0" fontId="11" fillId="0" borderId="1" xfId="39" applyFont="1" applyAlignment="1">
      <alignment horizontal="center" vertical="center"/>
    </xf>
    <xf numFmtId="0" fontId="11" fillId="0" borderId="2" xfId="39" applyFont="1" applyBorder="1" applyAlignment="1">
      <alignment horizontal="center" vertical="center"/>
    </xf>
    <xf numFmtId="0" fontId="11" fillId="0" borderId="2" xfId="39" applyFont="1" applyBorder="1" applyAlignment="1">
      <alignment horizontal="left" vertical="center"/>
    </xf>
    <xf numFmtId="9" fontId="11" fillId="0" borderId="2" xfId="34" applyFont="1" applyBorder="1" applyAlignment="1">
      <alignment horizontal="center" vertical="center"/>
    </xf>
    <xf numFmtId="0" fontId="63" fillId="0" borderId="1" xfId="39" applyAlignment="1">
      <alignment horizontal="left" vertical="center"/>
    </xf>
    <xf numFmtId="9" fontId="63" fillId="0" borderId="1" xfId="34" applyFont="1" applyAlignment="1">
      <alignment horizontal="center" vertical="center"/>
    </xf>
    <xf numFmtId="10" fontId="11" fillId="0" borderId="2" xfId="34" applyNumberFormat="1" applyFont="1" applyBorder="1" applyAlignment="1">
      <alignment horizontal="center" vertical="center"/>
    </xf>
    <xf numFmtId="0" fontId="63" fillId="0" borderId="2" xfId="39" applyBorder="1" applyAlignment="1">
      <alignment horizontal="center" vertical="center"/>
    </xf>
    <xf numFmtId="0" fontId="63" fillId="0" borderId="2" xfId="39" applyBorder="1" applyAlignment="1">
      <alignment horizontal="left" vertical="center"/>
    </xf>
    <xf numFmtId="10" fontId="63" fillId="0" borderId="2" xfId="34" applyNumberFormat="1" applyFont="1" applyBorder="1" applyAlignment="1">
      <alignment horizontal="center" vertical="center"/>
    </xf>
    <xf numFmtId="10" fontId="63" fillId="0" borderId="1" xfId="34" applyNumberFormat="1" applyFont="1" applyAlignment="1">
      <alignment horizontal="center" vertical="center"/>
    </xf>
    <xf numFmtId="1" fontId="11" fillId="0" borderId="2" xfId="39" applyNumberFormat="1" applyFont="1" applyBorder="1" applyAlignment="1">
      <alignment horizontal="center" vertical="center"/>
    </xf>
    <xf numFmtId="0" fontId="63" fillId="0" borderId="2" xfId="39" applyBorder="1" applyAlignment="1">
      <alignment vertical="center"/>
    </xf>
    <xf numFmtId="10" fontId="63" fillId="0" borderId="2" xfId="26" applyNumberFormat="1" applyFont="1" applyFill="1" applyBorder="1" applyAlignment="1">
      <alignment horizontal="center" vertical="center"/>
    </xf>
    <xf numFmtId="10" fontId="63" fillId="0" borderId="2" xfId="26" applyNumberFormat="1" applyFont="1" applyBorder="1" applyAlignment="1">
      <alignment horizontal="center" vertical="center"/>
    </xf>
    <xf numFmtId="173" fontId="63" fillId="0" borderId="1" xfId="8" applyNumberFormat="1" applyFont="1" applyAlignment="1">
      <alignment horizontal="center" vertical="center"/>
    </xf>
    <xf numFmtId="173" fontId="63" fillId="0" borderId="1" xfId="39" applyNumberFormat="1" applyAlignment="1">
      <alignment horizontal="center" vertical="center"/>
    </xf>
    <xf numFmtId="1" fontId="63" fillId="0" borderId="2" xfId="39" applyNumberFormat="1" applyBorder="1" applyAlignment="1">
      <alignment horizontal="center" vertical="center"/>
    </xf>
    <xf numFmtId="0" fontId="63" fillId="0" borderId="2" xfId="39" applyBorder="1" applyAlignment="1">
      <alignment horizontal="left" vertical="center" wrapText="1"/>
    </xf>
    <xf numFmtId="0" fontId="63" fillId="0" borderId="2" xfId="39" applyBorder="1" applyAlignment="1">
      <alignment vertical="center" wrapText="1"/>
    </xf>
    <xf numFmtId="10" fontId="63" fillId="0" borderId="2" xfId="39" applyNumberFormat="1" applyBorder="1" applyAlignment="1">
      <alignment horizontal="center" vertical="center"/>
    </xf>
    <xf numFmtId="0" fontId="63" fillId="0" borderId="1" xfId="39" applyAlignment="1">
      <alignment vertical="center" wrapText="1"/>
    </xf>
    <xf numFmtId="10" fontId="63" fillId="0" borderId="1" xfId="39" applyNumberFormat="1" applyAlignment="1">
      <alignment horizontal="center" vertical="center"/>
    </xf>
    <xf numFmtId="0" fontId="63" fillId="0" borderId="1" xfId="39" applyAlignment="1">
      <alignment vertical="center"/>
    </xf>
    <xf numFmtId="0" fontId="11" fillId="0" borderId="2" xfId="39" applyFont="1" applyBorder="1" applyAlignment="1">
      <alignment vertical="center"/>
    </xf>
    <xf numFmtId="10" fontId="11" fillId="0" borderId="2" xfId="39" applyNumberFormat="1" applyFont="1" applyBorder="1" applyAlignment="1">
      <alignment horizontal="center" vertical="center"/>
    </xf>
    <xf numFmtId="10" fontId="11" fillId="0" borderId="1" xfId="39" applyNumberFormat="1" applyFont="1" applyAlignment="1">
      <alignment horizontal="center" vertical="center"/>
    </xf>
    <xf numFmtId="198" fontId="63" fillId="0" borderId="1" xfId="18" applyNumberFormat="1" applyFont="1" applyAlignment="1">
      <alignment horizontal="center" vertical="center"/>
    </xf>
    <xf numFmtId="173" fontId="3" fillId="0" borderId="0" xfId="27" applyNumberFormat="1" applyFont="1" applyAlignment="1">
      <alignment horizontal="left" vertical="top"/>
    </xf>
    <xf numFmtId="0" fontId="4" fillId="0" borderId="2" xfId="3" applyFont="1" applyBorder="1" applyAlignment="1">
      <alignment horizontal="center" wrapText="1"/>
    </xf>
    <xf numFmtId="0" fontId="6" fillId="0" borderId="2" xfId="3" applyFont="1" applyFill="1" applyBorder="1" applyAlignment="1">
      <alignment horizontal="left" vertical="center" wrapText="1"/>
    </xf>
    <xf numFmtId="0" fontId="4" fillId="0" borderId="2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 wrapText="1"/>
    </xf>
    <xf numFmtId="0" fontId="56" fillId="0" borderId="2" xfId="3" applyFont="1" applyFill="1" applyBorder="1" applyAlignment="1">
      <alignment horizontal="right" vertical="center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" xfId="28" applyFont="1" applyAlignment="1">
      <alignment horizontal="left"/>
    </xf>
    <xf numFmtId="0" fontId="3" fillId="0" borderId="1" xfId="3" applyFont="1" applyAlignment="1">
      <alignment horizontal="left" vertical="center" wrapText="1"/>
    </xf>
    <xf numFmtId="0" fontId="17" fillId="0" borderId="1" xfId="28" applyFont="1" applyAlignment="1">
      <alignment horizontal="left"/>
    </xf>
    <xf numFmtId="0" fontId="16" fillId="7" borderId="39" xfId="16" applyFont="1" applyFill="1" applyBorder="1" applyAlignment="1">
      <alignment horizontal="center" vertical="center" wrapText="1"/>
    </xf>
    <xf numFmtId="39" fontId="16" fillId="6" borderId="39" xfId="6" applyNumberFormat="1" applyFont="1" applyFill="1" applyBorder="1" applyAlignment="1">
      <alignment horizontal="center" vertical="center"/>
    </xf>
    <xf numFmtId="39" fontId="16" fillId="6" borderId="1" xfId="6" applyNumberFormat="1" applyFont="1" applyFill="1" applyBorder="1" applyAlignment="1">
      <alignment horizontal="center" vertical="center"/>
    </xf>
    <xf numFmtId="39" fontId="16" fillId="6" borderId="39" xfId="0" applyNumberFormat="1" applyFont="1" applyFill="1" applyBorder="1" applyAlignment="1">
      <alignment horizontal="center" vertical="center"/>
    </xf>
    <xf numFmtId="39" fontId="16" fillId="8" borderId="1" xfId="6" applyNumberFormat="1" applyFont="1" applyFill="1" applyBorder="1" applyAlignment="1">
      <alignment horizontal="center" vertical="center"/>
    </xf>
    <xf numFmtId="39" fontId="16" fillId="8" borderId="12" xfId="6" applyNumberFormat="1" applyFont="1" applyFill="1" applyBorder="1" applyAlignment="1">
      <alignment horizontal="center" vertical="center"/>
    </xf>
    <xf numFmtId="0" fontId="16" fillId="9" borderId="1" xfId="16" applyFont="1" applyFill="1" applyBorder="1" applyAlignment="1">
      <alignment horizontal="center" vertical="center" wrapText="1"/>
    </xf>
    <xf numFmtId="39" fontId="16" fillId="8" borderId="39" xfId="17" applyNumberFormat="1" applyFont="1" applyFill="1" applyBorder="1" applyAlignment="1">
      <alignment horizontal="center" vertical="center"/>
    </xf>
    <xf numFmtId="39" fontId="16" fillId="8" borderId="40" xfId="17" applyNumberFormat="1" applyFont="1" applyFill="1" applyBorder="1" applyAlignment="1">
      <alignment horizontal="center" vertical="center"/>
    </xf>
    <xf numFmtId="0" fontId="16" fillId="9" borderId="39" xfId="16" applyFont="1" applyFill="1" applyBorder="1" applyAlignment="1">
      <alignment horizontal="center" vertical="center" wrapText="1"/>
    </xf>
    <xf numFmtId="39" fontId="16" fillId="7" borderId="39" xfId="16" applyNumberFormat="1" applyFont="1" applyFill="1" applyBorder="1" applyAlignment="1">
      <alignment horizontal="center" vertical="center"/>
    </xf>
    <xf numFmtId="0" fontId="17" fillId="0" borderId="13" xfId="6" applyFont="1" applyFill="1" applyBorder="1" applyAlignment="1">
      <alignment horizontal="center" vertical="center"/>
    </xf>
    <xf numFmtId="0" fontId="17" fillId="0" borderId="36" xfId="6" applyFont="1" applyFill="1" applyBorder="1" applyAlignment="1">
      <alignment horizontal="center" vertical="center"/>
    </xf>
    <xf numFmtId="0" fontId="11" fillId="0" borderId="36" xfId="6" applyFont="1" applyFill="1" applyBorder="1" applyAlignment="1">
      <alignment horizontal="center" vertical="center" wrapText="1"/>
    </xf>
    <xf numFmtId="4" fontId="19" fillId="0" borderId="36" xfId="6" applyNumberFormat="1" applyFont="1" applyFill="1" applyBorder="1" applyAlignment="1">
      <alignment horizontal="center" vertical="center"/>
    </xf>
    <xf numFmtId="4" fontId="19" fillId="0" borderId="16" xfId="6" applyNumberFormat="1" applyFont="1" applyFill="1" applyBorder="1" applyAlignment="1">
      <alignment horizontal="center" vertical="center"/>
    </xf>
    <xf numFmtId="0" fontId="16" fillId="7" borderId="1" xfId="16" applyFont="1" applyFill="1" applyBorder="1" applyAlignment="1">
      <alignment horizontal="center" vertical="center" wrapText="1"/>
    </xf>
    <xf numFmtId="0" fontId="14" fillId="6" borderId="1" xfId="6" applyFont="1" applyFill="1" applyBorder="1" applyAlignment="1">
      <alignment horizontal="center" vertical="center"/>
    </xf>
    <xf numFmtId="0" fontId="14" fillId="6" borderId="12" xfId="6" applyFont="1" applyFill="1" applyBorder="1" applyAlignment="1">
      <alignment horizontal="center" vertical="center"/>
    </xf>
    <xf numFmtId="39" fontId="16" fillId="6" borderId="2" xfId="6" applyNumberFormat="1" applyFont="1" applyFill="1" applyBorder="1" applyAlignment="1">
      <alignment horizontal="center" vertical="center"/>
    </xf>
    <xf numFmtId="39" fontId="16" fillId="8" borderId="39" xfId="6" applyNumberFormat="1" applyFont="1" applyFill="1" applyBorder="1" applyAlignment="1">
      <alignment horizontal="center" vertical="center"/>
    </xf>
    <xf numFmtId="39" fontId="16" fillId="8" borderId="40" xfId="6" applyNumberFormat="1" applyFont="1" applyFill="1" applyBorder="1" applyAlignment="1">
      <alignment horizontal="center" vertical="center"/>
    </xf>
    <xf numFmtId="39" fontId="16" fillId="9" borderId="1" xfId="6" applyNumberFormat="1" applyFont="1" applyFill="1" applyBorder="1" applyAlignment="1">
      <alignment horizontal="center" vertical="center"/>
    </xf>
    <xf numFmtId="39" fontId="16" fillId="8" borderId="1" xfId="17" applyNumberFormat="1" applyFont="1" applyFill="1" applyBorder="1" applyAlignment="1">
      <alignment horizontal="center" vertical="center"/>
    </xf>
    <xf numFmtId="0" fontId="16" fillId="8" borderId="1" xfId="6" applyFont="1" applyFill="1" applyBorder="1" applyAlignment="1">
      <alignment horizontal="center" vertical="center"/>
    </xf>
    <xf numFmtId="0" fontId="16" fillId="8" borderId="12" xfId="6" applyFont="1" applyFill="1" applyBorder="1" applyAlignment="1">
      <alignment horizontal="center" vertical="center"/>
    </xf>
    <xf numFmtId="39" fontId="31" fillId="8" borderId="1" xfId="6" applyNumberFormat="1" applyFont="1" applyFill="1" applyBorder="1" applyAlignment="1">
      <alignment horizontal="center" vertical="center"/>
    </xf>
    <xf numFmtId="39" fontId="16" fillId="6" borderId="11" xfId="6" applyNumberFormat="1" applyFont="1" applyFill="1" applyBorder="1" applyAlignment="1">
      <alignment horizontal="center" vertical="center"/>
    </xf>
    <xf numFmtId="39" fontId="16" fillId="6" borderId="50" xfId="6" applyNumberFormat="1" applyFont="1" applyFill="1" applyBorder="1" applyAlignment="1">
      <alignment horizontal="center" vertical="center"/>
    </xf>
    <xf numFmtId="39" fontId="16" fillId="6" borderId="55" xfId="6" applyNumberFormat="1" applyFont="1" applyFill="1" applyBorder="1" applyAlignment="1">
      <alignment horizontal="center" vertical="center"/>
    </xf>
    <xf numFmtId="0" fontId="41" fillId="0" borderId="22" xfId="20" applyFont="1" applyBorder="1" applyAlignment="1">
      <alignment horizontal="right" vertical="center"/>
    </xf>
    <xf numFmtId="0" fontId="41" fillId="0" borderId="23" xfId="20" applyFont="1" applyBorder="1" applyAlignment="1">
      <alignment horizontal="right" vertical="center"/>
    </xf>
    <xf numFmtId="0" fontId="43" fillId="11" borderId="13" xfId="15" applyFont="1" applyFill="1" applyBorder="1" applyAlignment="1">
      <alignment horizontal="left" vertical="center" wrapText="1"/>
    </xf>
    <xf numFmtId="0" fontId="43" fillId="11" borderId="36" xfId="15" applyFont="1" applyFill="1" applyBorder="1" applyAlignment="1">
      <alignment horizontal="left" vertical="center" wrapText="1"/>
    </xf>
    <xf numFmtId="10" fontId="37" fillId="0" borderId="3" xfId="22" applyNumberFormat="1" applyFont="1" applyFill="1" applyBorder="1" applyAlignment="1">
      <alignment horizontal="center" vertical="center"/>
    </xf>
    <xf numFmtId="10" fontId="37" fillId="0" borderId="28" xfId="22" applyNumberFormat="1" applyFont="1" applyFill="1" applyBorder="1" applyAlignment="1">
      <alignment horizontal="center" vertical="center"/>
    </xf>
    <xf numFmtId="10" fontId="37" fillId="0" borderId="29" xfId="22" applyNumberFormat="1" applyFont="1" applyFill="1" applyBorder="1" applyAlignment="1">
      <alignment horizontal="center" vertical="center"/>
    </xf>
    <xf numFmtId="10" fontId="37" fillId="0" borderId="30" xfId="22" applyNumberFormat="1" applyFont="1" applyFill="1" applyBorder="1" applyAlignment="1">
      <alignment horizontal="center" vertical="center"/>
    </xf>
    <xf numFmtId="0" fontId="41" fillId="0" borderId="17" xfId="20" applyFont="1" applyBorder="1" applyAlignment="1">
      <alignment horizontal="right" vertical="center"/>
    </xf>
    <xf numFmtId="0" fontId="41" fillId="0" borderId="18" xfId="20" applyFont="1" applyBorder="1" applyAlignment="1">
      <alignment horizontal="right" vertical="center"/>
    </xf>
    <xf numFmtId="0" fontId="41" fillId="0" borderId="20" xfId="20" applyFont="1" applyBorder="1" applyAlignment="1">
      <alignment horizontal="right" vertical="center"/>
    </xf>
    <xf numFmtId="0" fontId="41" fillId="0" borderId="2" xfId="20" applyFont="1" applyBorder="1" applyAlignment="1">
      <alignment horizontal="right" vertical="center"/>
    </xf>
    <xf numFmtId="0" fontId="38" fillId="0" borderId="14" xfId="20" applyFont="1" applyBorder="1" applyAlignment="1">
      <alignment horizontal="center" vertical="center" wrapText="1"/>
    </xf>
    <xf numFmtId="0" fontId="38" fillId="0" borderId="4" xfId="20" applyFont="1" applyBorder="1" applyAlignment="1">
      <alignment horizontal="center" vertical="center" wrapText="1"/>
    </xf>
    <xf numFmtId="0" fontId="38" fillId="0" borderId="15" xfId="20" applyFont="1" applyBorder="1" applyAlignment="1">
      <alignment horizontal="center" vertical="center" wrapText="1"/>
    </xf>
    <xf numFmtId="0" fontId="40" fillId="11" borderId="17" xfId="20" applyFont="1" applyFill="1" applyBorder="1" applyAlignment="1">
      <alignment horizontal="center" vertical="center" wrapText="1"/>
    </xf>
    <xf numFmtId="0" fontId="40" fillId="11" borderId="20" xfId="20" applyFont="1" applyFill="1" applyBorder="1" applyAlignment="1">
      <alignment horizontal="center" vertical="center" wrapText="1"/>
    </xf>
    <xf numFmtId="0" fontId="40" fillId="11" borderId="22" xfId="20" applyFont="1" applyFill="1" applyBorder="1" applyAlignment="1">
      <alignment horizontal="center" vertical="center" wrapText="1"/>
    </xf>
    <xf numFmtId="0" fontId="38" fillId="11" borderId="26" xfId="20" applyFont="1" applyFill="1" applyBorder="1" applyAlignment="1">
      <alignment horizontal="center" vertical="center" wrapText="1"/>
    </xf>
    <xf numFmtId="0" fontId="38" fillId="11" borderId="27" xfId="20" applyFont="1" applyFill="1" applyBorder="1" applyAlignment="1">
      <alignment horizontal="center" vertical="center" wrapText="1"/>
    </xf>
    <xf numFmtId="180" fontId="37" fillId="0" borderId="3" xfId="22" applyNumberFormat="1" applyFont="1" applyFill="1" applyBorder="1" applyAlignment="1">
      <alignment horizontal="center" vertical="center"/>
    </xf>
    <xf numFmtId="180" fontId="37" fillId="0" borderId="28" xfId="22" applyNumberFormat="1" applyFont="1" applyFill="1" applyBorder="1" applyAlignment="1">
      <alignment horizontal="center" vertical="center"/>
    </xf>
    <xf numFmtId="0" fontId="3" fillId="0" borderId="1" xfId="35" applyAlignment="1">
      <alignment horizontal="left" vertical="center" wrapText="1"/>
    </xf>
    <xf numFmtId="0" fontId="62" fillId="10" borderId="56" xfId="32" applyFont="1" applyFill="1" applyBorder="1" applyAlignment="1">
      <alignment horizontal="right" vertical="center" wrapText="1"/>
    </xf>
    <xf numFmtId="0" fontId="62" fillId="10" borderId="4" xfId="32" applyFont="1" applyFill="1" applyBorder="1" applyAlignment="1">
      <alignment horizontal="right" vertical="center" wrapText="1"/>
    </xf>
    <xf numFmtId="0" fontId="62" fillId="10" borderId="15" xfId="32" applyFont="1" applyFill="1" applyBorder="1" applyAlignment="1">
      <alignment horizontal="right" vertical="center" wrapText="1"/>
    </xf>
    <xf numFmtId="0" fontId="19" fillId="0" borderId="56" xfId="32" applyFont="1" applyBorder="1" applyAlignment="1">
      <alignment horizontal="right"/>
    </xf>
    <xf numFmtId="0" fontId="19" fillId="0" borderId="4" xfId="32" applyFont="1" applyBorder="1" applyAlignment="1">
      <alignment horizontal="right"/>
    </xf>
    <xf numFmtId="0" fontId="19" fillId="0" borderId="57" xfId="32" applyFont="1" applyBorder="1" applyAlignment="1">
      <alignment horizontal="right"/>
    </xf>
    <xf numFmtId="0" fontId="62" fillId="0" borderId="32" xfId="32" applyFont="1" applyBorder="1" applyAlignment="1">
      <alignment horizontal="right"/>
    </xf>
    <xf numFmtId="0" fontId="62" fillId="0" borderId="58" xfId="32" applyFont="1" applyBorder="1" applyAlignment="1">
      <alignment horizontal="right"/>
    </xf>
    <xf numFmtId="0" fontId="62" fillId="0" borderId="27" xfId="32" applyFont="1" applyBorder="1" applyAlignment="1">
      <alignment horizontal="right"/>
    </xf>
    <xf numFmtId="0" fontId="62" fillId="0" borderId="59" xfId="32" applyFont="1" applyBorder="1" applyAlignment="1">
      <alignment horizontal="right"/>
    </xf>
    <xf numFmtId="0" fontId="62" fillId="0" borderId="60" xfId="32" applyFont="1" applyBorder="1" applyAlignment="1">
      <alignment horizontal="right"/>
    </xf>
    <xf numFmtId="0" fontId="62" fillId="0" borderId="28" xfId="32" applyFont="1" applyBorder="1" applyAlignment="1">
      <alignment horizontal="right"/>
    </xf>
    <xf numFmtId="0" fontId="62" fillId="0" borderId="33" xfId="32" applyFont="1" applyBorder="1" applyAlignment="1">
      <alignment horizontal="right" vertical="center"/>
    </xf>
    <xf numFmtId="0" fontId="62" fillId="0" borderId="34" xfId="32" applyFont="1" applyBorder="1" applyAlignment="1">
      <alignment horizontal="right" vertical="center"/>
    </xf>
    <xf numFmtId="0" fontId="62" fillId="0" borderId="30" xfId="32" applyFont="1" applyBorder="1" applyAlignment="1">
      <alignment horizontal="right" vertical="center"/>
    </xf>
    <xf numFmtId="0" fontId="56" fillId="0" borderId="14" xfId="31" applyFont="1" applyBorder="1" applyAlignment="1">
      <alignment horizontal="center" vertical="center" wrapText="1"/>
    </xf>
    <xf numFmtId="0" fontId="56" fillId="0" borderId="4" xfId="31" applyFont="1" applyBorder="1" applyAlignment="1">
      <alignment horizontal="center" vertical="center" wrapText="1"/>
    </xf>
    <xf numFmtId="0" fontId="56" fillId="0" borderId="15" xfId="31" applyFont="1" applyBorder="1" applyAlignment="1">
      <alignment horizontal="center" vertical="center" wrapText="1"/>
    </xf>
    <xf numFmtId="0" fontId="23" fillId="0" borderId="56" xfId="32" applyFont="1" applyBorder="1" applyAlignment="1">
      <alignment horizontal="right"/>
    </xf>
    <xf numFmtId="0" fontId="23" fillId="0" borderId="4" xfId="32" applyFont="1" applyBorder="1" applyAlignment="1">
      <alignment horizontal="right"/>
    </xf>
    <xf numFmtId="0" fontId="23" fillId="0" borderId="57" xfId="32" applyFont="1" applyBorder="1" applyAlignment="1">
      <alignment horizontal="right"/>
    </xf>
    <xf numFmtId="0" fontId="11" fillId="11" borderId="2" xfId="39" applyFont="1" applyFill="1" applyBorder="1" applyAlignment="1">
      <alignment horizontal="center" vertical="center" wrapText="1"/>
    </xf>
    <xf numFmtId="0" fontId="19" fillId="0" borderId="1" xfId="6" applyFont="1" applyFill="1" applyBorder="1" applyAlignment="1">
      <alignment horizontal="center" vertical="center"/>
    </xf>
    <xf numFmtId="0" fontId="23" fillId="0" borderId="1" xfId="6" applyFont="1" applyFill="1" applyBorder="1" applyAlignment="1">
      <alignment horizontal="center" vertical="center"/>
    </xf>
    <xf numFmtId="0" fontId="19" fillId="0" borderId="2" xfId="7" applyFont="1" applyFill="1" applyBorder="1" applyAlignment="1">
      <alignment horizontal="center" vertical="center"/>
    </xf>
    <xf numFmtId="0" fontId="35" fillId="0" borderId="1" xfId="6" applyFont="1" applyFill="1" applyBorder="1" applyAlignment="1">
      <alignment horizontal="center" vertical="center"/>
    </xf>
    <xf numFmtId="0" fontId="32" fillId="0" borderId="9" xfId="6" applyFont="1" applyFill="1" applyBorder="1" applyAlignment="1">
      <alignment horizontal="center" vertical="center"/>
    </xf>
    <xf numFmtId="0" fontId="26" fillId="0" borderId="1" xfId="6" applyFont="1" applyFill="1" applyBorder="1" applyAlignment="1">
      <alignment horizontal="center" vertical="center"/>
    </xf>
    <xf numFmtId="0" fontId="36" fillId="0" borderId="1" xfId="6" applyFont="1" applyFill="1" applyBorder="1" applyAlignment="1">
      <alignment horizontal="center" vertical="center"/>
    </xf>
    <xf numFmtId="0" fontId="36" fillId="0" borderId="1" xfId="6" applyFont="1" applyFill="1" applyBorder="1" applyAlignment="1">
      <alignment horizontal="center" vertical="center" wrapText="1"/>
    </xf>
  </cellXfs>
  <cellStyles count="40">
    <cellStyle name="Énfasis3 2" xfId="17" xr:uid="{00000000-0005-0000-0000-000000000000}"/>
    <cellStyle name="Énfasis4 2" xfId="16" xr:uid="{00000000-0005-0000-0000-000001000000}"/>
    <cellStyle name="Millares" xfId="30" builtinId="3"/>
    <cellStyle name="Millares [0] 2" xfId="10" xr:uid="{00000000-0005-0000-0000-000002000000}"/>
    <cellStyle name="Millares 2" xfId="13" xr:uid="{00000000-0005-0000-0000-000003000000}"/>
    <cellStyle name="Millares 2 2" xfId="19" xr:uid="{00000000-0005-0000-0000-000004000000}"/>
    <cellStyle name="Millares 3" xfId="18" xr:uid="{00000000-0005-0000-0000-000005000000}"/>
    <cellStyle name="Moneda" xfId="27" builtinId="4"/>
    <cellStyle name="Moneda [0]" xfId="1" builtinId="7"/>
    <cellStyle name="Moneda [0] 2" xfId="14" xr:uid="{00000000-0005-0000-0000-000008000000}"/>
    <cellStyle name="Moneda [0] 2 2" xfId="33" xr:uid="{210A975E-8E50-47FB-B81F-F21B66B28A48}"/>
    <cellStyle name="Moneda [0] 3" xfId="23" xr:uid="{00000000-0005-0000-0000-000009000000}"/>
    <cellStyle name="Moneda [0] 4" xfId="25" xr:uid="{00000000-0005-0000-0000-00000A000000}"/>
    <cellStyle name="Moneda 2" xfId="4" xr:uid="{00000000-0005-0000-0000-00000B000000}"/>
    <cellStyle name="Moneda 2 10 2" xfId="21" xr:uid="{00000000-0005-0000-0000-00000C000000}"/>
    <cellStyle name="Moneda 2 2" xfId="36" xr:uid="{FA47949A-1FD1-4291-9FF1-5EE0003D76B4}"/>
    <cellStyle name="Moneda 3" xfId="8" xr:uid="{00000000-0005-0000-0000-00000D000000}"/>
    <cellStyle name="Moneda 3 2" xfId="37" xr:uid="{891E4EC9-3278-4764-8717-401BB5995126}"/>
    <cellStyle name="Moneda 3 2 4" xfId="5" xr:uid="{00000000-0005-0000-0000-00000E000000}"/>
    <cellStyle name="Moneda 4" xfId="11" xr:uid="{00000000-0005-0000-0000-00000F000000}"/>
    <cellStyle name="Normal" xfId="0" builtinId="0"/>
    <cellStyle name="Normal 2" xfId="6" xr:uid="{00000000-0005-0000-0000-000011000000}"/>
    <cellStyle name="Normal 2 10" xfId="20" xr:uid="{00000000-0005-0000-0000-000012000000}"/>
    <cellStyle name="Normal 2 10 2" xfId="31" xr:uid="{B29B34DF-312A-4EFA-AA91-402E6F9E9A7F}"/>
    <cellStyle name="Normal 2 2" xfId="3" xr:uid="{00000000-0005-0000-0000-000013000000}"/>
    <cellStyle name="Normal 2 2 10" xfId="28" xr:uid="{00000000-0005-0000-0000-000014000000}"/>
    <cellStyle name="Normal 2 2 10 2" xfId="35" xr:uid="{31F32104-3A86-4F2D-9459-4A53A779386A}"/>
    <cellStyle name="Normal 2 3" xfId="15" xr:uid="{00000000-0005-0000-0000-000015000000}"/>
    <cellStyle name="Normal 3" xfId="39" xr:uid="{50D7B947-16E1-4512-B982-6B1D580EFD6C}"/>
    <cellStyle name="Normal 4" xfId="7" xr:uid="{00000000-0005-0000-0000-000016000000}"/>
    <cellStyle name="Normal 58 2" xfId="29" xr:uid="{00000000-0005-0000-0000-000017000000}"/>
    <cellStyle name="Normal 58 2 2" xfId="38" xr:uid="{03DAAF5E-739D-46D7-8F1E-CE1FF2C6A829}"/>
    <cellStyle name="Normal 6" xfId="32" xr:uid="{B28023E9-0EAA-425D-802B-EABD64E1359C}"/>
    <cellStyle name="Porcentaje" xfId="2" builtinId="5"/>
    <cellStyle name="Porcentaje 2" xfId="12" xr:uid="{00000000-0005-0000-0000-000019000000}"/>
    <cellStyle name="Porcentaje 2 2" xfId="24" xr:uid="{00000000-0005-0000-0000-00001A000000}"/>
    <cellStyle name="Porcentaje 2 3 2" xfId="34" xr:uid="{FC1897A9-3746-4EBB-A787-7596585AAE27}"/>
    <cellStyle name="Porcentaje 3" xfId="26" xr:uid="{00000000-0005-0000-0000-00001B000000}"/>
    <cellStyle name="Porcentaje 4 2" xfId="22" xr:uid="{00000000-0005-0000-0000-00001C000000}"/>
    <cellStyle name="Porcentual 3" xfId="9" xr:uid="{00000000-0005-0000-0000-00001D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1</xdr:row>
      <xdr:rowOff>333375</xdr:rowOff>
    </xdr:from>
    <xdr:to>
      <xdr:col>2</xdr:col>
      <xdr:colOff>3469114</xdr:colOff>
      <xdr:row>1</xdr:row>
      <xdr:rowOff>1158240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" y="514350"/>
          <a:ext cx="3935840" cy="819150"/>
        </a:xfrm>
        <a:prstGeom prst="rect">
          <a:avLst/>
        </a:prstGeom>
      </xdr:spPr>
    </xdr:pic>
    <xdr:clientData/>
  </xdr:twoCellAnchor>
  <xdr:twoCellAnchor>
    <xdr:from>
      <xdr:col>2</xdr:col>
      <xdr:colOff>186689</xdr:colOff>
      <xdr:row>89</xdr:row>
      <xdr:rowOff>76201</xdr:rowOff>
    </xdr:from>
    <xdr:to>
      <xdr:col>2</xdr:col>
      <xdr:colOff>2066924</xdr:colOff>
      <xdr:row>94</xdr:row>
      <xdr:rowOff>22623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6D0325-76D8-4EA3-BDC8-358B4D480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39139" y="20383501"/>
          <a:ext cx="1880235" cy="870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120015</xdr:colOff>
      <xdr:row>89</xdr:row>
      <xdr:rowOff>161925</xdr:rowOff>
    </xdr:from>
    <xdr:to>
      <xdr:col>5</xdr:col>
      <xdr:colOff>497205</xdr:colOff>
      <xdr:row>94</xdr:row>
      <xdr:rowOff>20305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A7246AB-0FAE-49AE-82E0-A86D2522B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49115" y="20469225"/>
          <a:ext cx="1891665" cy="7746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156433</xdr:colOff>
      <xdr:row>0</xdr:row>
      <xdr:rowOff>63648</xdr:rowOff>
    </xdr:from>
    <xdr:to>
      <xdr:col>8</xdr:col>
      <xdr:colOff>621742</xdr:colOff>
      <xdr:row>0</xdr:row>
      <xdr:rowOff>842681</xdr:rowOff>
    </xdr:to>
    <xdr:pic>
      <xdr:nvPicPr>
        <xdr:cNvPr id="2" name="Imagen 1" descr="Portal Gobernación de Risaral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91" r="10695"/>
        <a:stretch/>
      </xdr:blipFill>
      <xdr:spPr bwMode="auto">
        <a:xfrm>
          <a:off x="8108127" y="63648"/>
          <a:ext cx="2043097" cy="779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502919</xdr:colOff>
      <xdr:row>0</xdr:row>
      <xdr:rowOff>52387</xdr:rowOff>
    </xdr:from>
    <xdr:to>
      <xdr:col>2</xdr:col>
      <xdr:colOff>394446</xdr:colOff>
      <xdr:row>0</xdr:row>
      <xdr:rowOff>841375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0" r="28500"/>
        <a:stretch>
          <a:fillRect/>
        </a:stretch>
      </xdr:blipFill>
      <xdr:spPr bwMode="auto">
        <a:xfrm>
          <a:off x="682213" y="52387"/>
          <a:ext cx="850751" cy="788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236220</xdr:colOff>
      <xdr:row>0</xdr:row>
      <xdr:rowOff>61913</xdr:rowOff>
    </xdr:from>
    <xdr:to>
      <xdr:col>1</xdr:col>
      <xdr:colOff>1996440</xdr:colOff>
      <xdr:row>0</xdr:row>
      <xdr:rowOff>744686</xdr:rowOff>
    </xdr:to>
    <xdr:pic>
      <xdr:nvPicPr>
        <xdr:cNvPr id="2" name="Imagen 1" descr="Portal Gobernación de Risarald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91" r="10695"/>
        <a:stretch/>
      </xdr:blipFill>
      <xdr:spPr bwMode="auto">
        <a:xfrm>
          <a:off x="449580" y="61913"/>
          <a:ext cx="1760220" cy="671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205740</xdr:colOff>
      <xdr:row>0</xdr:row>
      <xdr:rowOff>68580</xdr:rowOff>
    </xdr:from>
    <xdr:to>
      <xdr:col>5</xdr:col>
      <xdr:colOff>914400</xdr:colOff>
      <xdr:row>0</xdr:row>
      <xdr:rowOff>724962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0" r="28500"/>
        <a:stretch>
          <a:fillRect/>
        </a:stretch>
      </xdr:blipFill>
      <xdr:spPr bwMode="auto">
        <a:xfrm>
          <a:off x="6461760" y="68580"/>
          <a:ext cx="708660" cy="656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600075</xdr:colOff>
      <xdr:row>54</xdr:row>
      <xdr:rowOff>28575</xdr:rowOff>
    </xdr:from>
    <xdr:to>
      <xdr:col>1</xdr:col>
      <xdr:colOff>2487930</xdr:colOff>
      <xdr:row>59</xdr:row>
      <xdr:rowOff>13097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D64C46C-828A-4CAC-93C2-BB3431160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9625" y="10687050"/>
          <a:ext cx="1887855" cy="870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54</xdr:row>
      <xdr:rowOff>123825</xdr:rowOff>
    </xdr:from>
    <xdr:to>
      <xdr:col>4</xdr:col>
      <xdr:colOff>581025</xdr:colOff>
      <xdr:row>59</xdr:row>
      <xdr:rowOff>16495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0D0B74A-4FC3-4577-8817-C2142A4EF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76700" y="10782300"/>
          <a:ext cx="1891665" cy="7784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20954</xdr:colOff>
      <xdr:row>0</xdr:row>
      <xdr:rowOff>149001</xdr:rowOff>
    </xdr:from>
    <xdr:to>
      <xdr:col>1</xdr:col>
      <xdr:colOff>2630804</xdr:colOff>
      <xdr:row>0</xdr:row>
      <xdr:rowOff>1127395</xdr:rowOff>
    </xdr:to>
    <xdr:pic>
      <xdr:nvPicPr>
        <xdr:cNvPr id="2" name="Imagen 1" descr="Portal Gobernación de Risaral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91" r="10695"/>
        <a:stretch/>
      </xdr:blipFill>
      <xdr:spPr bwMode="auto">
        <a:xfrm>
          <a:off x="182879" y="149001"/>
          <a:ext cx="2609850" cy="982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135254</xdr:colOff>
      <xdr:row>0</xdr:row>
      <xdr:rowOff>134411</xdr:rowOff>
    </xdr:from>
    <xdr:to>
      <xdr:col>5</xdr:col>
      <xdr:colOff>1127759</xdr:colOff>
      <xdr:row>0</xdr:row>
      <xdr:rowOff>1050687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0" r="28500"/>
        <a:stretch>
          <a:fillRect/>
        </a:stretch>
      </xdr:blipFill>
      <xdr:spPr bwMode="auto">
        <a:xfrm>
          <a:off x="6707504" y="134411"/>
          <a:ext cx="996315" cy="920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876300</xdr:colOff>
      <xdr:row>27</xdr:row>
      <xdr:rowOff>99060</xdr:rowOff>
    </xdr:from>
    <xdr:to>
      <xdr:col>1</xdr:col>
      <xdr:colOff>2447924</xdr:colOff>
      <xdr:row>33</xdr:row>
      <xdr:rowOff>157373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4D639EA6-8A9D-4E15-BBF7-BE064786D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36320" y="6195060"/>
          <a:ext cx="1571624" cy="1064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83820</xdr:colOff>
      <xdr:row>28</xdr:row>
      <xdr:rowOff>160020</xdr:rowOff>
    </xdr:from>
    <xdr:to>
      <xdr:col>5</xdr:col>
      <xdr:colOff>740013</xdr:colOff>
      <xdr:row>33</xdr:row>
      <xdr:rowOff>77455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0D2C4E1-AC84-4AFE-8F73-7815900ED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31180" y="6423660"/>
          <a:ext cx="1686798" cy="7632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ive/PROYECTOS%20EAAR/TEMPORALES/PRECIOS/PRECIOS%20UNITARIOS%20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rive/PROYECTOS%20EAAR/SAN%20CLEMENTE/Emergencia/Pre-contractuales/3.%20Presupuesto%20Emergencia%20San%20Clemen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AGUAS%20Y%20ASEO%20DE%20RISARALDA\0.%20APUS_Risaralda%202020\APUS%20-%202021%20AGUAS%20Y%20ASEO%20DE%20RISARALDA\0.%20APUS%20Precios%20Risaralda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MANO DE OBRA"/>
      <sheetName val="BASE DE DATOS"/>
      <sheetName val=" ITEMS CONSTRUCCION"/>
      <sheetName val="APU GENERALES"/>
      <sheetName val="APU CONSTRUCCION"/>
      <sheetName val="APU VIAS"/>
      <sheetName val=" ITEMS VIAS"/>
      <sheetName val="MATERIAL ELECTRICO"/>
    </sheetNames>
    <sheetDataSet>
      <sheetData sheetId="0"/>
      <sheetData sheetId="1">
        <row r="6">
          <cell r="E6">
            <v>102708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U"/>
      <sheetName val="APU"/>
      <sheetName val="ANÁLISIS MANO DE OBRA"/>
      <sheetName val="Lista de Precios"/>
      <sheetName val="Interventoria"/>
      <sheetName val=" ITEMS CONSTRUCCION"/>
      <sheetName val="APU GENERALES"/>
      <sheetName val="APU VIAS"/>
      <sheetName val="APU CONSTRUCCION"/>
      <sheetName val=" ITEMS VIAS"/>
      <sheetName val="MATERIAL ELECTRICO"/>
      <sheetName val="Interventoria 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MANO DE OBRA"/>
      <sheetName val="BASE DE DATOS"/>
      <sheetName val="ITEMS GENERALES"/>
      <sheetName val="CONSTRUCCION"/>
      <sheetName val=" ITEMS CONSTRUCCION"/>
      <sheetName val=" VIAS"/>
      <sheetName val=" ITEMS VIAS"/>
      <sheetName val="MATERIAL ELECTRICO"/>
    </sheetNames>
    <sheetDataSet>
      <sheetData sheetId="0"/>
      <sheetData sheetId="1">
        <row r="135">
          <cell r="B135" t="str">
            <v>Cercha metálica 5 - 12 m, incluye anticorrosivo</v>
          </cell>
        </row>
        <row r="145">
          <cell r="B145" t="str">
            <v>Cheque de 1 1/2" en bronce fundido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L97"/>
  <sheetViews>
    <sheetView tabSelected="1" view="pageBreakPreview" topLeftCell="A79" zoomScaleNormal="100" zoomScaleSheetLayoutView="100" workbookViewId="0">
      <selection activeCell="C87" sqref="C87:F87"/>
    </sheetView>
  </sheetViews>
  <sheetFormatPr baseColWidth="10" defaultColWidth="11.5546875" defaultRowHeight="14.4" x14ac:dyDescent="0.3"/>
  <cols>
    <col min="1" max="1" width="8" style="569" bestFit="1" customWidth="1"/>
    <col min="2" max="2" width="7.33203125" style="569" hidden="1" customWidth="1"/>
    <col min="3" max="3" width="53.6640625" style="569" customWidth="1"/>
    <col min="4" max="4" width="7.33203125" style="569" bestFit="1" customWidth="1"/>
    <col min="5" max="5" width="14.6640625" style="569" bestFit="1" customWidth="1"/>
    <col min="6" max="6" width="15.6640625" style="569" customWidth="1"/>
    <col min="7" max="9" width="18.6640625" style="569" customWidth="1"/>
    <col min="10" max="10" width="19" style="638" customWidth="1"/>
    <col min="11" max="11" width="17.88671875" style="569" bestFit="1" customWidth="1"/>
    <col min="12" max="16384" width="11.5546875" style="569"/>
  </cols>
  <sheetData>
    <row r="1" spans="1:11" x14ac:dyDescent="0.3">
      <c r="A1" s="793"/>
      <c r="B1" s="793"/>
      <c r="C1" s="793"/>
      <c r="D1" s="794" t="s">
        <v>17</v>
      </c>
      <c r="E1" s="794"/>
      <c r="F1" s="794"/>
      <c r="G1" s="794"/>
      <c r="H1" s="652"/>
      <c r="I1" s="652"/>
    </row>
    <row r="2" spans="1:11" ht="93.75" customHeight="1" x14ac:dyDescent="0.3">
      <c r="A2" s="793"/>
      <c r="B2" s="793"/>
      <c r="C2" s="793"/>
      <c r="D2" s="795" t="s">
        <v>1848</v>
      </c>
      <c r="E2" s="795"/>
      <c r="F2" s="795"/>
      <c r="G2" s="795"/>
      <c r="H2" s="653"/>
      <c r="I2" s="653"/>
    </row>
    <row r="3" spans="1:11" ht="28.95" customHeight="1" x14ac:dyDescent="0.3">
      <c r="A3" s="793"/>
      <c r="B3" s="793"/>
      <c r="C3" s="793"/>
      <c r="D3" s="795" t="s">
        <v>1838</v>
      </c>
      <c r="E3" s="795"/>
      <c r="F3" s="795"/>
      <c r="G3" s="795"/>
      <c r="H3" s="653"/>
      <c r="I3" s="653"/>
    </row>
    <row r="4" spans="1:11" ht="30" customHeight="1" x14ac:dyDescent="0.3">
      <c r="A4" s="793"/>
      <c r="B4" s="793"/>
      <c r="C4" s="793"/>
      <c r="D4" s="796" t="s">
        <v>1854</v>
      </c>
      <c r="E4" s="797"/>
      <c r="F4" s="797"/>
      <c r="G4" s="797"/>
      <c r="H4" s="654"/>
      <c r="I4" s="654"/>
    </row>
    <row r="5" spans="1:11" x14ac:dyDescent="0.3">
      <c r="A5" s="8"/>
      <c r="B5" s="9"/>
      <c r="C5" s="8"/>
      <c r="D5" s="9"/>
      <c r="E5" s="9"/>
      <c r="F5" s="9"/>
      <c r="G5" s="9"/>
      <c r="H5" s="9"/>
      <c r="I5" s="9"/>
    </row>
    <row r="6" spans="1:11" x14ac:dyDescent="0.3">
      <c r="A6" s="410" t="s">
        <v>18</v>
      </c>
      <c r="B6" s="410" t="s">
        <v>19</v>
      </c>
      <c r="C6" s="410" t="s">
        <v>20</v>
      </c>
      <c r="D6" s="410" t="s">
        <v>21</v>
      </c>
      <c r="E6" s="410" t="s">
        <v>29</v>
      </c>
      <c r="F6" s="411" t="s">
        <v>22</v>
      </c>
      <c r="G6" s="411" t="s">
        <v>1674</v>
      </c>
      <c r="H6" s="655"/>
      <c r="I6" s="655"/>
    </row>
    <row r="7" spans="1:11" s="8" customFormat="1" x14ac:dyDescent="0.3">
      <c r="A7" s="412">
        <v>1</v>
      </c>
      <c r="B7" s="410"/>
      <c r="C7" s="413" t="s">
        <v>23</v>
      </c>
      <c r="D7" s="410"/>
      <c r="E7" s="414"/>
      <c r="F7" s="410"/>
      <c r="G7" s="673">
        <f>SUM(G8:G17)</f>
        <v>75585059</v>
      </c>
      <c r="H7" s="656"/>
      <c r="I7" s="664"/>
      <c r="J7" s="635"/>
      <c r="K7" s="648"/>
    </row>
    <row r="8" spans="1:11" s="570" customFormat="1" ht="27.6" x14ac:dyDescent="0.3">
      <c r="A8" s="575">
        <f>+A7+0.1</f>
        <v>1.1000000000000001</v>
      </c>
      <c r="B8" s="1" t="s">
        <v>28</v>
      </c>
      <c r="C8" s="5" t="str">
        <f>+VLOOKUP(B8,APUS!$B$5:$G$905,3,0)</f>
        <v>Localización y replanteo para pavimentación de vías (3 líneas, 3 instancias)</v>
      </c>
      <c r="D8" s="1" t="s">
        <v>32</v>
      </c>
      <c r="E8" s="3">
        <v>145.24</v>
      </c>
      <c r="F8" s="658">
        <f>+VLOOKUP(B8,APUS!$B$5:$G$905,6,0)</f>
        <v>3943</v>
      </c>
      <c r="G8" s="658">
        <f>+ROUND(F8*E8,0)</f>
        <v>572681</v>
      </c>
      <c r="H8" s="665"/>
      <c r="I8" s="663"/>
      <c r="J8" s="639"/>
    </row>
    <row r="9" spans="1:11" x14ac:dyDescent="0.3">
      <c r="A9" s="575">
        <f t="shared" ref="A9:A16" si="0">+A8+0.1</f>
        <v>1.2000000000000002</v>
      </c>
      <c r="B9" s="2" t="s">
        <v>30</v>
      </c>
      <c r="C9" s="5" t="str">
        <f>+VLOOKUP(B9,APUS!$B$5:$G$905,3,0)</f>
        <v>Corte de pavimento rigido con cortadora autopropulsada</v>
      </c>
      <c r="D9" s="2" t="s">
        <v>32</v>
      </c>
      <c r="E9" s="4">
        <v>12</v>
      </c>
      <c r="F9" s="658">
        <f>+VLOOKUP(B9,APUS!$B$5:$G$905,6,0)</f>
        <v>4680</v>
      </c>
      <c r="G9" s="658">
        <f t="shared" ref="G9:G17" si="1">+ROUND(F9*E9,0)</f>
        <v>56160</v>
      </c>
      <c r="H9" s="665"/>
      <c r="I9" s="663"/>
      <c r="J9" s="639"/>
    </row>
    <row r="10" spans="1:11" x14ac:dyDescent="0.3">
      <c r="A10" s="575">
        <f t="shared" si="0"/>
        <v>1.3000000000000003</v>
      </c>
      <c r="B10" s="2" t="s">
        <v>45</v>
      </c>
      <c r="C10" s="5" t="str">
        <f>+VLOOKUP(B10,APUS!$B$5:$G$905,3,0)</f>
        <v>Cerramiento provisional con señalizador y tela de cerramiento</v>
      </c>
      <c r="D10" s="2" t="s">
        <v>32</v>
      </c>
      <c r="E10" s="4">
        <v>363.1</v>
      </c>
      <c r="F10" s="658">
        <f>+VLOOKUP(B10,APUS!$B$5:$G$905,6,0)</f>
        <v>8522</v>
      </c>
      <c r="G10" s="658">
        <f t="shared" si="1"/>
        <v>3094338</v>
      </c>
      <c r="H10" s="665"/>
      <c r="I10" s="663"/>
      <c r="J10" s="639"/>
    </row>
    <row r="11" spans="1:11" x14ac:dyDescent="0.3">
      <c r="A11" s="575">
        <f t="shared" si="0"/>
        <v>1.4000000000000004</v>
      </c>
      <c r="B11" s="2" t="s">
        <v>1749</v>
      </c>
      <c r="C11" s="5" t="str">
        <f>+VLOOKUP(B11,APUS!$B$5:$G$905,3,0)</f>
        <v>Alquiler de Almacen/Campamento</v>
      </c>
      <c r="D11" s="2" t="s">
        <v>171</v>
      </c>
      <c r="E11" s="4">
        <v>4</v>
      </c>
      <c r="F11" s="658">
        <f>+VLOOKUP(B11,APUS!$B$5:$G$905,6,0)</f>
        <v>520020</v>
      </c>
      <c r="G11" s="658">
        <f t="shared" si="1"/>
        <v>2080080</v>
      </c>
      <c r="H11" s="665"/>
      <c r="I11" s="663"/>
      <c r="J11" s="639"/>
    </row>
    <row r="12" spans="1:11" x14ac:dyDescent="0.3">
      <c r="A12" s="575">
        <f t="shared" si="0"/>
        <v>1.5000000000000004</v>
      </c>
      <c r="B12" s="2"/>
      <c r="C12" s="576" t="str">
        <f>+APUS!D476</f>
        <v>Acceso Provisional a Viviendas en Madera</v>
      </c>
      <c r="D12" s="2" t="s">
        <v>5</v>
      </c>
      <c r="E12" s="4">
        <v>45</v>
      </c>
      <c r="F12" s="658">
        <f>+APUS!G476</f>
        <v>21487</v>
      </c>
      <c r="G12" s="658">
        <f t="shared" si="1"/>
        <v>966915</v>
      </c>
      <c r="H12" s="665"/>
      <c r="I12" s="663"/>
      <c r="J12" s="639"/>
    </row>
    <row r="13" spans="1:11" x14ac:dyDescent="0.3">
      <c r="A13" s="575">
        <f t="shared" si="0"/>
        <v>1.6000000000000005</v>
      </c>
      <c r="B13" s="2"/>
      <c r="C13" s="576" t="str">
        <f>+APUS!D485</f>
        <v>Puentes Peatonales (2 x 1,5) con Baranda</v>
      </c>
      <c r="D13" s="2" t="s">
        <v>5</v>
      </c>
      <c r="E13" s="4">
        <v>9</v>
      </c>
      <c r="F13" s="658">
        <f>+APUS!G485</f>
        <v>172982</v>
      </c>
      <c r="G13" s="658">
        <f t="shared" si="1"/>
        <v>1556838</v>
      </c>
      <c r="H13" s="665"/>
      <c r="I13" s="663"/>
      <c r="J13" s="639"/>
    </row>
    <row r="14" spans="1:11" x14ac:dyDescent="0.3">
      <c r="A14" s="575">
        <f t="shared" si="0"/>
        <v>1.7000000000000006</v>
      </c>
      <c r="B14" s="2"/>
      <c r="C14" s="5" t="s">
        <v>1751</v>
      </c>
      <c r="D14" s="2" t="s">
        <v>3</v>
      </c>
      <c r="E14" s="4">
        <v>952.75</v>
      </c>
      <c r="F14" s="658">
        <f>+APUS!G494</f>
        <v>64569</v>
      </c>
      <c r="G14" s="658">
        <f t="shared" si="1"/>
        <v>61518115</v>
      </c>
      <c r="H14" s="665"/>
      <c r="I14" s="663"/>
      <c r="J14" s="639"/>
    </row>
    <row r="15" spans="1:11" x14ac:dyDescent="0.3">
      <c r="A15" s="575">
        <f t="shared" si="0"/>
        <v>1.8000000000000007</v>
      </c>
      <c r="B15" s="2"/>
      <c r="C15" s="576" t="str">
        <f>+APUS!D505</f>
        <v>Manejo de Redes de Vitales (Energia)</v>
      </c>
      <c r="D15" s="2" t="s">
        <v>5</v>
      </c>
      <c r="E15" s="4">
        <v>29.05</v>
      </c>
      <c r="F15" s="658">
        <f>+APUS!G505</f>
        <v>80394</v>
      </c>
      <c r="G15" s="658">
        <f t="shared" si="1"/>
        <v>2335446</v>
      </c>
      <c r="H15" s="665"/>
      <c r="I15" s="663"/>
      <c r="J15" s="639"/>
    </row>
    <row r="16" spans="1:11" x14ac:dyDescent="0.3">
      <c r="A16" s="575">
        <f t="shared" si="0"/>
        <v>1.9000000000000008</v>
      </c>
      <c r="B16" s="2"/>
      <c r="C16" s="5" t="s">
        <v>1755</v>
      </c>
      <c r="D16" s="2" t="s">
        <v>5</v>
      </c>
      <c r="E16" s="4">
        <v>29.05</v>
      </c>
      <c r="F16" s="658">
        <f>+APUS!G521</f>
        <v>64564</v>
      </c>
      <c r="G16" s="658">
        <f t="shared" si="1"/>
        <v>1875584</v>
      </c>
      <c r="H16" s="665"/>
      <c r="I16" s="663"/>
      <c r="J16" s="639"/>
    </row>
    <row r="17" spans="1:11" x14ac:dyDescent="0.3">
      <c r="A17" s="578">
        <v>1.1000000000000001</v>
      </c>
      <c r="B17" s="2"/>
      <c r="C17" s="5" t="s">
        <v>1756</v>
      </c>
      <c r="D17" s="2" t="s">
        <v>5</v>
      </c>
      <c r="E17" s="4">
        <v>29.05</v>
      </c>
      <c r="F17" s="658">
        <f>+APUS!G514</f>
        <v>52630</v>
      </c>
      <c r="G17" s="658">
        <f t="shared" si="1"/>
        <v>1528902</v>
      </c>
      <c r="H17" s="665"/>
      <c r="I17" s="663"/>
      <c r="J17" s="639"/>
    </row>
    <row r="18" spans="1:11" s="571" customFormat="1" x14ac:dyDescent="0.3">
      <c r="A18" s="410">
        <v>2</v>
      </c>
      <c r="B18" s="410"/>
      <c r="C18" s="413" t="s">
        <v>40</v>
      </c>
      <c r="D18" s="410"/>
      <c r="E18" s="414"/>
      <c r="F18" s="659"/>
      <c r="G18" s="674">
        <f>SUM(G19:G26)</f>
        <v>81100038</v>
      </c>
      <c r="H18" s="666"/>
      <c r="I18" s="670"/>
      <c r="J18" s="639"/>
      <c r="K18" s="649"/>
    </row>
    <row r="19" spans="1:11" x14ac:dyDescent="0.3">
      <c r="A19" s="575">
        <f>+A18+0.1</f>
        <v>2.1</v>
      </c>
      <c r="B19" s="2" t="s">
        <v>47</v>
      </c>
      <c r="C19" s="5" t="str">
        <f>+VLOOKUP(B19,APUS!$B$5:$G$905,3,0)</f>
        <v>Demolición en Concreto Simple</v>
      </c>
      <c r="D19" s="2" t="s">
        <v>42</v>
      </c>
      <c r="E19" s="4">
        <v>196.27</v>
      </c>
      <c r="F19" s="658">
        <f>+VLOOKUP(B19,APUS!$B$5:$G$905,6,0)</f>
        <v>173698</v>
      </c>
      <c r="G19" s="658">
        <f>+ROUND(F19*E19,0)</f>
        <v>34091706</v>
      </c>
      <c r="H19" s="665"/>
      <c r="I19" s="663"/>
      <c r="J19" s="639"/>
    </row>
    <row r="20" spans="1:11" x14ac:dyDescent="0.3">
      <c r="A20" s="575">
        <f t="shared" ref="A20:A26" si="2">+A19+0.1</f>
        <v>2.2000000000000002</v>
      </c>
      <c r="B20" s="2" t="s">
        <v>33</v>
      </c>
      <c r="C20" s="5" t="str">
        <f>+VLOOKUP(B20,APUS!$B$5:$G$905,3,0)</f>
        <v>Demolición cono cámara</v>
      </c>
      <c r="D20" s="2" t="s">
        <v>26</v>
      </c>
      <c r="E20" s="4">
        <v>4</v>
      </c>
      <c r="F20" s="658">
        <f>+VLOOKUP(B20,APUS!$B$5:$G$905,6,0)</f>
        <v>107484</v>
      </c>
      <c r="G20" s="658">
        <f t="shared" ref="G20:G26" si="3">+ROUND(F20*E20,0)</f>
        <v>429936</v>
      </c>
      <c r="H20" s="665"/>
      <c r="I20" s="663"/>
      <c r="J20" s="639"/>
      <c r="K20" s="572"/>
    </row>
    <row r="21" spans="1:11" x14ac:dyDescent="0.3">
      <c r="A21" s="575">
        <f t="shared" si="2"/>
        <v>2.3000000000000003</v>
      </c>
      <c r="B21" s="2" t="s">
        <v>35</v>
      </c>
      <c r="C21" s="5" t="str">
        <f>+VLOOKUP(B21,APUS!$B$5:$G$905,3,0)</f>
        <v>Demolición cuerpo cámara</v>
      </c>
      <c r="D21" s="2" t="s">
        <v>32</v>
      </c>
      <c r="E21" s="4">
        <v>8</v>
      </c>
      <c r="F21" s="658">
        <f>+VLOOKUP(B21,APUS!$B$5:$G$905,6,0)</f>
        <v>179140</v>
      </c>
      <c r="G21" s="658">
        <f t="shared" si="3"/>
        <v>1433120</v>
      </c>
      <c r="H21" s="665"/>
      <c r="I21" s="663"/>
      <c r="J21" s="639"/>
      <c r="K21" s="572"/>
    </row>
    <row r="22" spans="1:11" x14ac:dyDescent="0.3">
      <c r="A22" s="575">
        <f t="shared" si="2"/>
        <v>2.4000000000000004</v>
      </c>
      <c r="B22" s="2"/>
      <c r="C22" s="5" t="s">
        <v>1804</v>
      </c>
      <c r="D22" s="2" t="s">
        <v>26</v>
      </c>
      <c r="E22" s="4">
        <v>8</v>
      </c>
      <c r="F22" s="658">
        <f>+APUS!G28</f>
        <v>75239</v>
      </c>
      <c r="G22" s="658">
        <f t="shared" si="3"/>
        <v>601912</v>
      </c>
      <c r="H22" s="665"/>
      <c r="I22" s="663"/>
      <c r="J22" s="639"/>
    </row>
    <row r="23" spans="1:11" x14ac:dyDescent="0.3">
      <c r="A23" s="575">
        <f t="shared" si="2"/>
        <v>2.5000000000000004</v>
      </c>
      <c r="B23" s="2" t="s">
        <v>37</v>
      </c>
      <c r="C23" s="5" t="str">
        <f>+VLOOKUP(B23,APUS!$B$5:$G$905,3,0)</f>
        <v>Demolición sumidero</v>
      </c>
      <c r="D23" s="2" t="s">
        <v>26</v>
      </c>
      <c r="E23" s="4">
        <v>6</v>
      </c>
      <c r="F23" s="658">
        <f>+VLOOKUP(B23,APUS!$B$5:$G$905,6,0)</f>
        <v>95082</v>
      </c>
      <c r="G23" s="658">
        <f t="shared" si="3"/>
        <v>570492</v>
      </c>
      <c r="H23" s="665"/>
      <c r="I23" s="663"/>
      <c r="J23" s="639"/>
    </row>
    <row r="24" spans="1:11" x14ac:dyDescent="0.3">
      <c r="A24" s="575">
        <f t="shared" si="2"/>
        <v>2.6000000000000005</v>
      </c>
      <c r="B24" s="577" t="s">
        <v>1529</v>
      </c>
      <c r="C24" s="5" t="str">
        <f>+VLOOKUP(B24,APUS!$B$5:$G$905,3,0)</f>
        <v>Demolición de anden en concreto</v>
      </c>
      <c r="D24" s="2" t="s">
        <v>42</v>
      </c>
      <c r="E24" s="4">
        <v>34.86</v>
      </c>
      <c r="F24" s="658">
        <f>+VLOOKUP(B24,APUS!$B$5:$G$905,6,0)</f>
        <v>147642</v>
      </c>
      <c r="G24" s="658">
        <f t="shared" si="3"/>
        <v>5146800</v>
      </c>
      <c r="H24" s="665"/>
      <c r="I24" s="663"/>
      <c r="J24" s="639"/>
    </row>
    <row r="25" spans="1:11" x14ac:dyDescent="0.3">
      <c r="A25" s="575">
        <f t="shared" si="2"/>
        <v>2.7000000000000006</v>
      </c>
      <c r="B25" s="577" t="s">
        <v>1709</v>
      </c>
      <c r="C25" s="5" t="str">
        <f>+VLOOKUP(B25,APUS!$B$5:$G$905,3,0)</f>
        <v>Desmonte de tubería de alcantarillado hasta 12"</v>
      </c>
      <c r="D25" s="2" t="s">
        <v>32</v>
      </c>
      <c r="E25" s="4">
        <v>145.24</v>
      </c>
      <c r="F25" s="658">
        <f>+VLOOKUP(B25,APUS!$B$5:$G$905,6,0)</f>
        <v>6719</v>
      </c>
      <c r="G25" s="658">
        <f t="shared" si="3"/>
        <v>975868</v>
      </c>
      <c r="H25" s="665"/>
      <c r="I25" s="663"/>
      <c r="J25" s="639"/>
    </row>
    <row r="26" spans="1:11" ht="30" customHeight="1" x14ac:dyDescent="0.3">
      <c r="A26" s="575">
        <f t="shared" si="2"/>
        <v>2.8000000000000007</v>
      </c>
      <c r="B26" s="2" t="s">
        <v>41</v>
      </c>
      <c r="C26" s="5" t="str">
        <f>+VLOOKUP(B26,APUS!$B$5:$G$905,3,0)</f>
        <v>Cargue y retiro de material sobrante distancia mayor a 10 km (65,6 km a botadero La Bonita - Pereira Risaralda)</v>
      </c>
      <c r="D26" s="2" t="s">
        <v>42</v>
      </c>
      <c r="E26" s="4">
        <v>263.77</v>
      </c>
      <c r="F26" s="658">
        <f>+VLOOKUP(B26,APUS!$B$5:$G$905,6,0)</f>
        <v>143497</v>
      </c>
      <c r="G26" s="658">
        <f t="shared" si="3"/>
        <v>37850204</v>
      </c>
      <c r="H26" s="665"/>
      <c r="I26" s="663"/>
      <c r="J26" s="639"/>
    </row>
    <row r="27" spans="1:11" s="571" customFormat="1" x14ac:dyDescent="0.3">
      <c r="A27" s="410">
        <v>3</v>
      </c>
      <c r="B27" s="410"/>
      <c r="C27" s="413" t="s">
        <v>49</v>
      </c>
      <c r="D27" s="410"/>
      <c r="E27" s="414"/>
      <c r="F27" s="659"/>
      <c r="G27" s="674">
        <f>SUM(G28:G38)</f>
        <v>120923573</v>
      </c>
      <c r="H27" s="666"/>
      <c r="I27" s="670"/>
      <c r="J27" s="639"/>
      <c r="K27" s="649"/>
    </row>
    <row r="28" spans="1:11" x14ac:dyDescent="0.3">
      <c r="A28" s="578">
        <f>+A27+0.01</f>
        <v>3.01</v>
      </c>
      <c r="B28" s="2" t="s">
        <v>1724</v>
      </c>
      <c r="C28" s="651" t="s">
        <v>1725</v>
      </c>
      <c r="D28" s="2" t="s">
        <v>42</v>
      </c>
      <c r="E28" s="4">
        <v>127.42</v>
      </c>
      <c r="F28" s="658">
        <f>+VLOOKUP(B28,APUS!$B$5:$G$905,6,0)</f>
        <v>28773</v>
      </c>
      <c r="G28" s="658">
        <f>+ROUND(F28*E28,0)</f>
        <v>3666256</v>
      </c>
      <c r="H28" s="665"/>
      <c r="I28" s="663"/>
      <c r="J28" s="639"/>
    </row>
    <row r="29" spans="1:11" x14ac:dyDescent="0.3">
      <c r="A29" s="578">
        <f t="shared" ref="A29:A38" si="4">+A28+0.01</f>
        <v>3.0199999999999996</v>
      </c>
      <c r="B29" s="2" t="s">
        <v>50</v>
      </c>
      <c r="C29" s="5" t="str">
        <f>+VLOOKUP(B29,APUS!$B$5:$G$905,3,0)</f>
        <v>Excavación en conglomerado seco de 0 - 2 m manual</v>
      </c>
      <c r="D29" s="2" t="s">
        <v>42</v>
      </c>
      <c r="E29" s="4">
        <v>95.57</v>
      </c>
      <c r="F29" s="658">
        <f>+VLOOKUP(B29,APUS!$B$5:$G$905,6,0)</f>
        <v>51380</v>
      </c>
      <c r="G29" s="658">
        <f t="shared" ref="G29:G38" si="5">+ROUND(F29*E29,0)</f>
        <v>4910387</v>
      </c>
      <c r="H29" s="665"/>
      <c r="I29" s="663"/>
      <c r="J29" s="639"/>
    </row>
    <row r="30" spans="1:11" x14ac:dyDescent="0.3">
      <c r="A30" s="578">
        <f t="shared" si="4"/>
        <v>3.0299999999999994</v>
      </c>
      <c r="B30" s="2"/>
      <c r="C30" s="651" t="s">
        <v>1753</v>
      </c>
      <c r="D30" s="2" t="s">
        <v>42</v>
      </c>
      <c r="E30" s="4">
        <v>63.71</v>
      </c>
      <c r="F30" s="658">
        <f>+APUS!G273</f>
        <v>52236</v>
      </c>
      <c r="G30" s="658">
        <f t="shared" si="5"/>
        <v>3327956</v>
      </c>
      <c r="H30" s="665"/>
      <c r="I30" s="663"/>
      <c r="J30" s="639"/>
    </row>
    <row r="31" spans="1:11" x14ac:dyDescent="0.3">
      <c r="A31" s="578">
        <f t="shared" si="4"/>
        <v>3.0399999999999991</v>
      </c>
      <c r="B31" s="2"/>
      <c r="C31" s="5" t="s">
        <v>1853</v>
      </c>
      <c r="D31" s="2" t="s">
        <v>42</v>
      </c>
      <c r="E31" s="4">
        <v>31.86</v>
      </c>
      <c r="F31" s="658">
        <f>+APUS!G279</f>
        <v>93297</v>
      </c>
      <c r="G31" s="658">
        <f t="shared" si="5"/>
        <v>2972442</v>
      </c>
      <c r="H31" s="665"/>
      <c r="I31" s="663"/>
      <c r="J31" s="639"/>
      <c r="K31" s="572"/>
    </row>
    <row r="32" spans="1:11" x14ac:dyDescent="0.3">
      <c r="A32" s="578">
        <f t="shared" si="4"/>
        <v>3.0499999999999989</v>
      </c>
      <c r="B32" s="2"/>
      <c r="C32" s="5" t="s">
        <v>1802</v>
      </c>
      <c r="D32" s="2" t="s">
        <v>5</v>
      </c>
      <c r="E32" s="4">
        <v>145.24</v>
      </c>
      <c r="F32" s="658">
        <f>+APUS!G286</f>
        <v>69792</v>
      </c>
      <c r="G32" s="658">
        <f t="shared" si="5"/>
        <v>10136590</v>
      </c>
      <c r="H32" s="665"/>
      <c r="I32" s="663"/>
      <c r="J32" s="639"/>
    </row>
    <row r="33" spans="1:11" x14ac:dyDescent="0.3">
      <c r="A33" s="578">
        <f t="shared" si="4"/>
        <v>3.0599999999999987</v>
      </c>
      <c r="B33" s="2" t="s">
        <v>52</v>
      </c>
      <c r="C33" s="5" t="str">
        <f>+VLOOKUP(B33,APUS!$B$5:$G$905,3,0)</f>
        <v>Lleno compactado con material granular</v>
      </c>
      <c r="D33" s="2" t="s">
        <v>42</v>
      </c>
      <c r="E33" s="4">
        <v>318.55</v>
      </c>
      <c r="F33" s="658">
        <f>+APUS!G293</f>
        <v>138903</v>
      </c>
      <c r="G33" s="658">
        <f t="shared" si="5"/>
        <v>44247551</v>
      </c>
      <c r="H33" s="665"/>
      <c r="I33" s="663"/>
      <c r="J33" s="639"/>
    </row>
    <row r="34" spans="1:11" x14ac:dyDescent="0.3">
      <c r="A34" s="578">
        <f t="shared" si="4"/>
        <v>3.0699999999999985</v>
      </c>
      <c r="B34" s="2" t="s">
        <v>54</v>
      </c>
      <c r="C34" s="5" t="str">
        <f>+VLOOKUP(B34,APUS!$B$5:$G$905,3,0)</f>
        <v>Lleno con arena para tubería (Brecha de 0,60m de ancho e=0,1 m)</v>
      </c>
      <c r="D34" s="2" t="s">
        <v>32</v>
      </c>
      <c r="E34" s="4">
        <v>145.24</v>
      </c>
      <c r="F34" s="658">
        <f>+VLOOKUP(B34,APUS!$B$5:$G$905,6,0)</f>
        <v>10349</v>
      </c>
      <c r="G34" s="658">
        <f t="shared" si="5"/>
        <v>1503089</v>
      </c>
      <c r="H34" s="665"/>
      <c r="I34" s="663"/>
      <c r="J34" s="639"/>
    </row>
    <row r="35" spans="1:11" x14ac:dyDescent="0.3">
      <c r="A35" s="578">
        <f t="shared" si="4"/>
        <v>3.0799999999999983</v>
      </c>
      <c r="B35" s="2" t="s">
        <v>43</v>
      </c>
      <c r="C35" s="5" t="s">
        <v>44</v>
      </c>
      <c r="D35" s="2" t="s">
        <v>42</v>
      </c>
      <c r="E35" s="4">
        <v>190.55</v>
      </c>
      <c r="F35" s="658">
        <f>+VLOOKUP(B35,APUS!$B$5:$G$905,6,0)</f>
        <v>11477</v>
      </c>
      <c r="G35" s="658">
        <f t="shared" si="5"/>
        <v>2186942</v>
      </c>
      <c r="H35" s="665"/>
      <c r="I35" s="663"/>
      <c r="J35" s="639"/>
    </row>
    <row r="36" spans="1:11" x14ac:dyDescent="0.3">
      <c r="A36" s="578">
        <f t="shared" si="4"/>
        <v>3.0899999999999981</v>
      </c>
      <c r="B36" s="577" t="s">
        <v>1677</v>
      </c>
      <c r="C36" s="5" t="str">
        <f>+VLOOKUP(B36,APUS!$B$5:$G$905,3,0)</f>
        <v>Sub-base granular</v>
      </c>
      <c r="D36" s="2" t="s">
        <v>42</v>
      </c>
      <c r="E36" s="4">
        <v>29.05</v>
      </c>
      <c r="F36" s="658">
        <f>+APUS!G55</f>
        <v>131701</v>
      </c>
      <c r="G36" s="658">
        <f t="shared" si="5"/>
        <v>3825914</v>
      </c>
      <c r="H36" s="665"/>
      <c r="I36" s="663"/>
      <c r="J36" s="639"/>
    </row>
    <row r="37" spans="1:11" x14ac:dyDescent="0.3">
      <c r="A37" s="578">
        <f t="shared" si="4"/>
        <v>3.0999999999999979</v>
      </c>
      <c r="B37" s="577"/>
      <c r="C37" s="5" t="s">
        <v>1841</v>
      </c>
      <c r="D37" s="2" t="s">
        <v>42</v>
      </c>
      <c r="E37" s="4">
        <v>285.82</v>
      </c>
      <c r="F37" s="658">
        <f>+APUS!G63</f>
        <v>142338</v>
      </c>
      <c r="G37" s="658">
        <f t="shared" si="5"/>
        <v>40683047</v>
      </c>
      <c r="H37" s="665"/>
      <c r="I37" s="663"/>
      <c r="J37" s="639"/>
    </row>
    <row r="38" spans="1:11" x14ac:dyDescent="0.3">
      <c r="A38" s="578">
        <f t="shared" si="4"/>
        <v>3.1099999999999977</v>
      </c>
      <c r="B38" s="577"/>
      <c r="C38" s="576" t="str">
        <f>+APUS!D72</f>
        <v>Entibado Preventivo para Excavaciones en Zanja h&gt;1.50</v>
      </c>
      <c r="D38" s="2" t="s">
        <v>1780</v>
      </c>
      <c r="E38" s="4">
        <v>58.1</v>
      </c>
      <c r="F38" s="658">
        <f>+APUS!G72</f>
        <v>59611</v>
      </c>
      <c r="G38" s="658">
        <f t="shared" si="5"/>
        <v>3463399</v>
      </c>
      <c r="H38" s="665"/>
      <c r="I38" s="663"/>
      <c r="J38" s="639"/>
    </row>
    <row r="39" spans="1:11" s="571" customFormat="1" x14ac:dyDescent="0.3">
      <c r="A39" s="410">
        <v>3</v>
      </c>
      <c r="B39" s="410"/>
      <c r="C39" s="413" t="s">
        <v>1752</v>
      </c>
      <c r="D39" s="410"/>
      <c r="E39" s="414"/>
      <c r="F39" s="659"/>
      <c r="G39" s="674">
        <f>SUM(G40:G41)</f>
        <v>6908105</v>
      </c>
      <c r="H39" s="666"/>
      <c r="I39" s="670"/>
      <c r="J39" s="639"/>
      <c r="K39" s="649"/>
    </row>
    <row r="40" spans="1:11" x14ac:dyDescent="0.3">
      <c r="A40" s="575">
        <f>+A39+0.1</f>
        <v>3.1</v>
      </c>
      <c r="B40" s="2"/>
      <c r="C40" s="651" t="s">
        <v>1759</v>
      </c>
      <c r="D40" s="2" t="s">
        <v>42</v>
      </c>
      <c r="E40" s="4">
        <v>2</v>
      </c>
      <c r="F40" s="658">
        <f>+APUS!G81</f>
        <v>85191</v>
      </c>
      <c r="G40" s="658">
        <f>+ROUND(F40*E40,0)</f>
        <v>170382</v>
      </c>
      <c r="H40" s="665"/>
      <c r="I40" s="663"/>
      <c r="J40" s="639"/>
      <c r="K40" s="640"/>
    </row>
    <row r="41" spans="1:11" x14ac:dyDescent="0.3">
      <c r="A41" s="575">
        <v>3.2</v>
      </c>
      <c r="B41" s="2"/>
      <c r="C41" s="651" t="s">
        <v>1758</v>
      </c>
      <c r="D41" s="2" t="s">
        <v>2</v>
      </c>
      <c r="E41" s="4">
        <v>78.52</v>
      </c>
      <c r="F41" s="658">
        <f>+APUS!G90</f>
        <v>85809</v>
      </c>
      <c r="G41" s="658">
        <f>+ROUND(F41*E41,0)</f>
        <v>6737723</v>
      </c>
      <c r="H41" s="665"/>
      <c r="I41" s="663"/>
      <c r="J41" s="639"/>
    </row>
    <row r="42" spans="1:11" s="571" customFormat="1" x14ac:dyDescent="0.3">
      <c r="A42" s="536">
        <v>4</v>
      </c>
      <c r="B42" s="536"/>
      <c r="C42" s="537" t="s">
        <v>70</v>
      </c>
      <c r="D42" s="536"/>
      <c r="E42" s="538"/>
      <c r="F42" s="660"/>
      <c r="G42" s="674">
        <f>SUM(G43:G47)</f>
        <v>201525658</v>
      </c>
      <c r="H42" s="667"/>
      <c r="I42" s="670"/>
      <c r="J42" s="639"/>
      <c r="K42" s="649"/>
    </row>
    <row r="43" spans="1:11" ht="27.6" x14ac:dyDescent="0.3">
      <c r="A43" s="575">
        <f>+A42+0.1</f>
        <v>4.0999999999999996</v>
      </c>
      <c r="B43" s="2" t="s">
        <v>56</v>
      </c>
      <c r="C43" s="5" t="s">
        <v>1843</v>
      </c>
      <c r="D43" s="2" t="s">
        <v>39</v>
      </c>
      <c r="E43" s="4">
        <v>952.75</v>
      </c>
      <c r="F43" s="658">
        <f>+APUS!G102</f>
        <v>142819</v>
      </c>
      <c r="G43" s="658">
        <f>+ROUND(F43*E43,0)</f>
        <v>136070802</v>
      </c>
      <c r="H43" s="665"/>
      <c r="I43" s="663"/>
      <c r="J43" s="639"/>
    </row>
    <row r="44" spans="1:11" x14ac:dyDescent="0.3">
      <c r="A44" s="575">
        <f t="shared" ref="A44:A47" si="6">+A43+0.1</f>
        <v>4.1999999999999993</v>
      </c>
      <c r="B44" s="2" t="s">
        <v>58</v>
      </c>
      <c r="C44" s="5" t="str">
        <f>+VLOOKUP(B44,APUS!$B$5:$G$905,3,0)</f>
        <v>Anden en concreto de 20,7 Mpa (3.000 psi) e = 0,10 m</v>
      </c>
      <c r="D44" s="2" t="s">
        <v>39</v>
      </c>
      <c r="E44" s="4">
        <v>348.58</v>
      </c>
      <c r="F44" s="658">
        <f>+VLOOKUP(B44,APUS!$B$5:$G$905,6,0)</f>
        <v>81780</v>
      </c>
      <c r="G44" s="658">
        <f t="shared" ref="G44:G47" si="7">+ROUND(F44*E44,0)</f>
        <v>28506872</v>
      </c>
      <c r="H44" s="665"/>
      <c r="I44" s="663"/>
      <c r="J44" s="639"/>
    </row>
    <row r="45" spans="1:11" x14ac:dyDescent="0.3">
      <c r="A45" s="575">
        <f t="shared" si="6"/>
        <v>4.2999999999999989</v>
      </c>
      <c r="B45" s="2"/>
      <c r="C45" s="5" t="s">
        <v>1814</v>
      </c>
      <c r="D45" s="2" t="s">
        <v>39</v>
      </c>
      <c r="E45" s="4">
        <v>34.86</v>
      </c>
      <c r="F45" s="658">
        <f>+APUS!G125</f>
        <v>136348</v>
      </c>
      <c r="G45" s="658">
        <f t="shared" si="7"/>
        <v>4753091</v>
      </c>
      <c r="H45" s="665"/>
      <c r="I45" s="663"/>
      <c r="J45" s="639"/>
    </row>
    <row r="46" spans="1:11" ht="27.6" x14ac:dyDescent="0.3">
      <c r="A46" s="575">
        <f t="shared" si="6"/>
        <v>4.3999999999999986</v>
      </c>
      <c r="B46" s="2" t="s">
        <v>1727</v>
      </c>
      <c r="C46" s="5" t="s">
        <v>1706</v>
      </c>
      <c r="D46" s="2" t="s">
        <v>32</v>
      </c>
      <c r="E46" s="4">
        <v>290.48</v>
      </c>
      <c r="F46" s="658">
        <f>+VLOOKUP(B46,APUS!$B$5:$G$905,6,0)</f>
        <v>80609</v>
      </c>
      <c r="G46" s="658">
        <f t="shared" si="7"/>
        <v>23415302</v>
      </c>
      <c r="H46" s="665"/>
      <c r="I46" s="663"/>
      <c r="J46" s="639"/>
    </row>
    <row r="47" spans="1:11" x14ac:dyDescent="0.3">
      <c r="A47" s="575">
        <f t="shared" si="6"/>
        <v>4.4999999999999982</v>
      </c>
      <c r="B47" s="577" t="s">
        <v>1513</v>
      </c>
      <c r="C47" s="5" t="str">
        <f>+VLOOKUP(B47,APUS!$B$5:$G$905,3,0)</f>
        <v>Geotextíl Tejido T2400</v>
      </c>
      <c r="D47" s="2" t="s">
        <v>39</v>
      </c>
      <c r="E47" s="4">
        <v>952.75</v>
      </c>
      <c r="F47" s="658">
        <f>+VLOOKUP(B47,APUS!$B$5:$G$905,6,0)</f>
        <v>9215</v>
      </c>
      <c r="G47" s="658">
        <f t="shared" si="7"/>
        <v>8779591</v>
      </c>
      <c r="H47" s="665"/>
      <c r="I47" s="663"/>
      <c r="J47" s="639"/>
    </row>
    <row r="48" spans="1:11" s="571" customFormat="1" x14ac:dyDescent="0.3">
      <c r="A48" s="536">
        <v>5</v>
      </c>
      <c r="B48" s="536"/>
      <c r="C48" s="537" t="s">
        <v>24</v>
      </c>
      <c r="D48" s="536"/>
      <c r="E48" s="538"/>
      <c r="F48" s="660"/>
      <c r="G48" s="674">
        <f>SUM(G49)</f>
        <v>16528241</v>
      </c>
      <c r="H48" s="667"/>
      <c r="I48" s="670"/>
      <c r="J48" s="639"/>
      <c r="K48" s="649"/>
    </row>
    <row r="49" spans="1:11" x14ac:dyDescent="0.3">
      <c r="A49" s="575">
        <f>+A48+0.1</f>
        <v>5.0999999999999996</v>
      </c>
      <c r="B49" s="2" t="s">
        <v>84</v>
      </c>
      <c r="C49" s="5" t="str">
        <f>+VLOOKUP(B49,APUS!$B$5:$G$905,3,0)</f>
        <v>Acero Fy = 60.000 psi d&gt;1/4"</v>
      </c>
      <c r="D49" s="2" t="s">
        <v>25</v>
      </c>
      <c r="E49" s="4">
        <v>2371</v>
      </c>
      <c r="F49" s="658">
        <f>+VLOOKUP(B49,APUS!$B$5:$G$905,6,0)</f>
        <v>6971</v>
      </c>
      <c r="G49" s="658">
        <f>+ROUND(F49*E49,0)</f>
        <v>16528241</v>
      </c>
      <c r="H49" s="665"/>
      <c r="I49" s="663"/>
      <c r="J49" s="639"/>
    </row>
    <row r="50" spans="1:11" s="571" customFormat="1" x14ac:dyDescent="0.3">
      <c r="A50" s="536">
        <v>6</v>
      </c>
      <c r="B50" s="536"/>
      <c r="C50" s="537" t="s">
        <v>73</v>
      </c>
      <c r="D50" s="536"/>
      <c r="E50" s="538"/>
      <c r="F50" s="660"/>
      <c r="G50" s="674">
        <f>SUM(G51:G59)</f>
        <v>25401330</v>
      </c>
      <c r="H50" s="667"/>
      <c r="I50" s="670"/>
      <c r="J50" s="639"/>
      <c r="K50" s="649"/>
    </row>
    <row r="51" spans="1:11" s="571" customFormat="1" x14ac:dyDescent="0.3">
      <c r="A51" s="2">
        <v>6.1</v>
      </c>
      <c r="B51" s="336"/>
      <c r="C51" s="651" t="s">
        <v>1757</v>
      </c>
      <c r="D51" s="2" t="s">
        <v>4</v>
      </c>
      <c r="E51" s="4">
        <v>15</v>
      </c>
      <c r="F51" s="661">
        <f>+APUS!G309</f>
        <v>57049</v>
      </c>
      <c r="G51" s="658">
        <f>+ROUND(F51*E51,0)</f>
        <v>855735</v>
      </c>
      <c r="H51" s="665"/>
      <c r="I51" s="663"/>
      <c r="J51" s="639"/>
    </row>
    <row r="52" spans="1:11" x14ac:dyDescent="0.3">
      <c r="A52" s="575">
        <v>6.2</v>
      </c>
      <c r="B52" s="2" t="s">
        <v>74</v>
      </c>
      <c r="C52" s="5" t="str">
        <f>+VLOOKUP(B52,APUS!$B$5:$G$905,3,0)</f>
        <v xml:space="preserve">Tubería en PVC Ø=3" J.H. Presión de trabajo 200 PSI </v>
      </c>
      <c r="D52" s="2" t="s">
        <v>32</v>
      </c>
      <c r="E52" s="4">
        <v>145.24</v>
      </c>
      <c r="F52" s="658">
        <f>+VLOOKUP(B52,APUS!$B$5:$G$905,6,0)</f>
        <v>26423</v>
      </c>
      <c r="G52" s="658">
        <f t="shared" ref="G52:G59" si="8">+ROUND(F52*E52,0)</f>
        <v>3837677</v>
      </c>
      <c r="H52" s="665"/>
      <c r="I52" s="663"/>
      <c r="J52" s="639"/>
    </row>
    <row r="53" spans="1:11" x14ac:dyDescent="0.3">
      <c r="A53" s="575">
        <v>6.3</v>
      </c>
      <c r="B53" s="2" t="s">
        <v>72</v>
      </c>
      <c r="C53" s="5" t="str">
        <f>+VLOOKUP(B53,APUS!$B$5:$G$905,3,0)</f>
        <v>Acometida de acueducto en tubería PALP Ø=1/2" en tubería PVC Ø=3"</v>
      </c>
      <c r="D53" s="2" t="s">
        <v>26</v>
      </c>
      <c r="E53" s="4">
        <v>30</v>
      </c>
      <c r="F53" s="658">
        <f>+VLOOKUP(B53,APUS!$B$5:$G$905,6,0)</f>
        <v>82810</v>
      </c>
      <c r="G53" s="658">
        <f t="shared" si="8"/>
        <v>2484300</v>
      </c>
      <c r="H53" s="665"/>
      <c r="I53" s="663"/>
      <c r="J53" s="639"/>
    </row>
    <row r="54" spans="1:11" x14ac:dyDescent="0.3">
      <c r="A54" s="575">
        <f t="shared" ref="A54" si="9">+A53+0.1</f>
        <v>6.3999999999999995</v>
      </c>
      <c r="B54" s="2" t="s">
        <v>78</v>
      </c>
      <c r="C54" s="5" t="str">
        <f>+VLOOKUP(B54,APUS!$B$5:$G$905,3,0)</f>
        <v>Caja de protección de medidor con tapa en polipropileno</v>
      </c>
      <c r="D54" s="2" t="s">
        <v>26</v>
      </c>
      <c r="E54" s="4">
        <v>30</v>
      </c>
      <c r="F54" s="658">
        <f>+VLOOKUP(B54,APUS!$B$5:$G$905,6,0)</f>
        <v>129007</v>
      </c>
      <c r="G54" s="658">
        <f t="shared" si="8"/>
        <v>3870210</v>
      </c>
      <c r="H54" s="665"/>
      <c r="I54" s="663"/>
      <c r="J54" s="639"/>
    </row>
    <row r="55" spans="1:11" x14ac:dyDescent="0.3">
      <c r="A55" s="2">
        <v>6.5</v>
      </c>
      <c r="B55" s="2" t="s">
        <v>1532</v>
      </c>
      <c r="C55" s="5" t="str">
        <f>+VLOOKUP(B55,APUS!$B$5:$G$905,3,0)</f>
        <v>Válvula de compuerta  Ø=3" J.H. E.L.</v>
      </c>
      <c r="D55" s="2" t="s">
        <v>26</v>
      </c>
      <c r="E55" s="4">
        <v>2</v>
      </c>
      <c r="F55" s="658">
        <f>+VLOOKUP(B55,APUS!$B$5:$G$905,6,0)</f>
        <v>702167</v>
      </c>
      <c r="G55" s="658">
        <f t="shared" si="8"/>
        <v>1404334</v>
      </c>
      <c r="H55" s="665"/>
      <c r="I55" s="663"/>
      <c r="J55" s="639"/>
    </row>
    <row r="56" spans="1:11" ht="27.6" x14ac:dyDescent="0.3">
      <c r="A56" s="575">
        <v>6.6</v>
      </c>
      <c r="B56" s="2" t="s">
        <v>1571</v>
      </c>
      <c r="C56" s="5" t="str">
        <f>+VLOOKUP(B56,APUS!$B$5:$G$905,3,0)</f>
        <v>Caja para válvulas tipo N° 1 en zona verde o en pavimento, con dado en concreto de 0,60 x 0,60 Esp=0,20 mts. Incluye acero, tapa en HD 21x21</v>
      </c>
      <c r="D56" s="2" t="s">
        <v>26</v>
      </c>
      <c r="E56" s="4">
        <v>2</v>
      </c>
      <c r="F56" s="658">
        <f>+VLOOKUP(B56,APUS!$B$5:$G$905,6,0)</f>
        <v>619920</v>
      </c>
      <c r="G56" s="658">
        <f t="shared" si="8"/>
        <v>1239840</v>
      </c>
      <c r="H56" s="665"/>
      <c r="I56" s="663"/>
      <c r="J56" s="639"/>
    </row>
    <row r="57" spans="1:11" ht="27.6" x14ac:dyDescent="0.3">
      <c r="A57" s="575">
        <v>6.7</v>
      </c>
      <c r="B57" s="2" t="s">
        <v>76</v>
      </c>
      <c r="C57" s="5" t="str">
        <f>+VLOOKUP(B57,APUS!$B$5:$G$905,3,0)</f>
        <v>Hidrante tipo Milán de 3" extremo brida, incluye válvula sello de bronce y kit de nivelación</v>
      </c>
      <c r="D57" s="2" t="s">
        <v>26</v>
      </c>
      <c r="E57" s="4">
        <v>2</v>
      </c>
      <c r="F57" s="658">
        <f>+VLOOKUP(B57,APUS!$B$5:$G$905,6,0)</f>
        <v>3884502</v>
      </c>
      <c r="G57" s="658">
        <f t="shared" si="8"/>
        <v>7769004</v>
      </c>
      <c r="H57" s="665"/>
      <c r="I57" s="663"/>
      <c r="J57" s="639"/>
    </row>
    <row r="58" spans="1:11" x14ac:dyDescent="0.3">
      <c r="A58" s="575">
        <v>6.8</v>
      </c>
      <c r="B58" s="2" t="s">
        <v>1574</v>
      </c>
      <c r="C58" s="5" t="str">
        <f>+VLOOKUP(B58,APUS!$B$5:$G$905,3,0)</f>
        <v>Unión universal en HD R1 Ø=3"</v>
      </c>
      <c r="D58" s="2" t="s">
        <v>26</v>
      </c>
      <c r="E58" s="4">
        <v>2</v>
      </c>
      <c r="F58" s="658">
        <f>+VLOOKUP(B58,APUS!$B$5:$G$905,6,0)</f>
        <v>159685</v>
      </c>
      <c r="G58" s="658">
        <f t="shared" si="8"/>
        <v>319370</v>
      </c>
      <c r="H58" s="665"/>
      <c r="I58" s="663"/>
      <c r="J58" s="639"/>
    </row>
    <row r="59" spans="1:11" x14ac:dyDescent="0.3">
      <c r="A59" s="2">
        <v>6.9</v>
      </c>
      <c r="B59" s="2" t="s">
        <v>1575</v>
      </c>
      <c r="C59" s="5" t="str">
        <f>+VLOOKUP(B59,APUS!$B$5:$G$905,3,0)</f>
        <v>Concreto para silletas, atraques y anclajes (concreto 20,7 Mpa)</v>
      </c>
      <c r="D59" s="2" t="s">
        <v>42</v>
      </c>
      <c r="E59" s="4">
        <v>5</v>
      </c>
      <c r="F59" s="658">
        <f>+VLOOKUP(B59,APUS!$B$5:$G$905,6,0)</f>
        <v>724172</v>
      </c>
      <c r="G59" s="658">
        <f t="shared" si="8"/>
        <v>3620860</v>
      </c>
      <c r="H59" s="665"/>
      <c r="I59" s="663"/>
      <c r="J59" s="639"/>
    </row>
    <row r="60" spans="1:11" s="571" customFormat="1" x14ac:dyDescent="0.3">
      <c r="A60" s="536">
        <v>7</v>
      </c>
      <c r="B60" s="536"/>
      <c r="C60" s="537" t="s">
        <v>71</v>
      </c>
      <c r="D60" s="536"/>
      <c r="E60" s="538"/>
      <c r="F60" s="660"/>
      <c r="G60" s="674">
        <f>SUM(G61:G72)</f>
        <v>80383627</v>
      </c>
      <c r="H60" s="667"/>
      <c r="I60" s="670"/>
      <c r="J60" s="639"/>
      <c r="K60" s="649"/>
    </row>
    <row r="61" spans="1:11" ht="41.25" customHeight="1" x14ac:dyDescent="0.3">
      <c r="A61" s="575">
        <f t="shared" ref="A61:A69" si="10">+A60+0.1</f>
        <v>7.1</v>
      </c>
      <c r="B61" s="2" t="s">
        <v>79</v>
      </c>
      <c r="C61" s="576" t="str">
        <f>+APUS!D392</f>
        <v>Tubería PVC de alcantarillado de pared estructural d =  16", exterior corrugado</v>
      </c>
      <c r="D61" s="2" t="s">
        <v>32</v>
      </c>
      <c r="E61" s="4">
        <v>145.24</v>
      </c>
      <c r="F61" s="658">
        <f>+APUS!G392</f>
        <v>163940</v>
      </c>
      <c r="G61" s="658">
        <f>+ROUND(F61*E61,0)</f>
        <v>23810646</v>
      </c>
      <c r="H61" s="665"/>
      <c r="I61" s="663"/>
      <c r="J61" s="639"/>
    </row>
    <row r="62" spans="1:11" x14ac:dyDescent="0.3">
      <c r="A62" s="575">
        <f t="shared" si="10"/>
        <v>7.1999999999999993</v>
      </c>
      <c r="B62" s="2" t="s">
        <v>80</v>
      </c>
      <c r="C62" s="5" t="str">
        <f>+VLOOKUP(B62,APUS!$B$5:$G$905,3,0)</f>
        <v>Tubería PVC Corrugado 160 mm</v>
      </c>
      <c r="D62" s="2" t="s">
        <v>32</v>
      </c>
      <c r="E62" s="4">
        <v>180</v>
      </c>
      <c r="F62" s="658">
        <f>+VLOOKUP(B62,APUS!$B$5:$G$905,6,0)</f>
        <v>34250</v>
      </c>
      <c r="G62" s="658">
        <f t="shared" ref="G62:G72" si="11">+ROUND(F62*E62,0)</f>
        <v>6165000</v>
      </c>
      <c r="H62" s="665"/>
      <c r="I62" s="663"/>
      <c r="J62" s="639"/>
    </row>
    <row r="63" spans="1:11" x14ac:dyDescent="0.3">
      <c r="A63" s="575">
        <f t="shared" si="10"/>
        <v>7.2999999999999989</v>
      </c>
      <c r="B63" s="2" t="s">
        <v>82</v>
      </c>
      <c r="C63" s="5" t="str">
        <f>+VLOOKUP(B63,APUS!$B$5:$G$905,3,0)</f>
        <v>Silla Yee Pvc de pared estructural 400X160</v>
      </c>
      <c r="D63" s="2" t="s">
        <v>26</v>
      </c>
      <c r="E63" s="4">
        <v>30</v>
      </c>
      <c r="F63" s="658">
        <f>+VLOOKUP(B63,APUS!$B$5:$G$905,6,0)</f>
        <v>288846</v>
      </c>
      <c r="G63" s="658">
        <f t="shared" si="11"/>
        <v>8665380</v>
      </c>
      <c r="H63" s="665"/>
      <c r="I63" s="663"/>
      <c r="J63" s="639"/>
    </row>
    <row r="64" spans="1:11" ht="27.6" x14ac:dyDescent="0.3">
      <c r="A64" s="575">
        <f t="shared" si="10"/>
        <v>7.3999999999999986</v>
      </c>
      <c r="B64" s="2" t="s">
        <v>60</v>
      </c>
      <c r="C64" s="5" t="str">
        <f>+VLOOKUP(B64,APUS!$B$5:$G$905,3,0)</f>
        <v>Base y cañuela para cámara de inspección d = 1,20 m en concreto de 20,7 Mpa</v>
      </c>
      <c r="D64" s="2" t="s">
        <v>26</v>
      </c>
      <c r="E64" s="4">
        <v>4</v>
      </c>
      <c r="F64" s="658">
        <f>+VLOOKUP(B64,APUS!$B$5:$G$905,6,0)</f>
        <v>503402</v>
      </c>
      <c r="G64" s="658">
        <f t="shared" si="11"/>
        <v>2013608</v>
      </c>
      <c r="H64" s="665"/>
      <c r="I64" s="663"/>
      <c r="J64" s="639"/>
    </row>
    <row r="65" spans="1:11" ht="27.6" x14ac:dyDescent="0.3">
      <c r="A65" s="575">
        <f t="shared" si="10"/>
        <v>7.4999999999999982</v>
      </c>
      <c r="B65" s="2" t="s">
        <v>62</v>
      </c>
      <c r="C65" s="5" t="str">
        <f>+VLOOKUP(B65,APUS!$B$5:$G$905,3,0)</f>
        <v>Cuerpo para cámara de inspección d = 1,20 m, en concreto de 20,7 Mpa, no incluye refuerzo</v>
      </c>
      <c r="D65" s="2" t="s">
        <v>32</v>
      </c>
      <c r="E65" s="4">
        <v>8</v>
      </c>
      <c r="F65" s="658">
        <f>+VLOOKUP(B65,APUS!$B$5:$G$905,6,0)</f>
        <v>653949</v>
      </c>
      <c r="G65" s="658">
        <f t="shared" si="11"/>
        <v>5231592</v>
      </c>
      <c r="H65" s="665"/>
      <c r="I65" s="663"/>
      <c r="J65" s="639"/>
    </row>
    <row r="66" spans="1:11" ht="27.6" x14ac:dyDescent="0.3">
      <c r="A66" s="575">
        <f t="shared" si="10"/>
        <v>7.5999999999999979</v>
      </c>
      <c r="B66" s="2" t="s">
        <v>64</v>
      </c>
      <c r="C66" s="5" t="str">
        <f>+VLOOKUP(B66,APUS!$B$5:$G$905,3,0)</f>
        <v>Cono para cámara de inspección d = 1,20 m, en concreto de 20,7 Mpa, incluye refuerzo</v>
      </c>
      <c r="D66" s="2" t="s">
        <v>26</v>
      </c>
      <c r="E66" s="4">
        <v>4</v>
      </c>
      <c r="F66" s="658">
        <f>+VLOOKUP(B66,APUS!$B$5:$G$905,6,0)</f>
        <v>521348</v>
      </c>
      <c r="G66" s="658">
        <f t="shared" si="11"/>
        <v>2085392</v>
      </c>
      <c r="H66" s="665"/>
      <c r="I66" s="663"/>
      <c r="J66" s="639"/>
    </row>
    <row r="67" spans="1:11" ht="27.6" x14ac:dyDescent="0.3">
      <c r="A67" s="575">
        <f t="shared" si="10"/>
        <v>7.6999999999999975</v>
      </c>
      <c r="B67" s="2" t="s">
        <v>1531</v>
      </c>
      <c r="C67" s="5" t="str">
        <f>+VLOOKUP(B67,APUS!$B$5:$G$905,3,0)</f>
        <v>Losa para cámaras de inspección Øinterior 1,20 mts e=0,20mts. Concreto 24 Mpa. Incluye 64 kg de acero de refuerzo para tapa metálica</v>
      </c>
      <c r="D67" s="2" t="s">
        <v>26</v>
      </c>
      <c r="E67" s="4">
        <v>4</v>
      </c>
      <c r="F67" s="658">
        <f>+VLOOKUP(B67,APUS!$B$5:$G$905,6,0)</f>
        <v>1081292</v>
      </c>
      <c r="G67" s="658">
        <f t="shared" si="11"/>
        <v>4325168</v>
      </c>
      <c r="H67" s="665"/>
      <c r="I67" s="663"/>
      <c r="J67" s="639"/>
    </row>
    <row r="68" spans="1:11" ht="27.6" x14ac:dyDescent="0.3">
      <c r="A68" s="575">
        <f t="shared" si="10"/>
        <v>7.7999999999999972</v>
      </c>
      <c r="B68" s="2" t="s">
        <v>66</v>
      </c>
      <c r="C68" s="5" t="str">
        <f>+VLOOKUP(B68,APUS!$B$5:$G$905,3,0)&amp;"HD, + kit seguridad y anti ruidao"</f>
        <v>Tapa en H. F. de 90 kg con cuello en concreto de 20,7 Mpa d = 0,60 m           HD, + kit seguridad y anti ruidao</v>
      </c>
      <c r="D68" s="2" t="s">
        <v>26</v>
      </c>
      <c r="E68" s="4">
        <v>4</v>
      </c>
      <c r="F68" s="658">
        <f>+VLOOKUP(B68,APUS!$B$5:$G$905,6,0)</f>
        <v>741010</v>
      </c>
      <c r="G68" s="658">
        <f t="shared" si="11"/>
        <v>2964040</v>
      </c>
      <c r="H68" s="665"/>
      <c r="I68" s="663"/>
      <c r="J68" s="639"/>
    </row>
    <row r="69" spans="1:11" x14ac:dyDescent="0.3">
      <c r="A69" s="575">
        <f t="shared" si="10"/>
        <v>7.8999999999999968</v>
      </c>
      <c r="B69" s="2"/>
      <c r="C69" s="5" t="s">
        <v>1760</v>
      </c>
      <c r="D69" s="2" t="s">
        <v>26</v>
      </c>
      <c r="E69" s="4">
        <v>23</v>
      </c>
      <c r="F69" s="658">
        <f>+APUS!G184</f>
        <v>50259</v>
      </c>
      <c r="G69" s="658">
        <f t="shared" si="11"/>
        <v>1155957</v>
      </c>
      <c r="H69" s="665"/>
      <c r="I69" s="663"/>
      <c r="J69" s="639"/>
    </row>
    <row r="70" spans="1:11" ht="27.6" x14ac:dyDescent="0.3">
      <c r="A70" s="578">
        <v>7.1</v>
      </c>
      <c r="B70" s="2" t="s">
        <v>68</v>
      </c>
      <c r="C70" s="5" t="str">
        <f>+VLOOKUP(B70,APUS!$B$5:$G$905,3,0)&amp;" reja 70x50"</f>
        <v>Sumidero en concreto de 20,7 Mpa, incluye reja con anticorrosivo reja 70x50</v>
      </c>
      <c r="D70" s="2" t="s">
        <v>26</v>
      </c>
      <c r="E70" s="4">
        <v>6</v>
      </c>
      <c r="F70" s="658">
        <f>+VLOOKUP(B70,APUS!$B$5:$G$905,6,0)</f>
        <v>1283100</v>
      </c>
      <c r="G70" s="658">
        <f t="shared" si="11"/>
        <v>7698600</v>
      </c>
      <c r="H70" s="665"/>
      <c r="I70" s="663"/>
      <c r="J70" s="639"/>
    </row>
    <row r="71" spans="1:11" x14ac:dyDescent="0.3">
      <c r="A71" s="578">
        <v>7.11</v>
      </c>
      <c r="B71" s="2"/>
      <c r="C71" s="5" t="s">
        <v>1754</v>
      </c>
      <c r="D71" s="2" t="s">
        <v>5</v>
      </c>
      <c r="E71" s="4">
        <v>24</v>
      </c>
      <c r="F71" s="658">
        <f>+APUS!G201</f>
        <v>620969</v>
      </c>
      <c r="G71" s="658">
        <f t="shared" si="11"/>
        <v>14903256</v>
      </c>
      <c r="H71" s="665"/>
      <c r="I71" s="663"/>
      <c r="J71" s="639"/>
    </row>
    <row r="72" spans="1:11" x14ac:dyDescent="0.3">
      <c r="A72" s="578">
        <v>7.12</v>
      </c>
      <c r="B72" s="2" t="s">
        <v>1576</v>
      </c>
      <c r="C72" s="5" t="str">
        <f>+VLOOKUP(B72,APUS!$B$5:$G$905,3,0)</f>
        <v>Empalme de redes de alcantarillado a cámara existente</v>
      </c>
      <c r="D72" s="2" t="s">
        <v>26</v>
      </c>
      <c r="E72" s="4">
        <v>12</v>
      </c>
      <c r="F72" s="658">
        <f>+VLOOKUP(B72,APUS!$B$5:$G$905,6,0)</f>
        <v>113749</v>
      </c>
      <c r="G72" s="658">
        <f t="shared" si="11"/>
        <v>1364988</v>
      </c>
      <c r="H72" s="665"/>
      <c r="I72" s="663"/>
      <c r="J72" s="639"/>
    </row>
    <row r="73" spans="1:11" x14ac:dyDescent="0.3">
      <c r="A73" s="536">
        <v>8</v>
      </c>
      <c r="B73" s="536"/>
      <c r="C73" s="539" t="s">
        <v>1730</v>
      </c>
      <c r="D73" s="536"/>
      <c r="E73" s="538"/>
      <c r="F73" s="662"/>
      <c r="G73" s="674">
        <f>SUM(G74:G79)</f>
        <v>29215097</v>
      </c>
      <c r="H73" s="667"/>
      <c r="I73" s="670"/>
      <c r="J73" s="639"/>
      <c r="K73" s="649"/>
    </row>
    <row r="74" spans="1:11" x14ac:dyDescent="0.3">
      <c r="A74" s="575">
        <f t="shared" ref="A74:A79" si="12">+A73+0.1</f>
        <v>8.1</v>
      </c>
      <c r="B74" s="2" t="s">
        <v>1710</v>
      </c>
      <c r="C74" s="5" t="s">
        <v>1711</v>
      </c>
      <c r="D74" s="2" t="s">
        <v>32</v>
      </c>
      <c r="E74" s="4">
        <v>12</v>
      </c>
      <c r="F74" s="658">
        <f>+VLOOKUP(B74,APUS!$B$5:$G$905,6,0)</f>
        <v>214973</v>
      </c>
      <c r="G74" s="658">
        <f>+ROUND(F74*E74,0)</f>
        <v>2579676</v>
      </c>
      <c r="H74" s="665"/>
      <c r="I74" s="663"/>
      <c r="J74" s="639"/>
    </row>
    <row r="75" spans="1:11" x14ac:dyDescent="0.3">
      <c r="A75" s="575">
        <f t="shared" si="12"/>
        <v>8.1999999999999993</v>
      </c>
      <c r="B75" s="2" t="s">
        <v>1712</v>
      </c>
      <c r="C75" s="5" t="s">
        <v>1713</v>
      </c>
      <c r="D75" s="2" t="s">
        <v>26</v>
      </c>
      <c r="E75" s="4">
        <v>6</v>
      </c>
      <c r="F75" s="658">
        <f>+VLOOKUP(B75,APUS!$B$5:$G$905,6,0)</f>
        <v>451477</v>
      </c>
      <c r="G75" s="658">
        <f t="shared" ref="G75:G79" si="13">+ROUND(F75*E75,0)</f>
        <v>2708862</v>
      </c>
      <c r="H75" s="665"/>
      <c r="I75" s="663"/>
      <c r="J75" s="639"/>
    </row>
    <row r="76" spans="1:11" x14ac:dyDescent="0.3">
      <c r="A76" s="575">
        <f t="shared" si="12"/>
        <v>8.2999999999999989</v>
      </c>
      <c r="B76" s="2" t="s">
        <v>1714</v>
      </c>
      <c r="C76" s="5" t="s">
        <v>1715</v>
      </c>
      <c r="D76" s="2" t="s">
        <v>32</v>
      </c>
      <c r="E76" s="4">
        <v>282.08</v>
      </c>
      <c r="F76" s="658">
        <f>+VLOOKUP(B76,APUS!$B$5:$G$905,6,0)</f>
        <v>2315</v>
      </c>
      <c r="G76" s="658">
        <f t="shared" si="13"/>
        <v>653015</v>
      </c>
      <c r="H76" s="665"/>
      <c r="I76" s="663"/>
      <c r="J76" s="639"/>
    </row>
    <row r="77" spans="1:11" x14ac:dyDescent="0.3">
      <c r="A77" s="575">
        <f t="shared" si="12"/>
        <v>8.3999999999999986</v>
      </c>
      <c r="B77" s="2" t="s">
        <v>1716</v>
      </c>
      <c r="C77" s="5" t="s">
        <v>1717</v>
      </c>
      <c r="D77" s="2" t="s">
        <v>39</v>
      </c>
      <c r="E77" s="4">
        <v>6</v>
      </c>
      <c r="F77" s="658">
        <f>+VLOOKUP(B77,APUS!$B$5:$G$905,6,0)</f>
        <v>25205</v>
      </c>
      <c r="G77" s="658">
        <f t="shared" si="13"/>
        <v>151230</v>
      </c>
      <c r="H77" s="665"/>
      <c r="I77" s="663"/>
      <c r="J77" s="639"/>
    </row>
    <row r="78" spans="1:11" x14ac:dyDescent="0.3">
      <c r="A78" s="575">
        <f t="shared" si="12"/>
        <v>8.4999999999999982</v>
      </c>
      <c r="B78" s="2" t="s">
        <v>1718</v>
      </c>
      <c r="C78" s="5" t="s">
        <v>1719</v>
      </c>
      <c r="D78" s="2" t="s">
        <v>1720</v>
      </c>
      <c r="E78" s="4">
        <v>360</v>
      </c>
      <c r="F78" s="658">
        <f>+APUS!G441</f>
        <v>64050</v>
      </c>
      <c r="G78" s="658">
        <f t="shared" si="13"/>
        <v>23058000</v>
      </c>
      <c r="H78" s="665"/>
      <c r="I78" s="663"/>
      <c r="J78" s="639"/>
    </row>
    <row r="79" spans="1:11" x14ac:dyDescent="0.3">
      <c r="A79" s="575">
        <f t="shared" si="12"/>
        <v>8.5999999999999979</v>
      </c>
      <c r="B79" s="2" t="s">
        <v>1721</v>
      </c>
      <c r="C79" s="5" t="s">
        <v>1722</v>
      </c>
      <c r="D79" s="2" t="s">
        <v>26</v>
      </c>
      <c r="E79" s="4">
        <v>6</v>
      </c>
      <c r="F79" s="658">
        <f>+VLOOKUP(B79,APUS!$B$5:$G$905,6,0)</f>
        <v>10719</v>
      </c>
      <c r="G79" s="658">
        <f t="shared" si="13"/>
        <v>64314</v>
      </c>
      <c r="H79" s="665"/>
      <c r="I79" s="663"/>
      <c r="J79" s="639"/>
    </row>
    <row r="80" spans="1:11" s="571" customFormat="1" ht="27.6" x14ac:dyDescent="0.3">
      <c r="A80" s="536">
        <v>9</v>
      </c>
      <c r="B80" s="536"/>
      <c r="C80" s="539" t="s">
        <v>1580</v>
      </c>
      <c r="D80" s="536"/>
      <c r="E80" s="538"/>
      <c r="F80" s="662"/>
      <c r="G80" s="674">
        <f>SUM(G81:G83)</f>
        <v>23268656</v>
      </c>
      <c r="H80" s="667"/>
      <c r="I80" s="670"/>
      <c r="J80" s="639"/>
      <c r="K80" s="649"/>
    </row>
    <row r="81" spans="1:12" x14ac:dyDescent="0.3">
      <c r="A81" s="575">
        <v>9.1</v>
      </c>
      <c r="B81" s="2" t="s">
        <v>1577</v>
      </c>
      <c r="C81" s="5" t="str">
        <f>+VLOOKUP(B81,APUS!$B$5:$G$905,3,0)</f>
        <v>Puntos de hidratación en perfectas condiciones de higiene y limpieza</v>
      </c>
      <c r="D81" s="2" t="s">
        <v>171</v>
      </c>
      <c r="E81" s="4">
        <v>4</v>
      </c>
      <c r="F81" s="658">
        <f>+VLOOKUP(B81,APUS!$B$5:$G$905,6,0)</f>
        <v>650529</v>
      </c>
      <c r="G81" s="658">
        <f>+ROUND(F81*E81,0)</f>
        <v>2602116</v>
      </c>
      <c r="H81" s="665"/>
      <c r="I81" s="663"/>
      <c r="J81" s="639"/>
    </row>
    <row r="82" spans="1:12" x14ac:dyDescent="0.3">
      <c r="A82" s="575">
        <v>9.1999999999999993</v>
      </c>
      <c r="B82" s="2" t="s">
        <v>1578</v>
      </c>
      <c r="C82" s="5" t="str">
        <f>+VLOOKUP(B82,APUS!$B$5:$G$905,3,0)</f>
        <v>Suministro y reposición de los elementos de desinfección para la obra</v>
      </c>
      <c r="D82" s="2" t="s">
        <v>171</v>
      </c>
      <c r="E82" s="4">
        <v>4</v>
      </c>
      <c r="F82" s="658">
        <f>+VLOOKUP(B82,APUS!$B$5:$G$905,6,0)</f>
        <v>1981635</v>
      </c>
      <c r="G82" s="658">
        <f t="shared" ref="G82:G83" si="14">+ROUND(F82*E82,0)</f>
        <v>7926540</v>
      </c>
      <c r="H82" s="665"/>
      <c r="I82" s="663"/>
      <c r="J82" s="639"/>
    </row>
    <row r="83" spans="1:12" ht="55.2" x14ac:dyDescent="0.3">
      <c r="A83" s="575">
        <v>9.3000000000000007</v>
      </c>
      <c r="B83" s="2" t="s">
        <v>1579</v>
      </c>
      <c r="C83" s="5" t="str">
        <f>+VLOOKUP(B83,APUS!$B$5:$G$905,3,0)</f>
        <v>Adecuación de areas bioseguras para descontaminación. Incluye termometro, lavamanos portatiles, botiquin, señalización interna y externa, canecas de pedal, lavado y desinfección de areas y adecuación zonas de desifección</v>
      </c>
      <c r="D83" s="2" t="s">
        <v>26</v>
      </c>
      <c r="E83" s="4">
        <v>4</v>
      </c>
      <c r="F83" s="658">
        <f>+VLOOKUP(B83,APUS!$B$5:$G$905,6,0)</f>
        <v>3185000</v>
      </c>
      <c r="G83" s="658">
        <f t="shared" si="14"/>
        <v>12740000</v>
      </c>
      <c r="H83" s="665"/>
      <c r="I83" s="663"/>
      <c r="J83" s="639"/>
    </row>
    <row r="84" spans="1:12" x14ac:dyDescent="0.3">
      <c r="A84" s="214"/>
      <c r="B84" s="214"/>
      <c r="C84" s="215"/>
      <c r="D84" s="214"/>
      <c r="E84" s="216"/>
      <c r="F84" s="217"/>
      <c r="G84" s="217"/>
      <c r="H84" s="217"/>
      <c r="I84" s="217"/>
    </row>
    <row r="85" spans="1:12" ht="15.6" x14ac:dyDescent="0.3">
      <c r="C85" s="798" t="s">
        <v>87</v>
      </c>
      <c r="D85" s="798"/>
      <c r="E85" s="798"/>
      <c r="F85" s="798"/>
      <c r="G85" s="672">
        <f>SUM(G6:G83)/2</f>
        <v>660839384</v>
      </c>
      <c r="H85" s="700"/>
      <c r="I85" s="657"/>
      <c r="K85" s="640"/>
    </row>
    <row r="86" spans="1:12" ht="15.6" x14ac:dyDescent="0.3">
      <c r="C86" s="798" t="s">
        <v>1833</v>
      </c>
      <c r="D86" s="798"/>
      <c r="E86" s="798"/>
      <c r="F86" s="574">
        <v>0.41986991683292291</v>
      </c>
      <c r="G86" s="672">
        <f>ROUND((G85*F86),0)</f>
        <v>277466577</v>
      </c>
      <c r="H86" s="699"/>
      <c r="I86" s="668"/>
      <c r="K86" s="640"/>
    </row>
    <row r="87" spans="1:12" ht="15.6" x14ac:dyDescent="0.3">
      <c r="C87" s="798" t="s">
        <v>88</v>
      </c>
      <c r="D87" s="798"/>
      <c r="E87" s="798"/>
      <c r="F87" s="798"/>
      <c r="G87" s="672">
        <f>+G85+G86</f>
        <v>938305961</v>
      </c>
      <c r="H87" s="657"/>
      <c r="I87" s="668"/>
      <c r="K87" s="640"/>
    </row>
    <row r="88" spans="1:12" ht="15.6" hidden="1" x14ac:dyDescent="0.3">
      <c r="C88" s="798" t="s">
        <v>89</v>
      </c>
      <c r="D88" s="798"/>
      <c r="E88" s="798"/>
      <c r="F88" s="574">
        <f>+Interventoria!E49</f>
        <v>0</v>
      </c>
      <c r="G88" s="573">
        <f>ROUND(G87*F88,0)</f>
        <v>0</v>
      </c>
      <c r="H88" s="657"/>
      <c r="I88" s="668"/>
      <c r="K88" s="640"/>
    </row>
    <row r="89" spans="1:12" ht="15.6" hidden="1" x14ac:dyDescent="0.3">
      <c r="C89" s="798" t="s">
        <v>90</v>
      </c>
      <c r="D89" s="798"/>
      <c r="E89" s="798"/>
      <c r="F89" s="798"/>
      <c r="G89" s="573">
        <f>+G87+G88</f>
        <v>938305961</v>
      </c>
      <c r="H89" s="657"/>
      <c r="I89" s="668"/>
      <c r="K89" s="640"/>
    </row>
    <row r="90" spans="1:12" x14ac:dyDescent="0.3">
      <c r="I90" s="669"/>
    </row>
    <row r="91" spans="1:12" x14ac:dyDescent="0.3">
      <c r="G91" s="646"/>
      <c r="H91" s="646"/>
      <c r="I91" s="646"/>
    </row>
    <row r="92" spans="1:12" x14ac:dyDescent="0.3">
      <c r="G92" s="646"/>
      <c r="H92" s="669"/>
      <c r="I92" s="646"/>
    </row>
    <row r="93" spans="1:12" x14ac:dyDescent="0.3">
      <c r="H93" s="671"/>
    </row>
    <row r="94" spans="1:12" s="623" customFormat="1" ht="15.6" x14ac:dyDescent="0.3">
      <c r="A94" s="621"/>
      <c r="B94" s="622" t="s">
        <v>1827</v>
      </c>
      <c r="D94" s="624"/>
      <c r="G94" s="625"/>
      <c r="H94" s="625"/>
      <c r="I94" s="625"/>
      <c r="J94" s="636"/>
      <c r="K94" s="625"/>
      <c r="L94" s="625"/>
    </row>
    <row r="95" spans="1:12" s="623" customFormat="1" ht="15.6" x14ac:dyDescent="0.25">
      <c r="A95" s="627"/>
      <c r="B95" s="799" t="s">
        <v>1828</v>
      </c>
      <c r="C95" s="799"/>
      <c r="D95" s="803" t="s">
        <v>1829</v>
      </c>
      <c r="E95" s="803"/>
      <c r="F95" s="803"/>
      <c r="G95" s="625"/>
      <c r="H95" s="625"/>
      <c r="I95" s="625"/>
      <c r="J95" s="636"/>
      <c r="K95" s="625"/>
      <c r="L95" s="625"/>
    </row>
    <row r="96" spans="1:12" s="623" customFormat="1" ht="15.6" x14ac:dyDescent="0.25">
      <c r="A96" s="627"/>
      <c r="B96" s="800" t="s">
        <v>1830</v>
      </c>
      <c r="C96" s="800"/>
      <c r="D96" s="801" t="s">
        <v>1831</v>
      </c>
      <c r="E96" s="801"/>
      <c r="F96" s="628"/>
      <c r="G96" s="625"/>
      <c r="H96" s="625"/>
      <c r="I96" s="625"/>
      <c r="J96" s="636"/>
      <c r="K96" s="625"/>
      <c r="L96" s="625"/>
    </row>
    <row r="97" spans="1:12" s="633" customFormat="1" x14ac:dyDescent="0.3">
      <c r="A97" s="629"/>
      <c r="B97" s="800" t="s">
        <v>1832</v>
      </c>
      <c r="C97" s="800"/>
      <c r="D97" s="802" t="s">
        <v>1832</v>
      </c>
      <c r="E97" s="802"/>
      <c r="F97" s="802"/>
      <c r="G97" s="630"/>
      <c r="H97" s="630"/>
      <c r="I97" s="630"/>
      <c r="J97" s="637"/>
      <c r="K97" s="632"/>
      <c r="L97" s="632"/>
    </row>
  </sheetData>
  <mergeCells count="16">
    <mergeCell ref="B95:C95"/>
    <mergeCell ref="B96:C96"/>
    <mergeCell ref="D96:E96"/>
    <mergeCell ref="B97:C97"/>
    <mergeCell ref="D97:F97"/>
    <mergeCell ref="D95:F95"/>
    <mergeCell ref="C85:F85"/>
    <mergeCell ref="C86:E86"/>
    <mergeCell ref="C87:F87"/>
    <mergeCell ref="C88:E88"/>
    <mergeCell ref="C89:F89"/>
    <mergeCell ref="A1:C4"/>
    <mergeCell ref="D1:G1"/>
    <mergeCell ref="D2:G2"/>
    <mergeCell ref="D3:G3"/>
    <mergeCell ref="D4:G4"/>
  </mergeCells>
  <printOptions horizontalCentered="1"/>
  <pageMargins left="0.59055118110236227" right="0.59055118110236227" top="0.78740157480314965" bottom="0.78740157480314965" header="0.39370078740157483" footer="0.39370078740157483"/>
  <pageSetup scale="79" fitToHeight="50" orientation="portrait" horizontalDpi="360" verticalDpi="360" r:id="rId1"/>
  <headerFooter>
    <oddFooter>&amp;C&amp;"Arial Narrow,Normal"Pág.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autoPageBreaks="0" fitToPage="1"/>
  </sheetPr>
  <dimension ref="A1:AP526"/>
  <sheetViews>
    <sheetView showWhiteSpace="0" view="pageBreakPreview" zoomScaleNormal="100" zoomScaleSheetLayoutView="100" zoomScalePageLayoutView="130" workbookViewId="0">
      <pane ySplit="1" topLeftCell="A42" activePane="bottomLeft" state="frozen"/>
      <selection pane="bottomLeft" activeCell="J66" sqref="J66"/>
    </sheetView>
  </sheetViews>
  <sheetFormatPr baseColWidth="10" defaultColWidth="8.109375" defaultRowHeight="13.2" x14ac:dyDescent="0.3"/>
  <cols>
    <col min="1" max="1" width="2.5546875" style="102" customWidth="1"/>
    <col min="2" max="2" width="14" style="13" bestFit="1" customWidth="1"/>
    <col min="3" max="3" width="12.6640625" style="38" customWidth="1"/>
    <col min="4" max="4" width="50.88671875" style="38" customWidth="1"/>
    <col min="5" max="5" width="12.5546875" style="70" bestFit="1" customWidth="1"/>
    <col min="6" max="6" width="10.88671875" style="213" customWidth="1"/>
    <col min="7" max="7" width="12.88671875" style="171" bestFit="1" customWidth="1"/>
    <col min="8" max="8" width="23" style="198" customWidth="1"/>
    <col min="9" max="9" width="12" style="172" bestFit="1" customWidth="1"/>
    <col min="10" max="10" width="16.109375" style="73" customWidth="1"/>
    <col min="11" max="11" width="13.5546875" style="73" customWidth="1"/>
    <col min="12" max="12" width="8.109375" style="73"/>
    <col min="13" max="13" width="10" style="73" bestFit="1" customWidth="1"/>
    <col min="14" max="24" width="8.109375" style="73"/>
    <col min="25" max="25" width="2.88671875" style="73" customWidth="1"/>
    <col min="26" max="16384" width="8.109375" style="73"/>
  </cols>
  <sheetData>
    <row r="1" spans="1:11" ht="72.599999999999994" customHeight="1" thickBot="1" x14ac:dyDescent="0.35">
      <c r="A1" s="13"/>
      <c r="B1" s="815"/>
      <c r="C1" s="816"/>
      <c r="D1" s="817" t="str">
        <f>+Presupuesto_OFICIAL!D2</f>
        <v>OPTIMIZACIÓN DE LAS REDES DE ACUEDUCTO Y ALCANTARILLADO UBICADOS EN LA CALLE 6 ENTRE CARRERAS 9 Y 11 - MUNICIPIO DE SANTUARIO RISARALDA</v>
      </c>
      <c r="E1" s="817"/>
      <c r="F1" s="817"/>
      <c r="G1" s="817"/>
      <c r="H1" s="818"/>
      <c r="I1" s="819"/>
    </row>
    <row r="2" spans="1:11" ht="13.8" thickBot="1" x14ac:dyDescent="0.35">
      <c r="A2" s="13"/>
      <c r="B2" s="164"/>
      <c r="C2" s="165"/>
      <c r="D2" s="165"/>
      <c r="E2" s="165"/>
      <c r="F2" s="190"/>
      <c r="G2" s="154"/>
      <c r="H2" s="190"/>
      <c r="I2" s="154"/>
    </row>
    <row r="3" spans="1:11" ht="27" thickBot="1" x14ac:dyDescent="0.35">
      <c r="A3" s="166"/>
      <c r="B3" s="294" t="s">
        <v>1497</v>
      </c>
      <c r="C3" s="338" t="s">
        <v>151</v>
      </c>
      <c r="D3" s="338" t="s">
        <v>20</v>
      </c>
      <c r="E3" s="338" t="s">
        <v>1498</v>
      </c>
      <c r="F3" s="339" t="s">
        <v>1499</v>
      </c>
      <c r="G3" s="340" t="s">
        <v>22</v>
      </c>
      <c r="H3" s="341" t="s">
        <v>1500</v>
      </c>
      <c r="I3" s="342" t="s">
        <v>1501</v>
      </c>
    </row>
    <row r="4" spans="1:11" ht="13.8" thickBot="1" x14ac:dyDescent="0.35">
      <c r="B4" s="69"/>
      <c r="C4" s="334"/>
      <c r="D4" s="334"/>
      <c r="E4" s="334"/>
      <c r="F4" s="199"/>
      <c r="G4" s="167"/>
      <c r="H4" s="191"/>
      <c r="I4" s="168"/>
    </row>
    <row r="5" spans="1:11" s="24" customFormat="1" ht="26.4" x14ac:dyDescent="0.3">
      <c r="A5" s="48"/>
      <c r="B5" s="68" t="s">
        <v>28</v>
      </c>
      <c r="C5" s="84"/>
      <c r="D5" s="83" t="s">
        <v>27</v>
      </c>
      <c r="E5" s="84" t="s">
        <v>32</v>
      </c>
      <c r="F5" s="200"/>
      <c r="G5" s="141">
        <f>ROUND(SUM(I6:I11),0)</f>
        <v>3943</v>
      </c>
      <c r="H5" s="192"/>
      <c r="I5" s="153"/>
      <c r="K5" s="34"/>
    </row>
    <row r="6" spans="1:11" x14ac:dyDescent="0.3">
      <c r="B6" s="806" t="s">
        <v>183</v>
      </c>
      <c r="C6" s="100" t="s">
        <v>994</v>
      </c>
      <c r="D6" s="85" t="str">
        <f>+VLOOKUP(C6,BD!$A$29:$E$877,2,0)</f>
        <v>Puntilla de 3"</v>
      </c>
      <c r="E6" s="86" t="s">
        <v>383</v>
      </c>
      <c r="F6" s="201">
        <v>0.02</v>
      </c>
      <c r="G6" s="142">
        <f>VLOOKUP(C6,BD!$A$29:$E$877,5,0)</f>
        <v>3424</v>
      </c>
      <c r="H6" s="193">
        <v>0</v>
      </c>
      <c r="I6" s="148">
        <f>ROUND((F6*G6),0)</f>
        <v>68</v>
      </c>
      <c r="J6" s="24"/>
      <c r="K6" s="35"/>
    </row>
    <row r="7" spans="1:11" x14ac:dyDescent="0.3">
      <c r="B7" s="821"/>
      <c r="C7" s="100" t="s">
        <v>627</v>
      </c>
      <c r="D7" s="85" t="str">
        <f>+VLOOKUP(C7,BD!$A$29:$E$877,2,0)</f>
        <v>Guadua basa longitud promedio = 5 m</v>
      </c>
      <c r="E7" s="86" t="s">
        <v>26</v>
      </c>
      <c r="F7" s="201">
        <v>0.02</v>
      </c>
      <c r="G7" s="142">
        <f>VLOOKUP(C7,BD!$A$29:$E$877,5,0)</f>
        <v>6420</v>
      </c>
      <c r="H7" s="193">
        <f>1/3</f>
        <v>0.33333333333333331</v>
      </c>
      <c r="I7" s="148">
        <f>ROUND((F7*G7*H7),0)</f>
        <v>43</v>
      </c>
      <c r="J7" s="24"/>
      <c r="K7" s="35"/>
    </row>
    <row r="8" spans="1:11" x14ac:dyDescent="0.3">
      <c r="B8" s="821"/>
      <c r="C8" s="100" t="s">
        <v>497</v>
      </c>
      <c r="D8" s="85" t="str">
        <f>+VLOOKUP(C8,BD!$A$29:$E$877,2,0)</f>
        <v>Cuartón de sajo 2" x 4" x 2,9 m</v>
      </c>
      <c r="E8" s="86" t="s">
        <v>32</v>
      </c>
      <c r="F8" s="201">
        <v>0.1</v>
      </c>
      <c r="G8" s="142">
        <f>VLOOKUP(C8,BD!$A$29:$E$877,5,0)</f>
        <v>4494</v>
      </c>
      <c r="H8" s="193">
        <f>1/3</f>
        <v>0.33333333333333331</v>
      </c>
      <c r="I8" s="148">
        <f>ROUND((F8*G8*H8),0)</f>
        <v>150</v>
      </c>
      <c r="J8" s="24"/>
      <c r="K8" s="35"/>
    </row>
    <row r="9" spans="1:11" x14ac:dyDescent="0.3">
      <c r="B9" s="821"/>
      <c r="C9" s="100" t="s">
        <v>747</v>
      </c>
      <c r="D9" s="85" t="str">
        <f>+VLOOKUP(C9,BD!$A$29:$E$877,2,0)</f>
        <v>Listón sajo de 5 x 3 cm x 2,5 m (varilla)</v>
      </c>
      <c r="E9" s="86" t="s">
        <v>32</v>
      </c>
      <c r="F9" s="201">
        <v>0.1</v>
      </c>
      <c r="G9" s="142">
        <f>VLOOKUP(C9,BD!$A$29:$E$877,5,0)</f>
        <v>2675</v>
      </c>
      <c r="H9" s="193">
        <f>1/3</f>
        <v>0.33333333333333331</v>
      </c>
      <c r="I9" s="148">
        <f>ROUND((F9*G9*H9),0)</f>
        <v>89</v>
      </c>
      <c r="J9" s="24"/>
      <c r="K9" s="35"/>
    </row>
    <row r="10" spans="1:11" ht="26.4" x14ac:dyDescent="0.3">
      <c r="B10" s="49" t="s">
        <v>1502</v>
      </c>
      <c r="C10" s="100" t="s">
        <v>165</v>
      </c>
      <c r="D10" s="85" t="s">
        <v>139</v>
      </c>
      <c r="E10" s="86" t="s">
        <v>155</v>
      </c>
      <c r="F10" s="201">
        <v>1</v>
      </c>
      <c r="G10" s="142">
        <f>+VLOOKUP(D10,MO!$B$33:$F$79,5,0)</f>
        <v>397158</v>
      </c>
      <c r="H10" s="193">
        <f>1/140</f>
        <v>7.1428571428571426E-3</v>
      </c>
      <c r="I10" s="148">
        <f>ROUND((F10*G10*H10),0)</f>
        <v>2837</v>
      </c>
      <c r="J10" s="24"/>
      <c r="K10" s="35"/>
    </row>
    <row r="11" spans="1:11" ht="13.8" thickBot="1" x14ac:dyDescent="0.35">
      <c r="B11" s="228" t="s">
        <v>1360</v>
      </c>
      <c r="C11" s="101" t="s">
        <v>1383</v>
      </c>
      <c r="D11" s="87" t="str">
        <f>+VLOOKUP(C11,BD!$A$29:$E$877,2,0)</f>
        <v>Equipo completo de topografía</v>
      </c>
      <c r="E11" s="88" t="s">
        <v>155</v>
      </c>
      <c r="F11" s="202">
        <v>1</v>
      </c>
      <c r="G11" s="143">
        <f>VLOOKUP(C11,BD!$A$29:$E$877,5,0)</f>
        <v>105876.5</v>
      </c>
      <c r="H11" s="194">
        <f>1/140</f>
        <v>7.1428571428571426E-3</v>
      </c>
      <c r="I11" s="226">
        <f>ROUND((F11*G11*H11),0)</f>
        <v>756</v>
      </c>
      <c r="J11" s="24"/>
      <c r="K11" s="35"/>
    </row>
    <row r="12" spans="1:11" x14ac:dyDescent="0.3">
      <c r="A12" s="335"/>
      <c r="B12" s="68" t="s">
        <v>1749</v>
      </c>
      <c r="C12" s="84"/>
      <c r="D12" s="83" t="s">
        <v>1744</v>
      </c>
      <c r="E12" s="84" t="s">
        <v>171</v>
      </c>
      <c r="F12" s="200"/>
      <c r="G12" s="141">
        <f>ROUND(SUM(I13:I14),0)</f>
        <v>520020</v>
      </c>
      <c r="H12" s="192"/>
      <c r="I12" s="153"/>
      <c r="J12" s="24"/>
      <c r="K12" s="35"/>
    </row>
    <row r="13" spans="1:11" x14ac:dyDescent="0.3">
      <c r="A13" s="335"/>
      <c r="B13" s="806" t="s">
        <v>183</v>
      </c>
      <c r="C13" s="100" t="s">
        <v>1747</v>
      </c>
      <c r="D13" s="85" t="s">
        <v>1745</v>
      </c>
      <c r="E13" s="86" t="s">
        <v>171</v>
      </c>
      <c r="F13" s="201">
        <v>1</v>
      </c>
      <c r="G13" s="142">
        <f>VLOOKUP(C13,BD!$A$29:$E$877,5,0)</f>
        <v>400180</v>
      </c>
      <c r="H13" s="193">
        <v>1</v>
      </c>
      <c r="I13" s="148">
        <f>ROUND((F13*G13),0)</f>
        <v>400180</v>
      </c>
      <c r="J13" s="24"/>
      <c r="K13" s="35"/>
    </row>
    <row r="14" spans="1:11" ht="13.8" thickBot="1" x14ac:dyDescent="0.35">
      <c r="A14" s="335"/>
      <c r="B14" s="822"/>
      <c r="C14" s="376" t="s">
        <v>1748</v>
      </c>
      <c r="D14" s="223" t="s">
        <v>1746</v>
      </c>
      <c r="E14" s="377" t="s">
        <v>171</v>
      </c>
      <c r="F14" s="378">
        <v>1</v>
      </c>
      <c r="G14" s="222">
        <f>VLOOKUP(C14,BD!$A$29:$E$877,5,0)</f>
        <v>119840</v>
      </c>
      <c r="H14" s="379">
        <v>1</v>
      </c>
      <c r="I14" s="226">
        <f>ROUND((F14*G14*H14),0)</f>
        <v>119840</v>
      </c>
      <c r="J14" s="24"/>
      <c r="K14" s="35"/>
    </row>
    <row r="15" spans="1:11" ht="26.4" x14ac:dyDescent="0.3">
      <c r="B15" s="66" t="s">
        <v>30</v>
      </c>
      <c r="C15" s="91"/>
      <c r="D15" s="89" t="s">
        <v>31</v>
      </c>
      <c r="E15" s="90" t="s">
        <v>32</v>
      </c>
      <c r="F15" s="199"/>
      <c r="G15" s="144">
        <f>ROUND(SUM(I16:I19),0)</f>
        <v>4680</v>
      </c>
      <c r="H15" s="195"/>
      <c r="I15" s="154"/>
      <c r="J15" s="24"/>
      <c r="K15" s="35"/>
    </row>
    <row r="16" spans="1:11" x14ac:dyDescent="0.3">
      <c r="B16" s="806" t="s">
        <v>183</v>
      </c>
      <c r="C16" s="334" t="s">
        <v>251</v>
      </c>
      <c r="D16" s="85" t="str">
        <f>+VLOOKUP(C16,BD!$A$29:$E$877,2,0)</f>
        <v xml:space="preserve">Agua </v>
      </c>
      <c r="E16" s="335" t="s">
        <v>253</v>
      </c>
      <c r="F16" s="201">
        <v>1</v>
      </c>
      <c r="G16" s="142">
        <f>VLOOKUP(C16,BD!$A$29:$E$877,5,0)</f>
        <v>12.84</v>
      </c>
      <c r="H16" s="99">
        <f>1</f>
        <v>1</v>
      </c>
      <c r="I16" s="148">
        <f>ROUND((F16*G16*H16),0)</f>
        <v>13</v>
      </c>
      <c r="J16" s="24"/>
      <c r="K16" s="35"/>
    </row>
    <row r="17" spans="1:11" x14ac:dyDescent="0.3">
      <c r="B17" s="806"/>
      <c r="C17" s="334" t="s">
        <v>574</v>
      </c>
      <c r="D17" s="85" t="str">
        <f>+VLOOKUP(C17,BD!$A$29:$E$877,2,0)</f>
        <v>Gasolina</v>
      </c>
      <c r="E17" s="335" t="s">
        <v>218</v>
      </c>
      <c r="F17" s="201">
        <v>1</v>
      </c>
      <c r="G17" s="142">
        <f>VLOOKUP(C17,BD!$A$29:$E$877,5,0)</f>
        <v>10191.75</v>
      </c>
      <c r="H17" s="99">
        <f>1/70</f>
        <v>1.4285714285714285E-2</v>
      </c>
      <c r="I17" s="148">
        <f>ROUND((F17*G17*H17),0)</f>
        <v>146</v>
      </c>
      <c r="J17" s="24"/>
      <c r="K17" s="35"/>
    </row>
    <row r="18" spans="1:11" x14ac:dyDescent="0.3">
      <c r="B18" s="49" t="s">
        <v>1502</v>
      </c>
      <c r="C18" s="334" t="s">
        <v>158</v>
      </c>
      <c r="D18" s="73" t="s">
        <v>159</v>
      </c>
      <c r="E18" s="335" t="s">
        <v>155</v>
      </c>
      <c r="F18" s="201">
        <v>1</v>
      </c>
      <c r="G18" s="142">
        <f>+VLOOKUP(D18,MO!$B$33:$F$79,5,0)</f>
        <v>82680</v>
      </c>
      <c r="H18" s="193">
        <f>1/45</f>
        <v>2.2222222222222223E-2</v>
      </c>
      <c r="I18" s="148">
        <f>ROUND((F18*G18*H18),0)</f>
        <v>1837</v>
      </c>
      <c r="J18" s="24"/>
      <c r="K18" s="35"/>
    </row>
    <row r="19" spans="1:11" ht="13.8" thickBot="1" x14ac:dyDescent="0.35">
      <c r="B19" s="56" t="s">
        <v>1360</v>
      </c>
      <c r="C19" s="100" t="s">
        <v>1425</v>
      </c>
      <c r="D19" s="85" t="str">
        <f>+VLOOKUP(C19,BD!$A$29:$E$877,2,0)</f>
        <v>Cortadora de concreto con disco</v>
      </c>
      <c r="E19" s="86" t="s">
        <v>155</v>
      </c>
      <c r="F19" s="201">
        <v>1</v>
      </c>
      <c r="G19" s="142">
        <f>VLOOKUP(C19,BD!$A$29:$E$877,5,0)</f>
        <v>120798.72</v>
      </c>
      <c r="H19" s="193">
        <f>1/45</f>
        <v>2.2222222222222223E-2</v>
      </c>
      <c r="I19" s="148">
        <f>ROUND((F19*G19*H19),0)</f>
        <v>2684</v>
      </c>
      <c r="J19" s="24"/>
      <c r="K19" s="35"/>
    </row>
    <row r="20" spans="1:11" x14ac:dyDescent="0.3">
      <c r="B20" s="68" t="s">
        <v>33</v>
      </c>
      <c r="C20" s="84"/>
      <c r="D20" s="83" t="s">
        <v>34</v>
      </c>
      <c r="E20" s="84" t="s">
        <v>26</v>
      </c>
      <c r="F20" s="203"/>
      <c r="G20" s="141">
        <f>ROUND(SUM(I20:I23),0)</f>
        <v>107484</v>
      </c>
      <c r="H20" s="192"/>
      <c r="I20" s="153"/>
      <c r="J20" s="24"/>
      <c r="K20" s="35"/>
    </row>
    <row r="21" spans="1:11" x14ac:dyDescent="0.3">
      <c r="B21" s="820" t="s">
        <v>1502</v>
      </c>
      <c r="C21" s="100" t="s">
        <v>156</v>
      </c>
      <c r="D21" s="85" t="s">
        <v>159</v>
      </c>
      <c r="E21" s="86" t="s">
        <v>155</v>
      </c>
      <c r="F21" s="201">
        <v>1</v>
      </c>
      <c r="G21" s="142">
        <f>+VLOOKUP(D21,MO!$B$33:$F$79,5,0)</f>
        <v>82680</v>
      </c>
      <c r="H21" s="193">
        <f>1</f>
        <v>1</v>
      </c>
      <c r="I21" s="148">
        <f>ROUND((F21*G21*H21),0)</f>
        <v>82680</v>
      </c>
      <c r="J21" s="24"/>
      <c r="K21" s="35"/>
    </row>
    <row r="22" spans="1:11" x14ac:dyDescent="0.3">
      <c r="B22" s="820"/>
      <c r="C22" s="100" t="s">
        <v>166</v>
      </c>
      <c r="D22" s="85" t="s">
        <v>1512</v>
      </c>
      <c r="E22" s="86" t="s">
        <v>1363</v>
      </c>
      <c r="F22" s="201">
        <v>0.1</v>
      </c>
      <c r="G22" s="142">
        <f>+I21</f>
        <v>82680</v>
      </c>
      <c r="H22" s="193">
        <v>0</v>
      </c>
      <c r="I22" s="148">
        <f>ROUND((F22*G22),0)</f>
        <v>8268</v>
      </c>
      <c r="J22" s="24"/>
      <c r="K22" s="35"/>
    </row>
    <row r="23" spans="1:11" ht="13.8" thickBot="1" x14ac:dyDescent="0.35">
      <c r="B23" s="228" t="s">
        <v>1360</v>
      </c>
      <c r="C23" s="101" t="s">
        <v>1364</v>
      </c>
      <c r="D23" s="87" t="s">
        <v>1509</v>
      </c>
      <c r="E23" s="88" t="s">
        <v>1363</v>
      </c>
      <c r="F23" s="202">
        <v>0.2</v>
      </c>
      <c r="G23" s="143">
        <f>I21</f>
        <v>82680</v>
      </c>
      <c r="H23" s="194">
        <v>0</v>
      </c>
      <c r="I23" s="226">
        <f>ROUND((F23*G23),0)</f>
        <v>16536</v>
      </c>
      <c r="J23" s="24"/>
      <c r="K23" s="35"/>
    </row>
    <row r="24" spans="1:11" x14ac:dyDescent="0.3">
      <c r="B24" s="66" t="s">
        <v>35</v>
      </c>
      <c r="C24" s="90"/>
      <c r="D24" s="89" t="s">
        <v>36</v>
      </c>
      <c r="E24" s="90" t="s">
        <v>32</v>
      </c>
      <c r="F24" s="199"/>
      <c r="G24" s="144">
        <f>ROUND(SUM(I24:I27),0)</f>
        <v>179140</v>
      </c>
      <c r="H24" s="195"/>
      <c r="I24" s="154"/>
      <c r="J24" s="24"/>
      <c r="K24" s="35"/>
    </row>
    <row r="25" spans="1:11" x14ac:dyDescent="0.3">
      <c r="B25" s="820" t="s">
        <v>1502</v>
      </c>
      <c r="C25" s="100" t="s">
        <v>156</v>
      </c>
      <c r="D25" s="85" t="s">
        <v>159</v>
      </c>
      <c r="E25" s="86" t="s">
        <v>155</v>
      </c>
      <c r="F25" s="201">
        <v>1</v>
      </c>
      <c r="G25" s="142">
        <f>+VLOOKUP(D25,MO!$B$33:$F$79,5,0)</f>
        <v>82680</v>
      </c>
      <c r="H25" s="193">
        <f>1/0.6</f>
        <v>1.6666666666666667</v>
      </c>
      <c r="I25" s="148">
        <f>ROUND((F25*G25*H25),0)</f>
        <v>137800</v>
      </c>
      <c r="J25" s="24"/>
      <c r="K25" s="35"/>
    </row>
    <row r="26" spans="1:11" x14ac:dyDescent="0.3">
      <c r="B26" s="820"/>
      <c r="C26" s="100" t="s">
        <v>166</v>
      </c>
      <c r="D26" s="85" t="s">
        <v>1512</v>
      </c>
      <c r="E26" s="86" t="s">
        <v>1363</v>
      </c>
      <c r="F26" s="201">
        <v>0.1</v>
      </c>
      <c r="G26" s="142">
        <f>I25</f>
        <v>137800</v>
      </c>
      <c r="H26" s="193">
        <v>0</v>
      </c>
      <c r="I26" s="148">
        <f>ROUND((F26*G26),0)</f>
        <v>13780</v>
      </c>
      <c r="J26" s="24"/>
      <c r="K26" s="34"/>
    </row>
    <row r="27" spans="1:11" ht="13.8" thickBot="1" x14ac:dyDescent="0.35">
      <c r="B27" s="56" t="s">
        <v>1360</v>
      </c>
      <c r="C27" s="100" t="s">
        <v>1364</v>
      </c>
      <c r="D27" s="85" t="s">
        <v>1509</v>
      </c>
      <c r="E27" s="86" t="s">
        <v>1363</v>
      </c>
      <c r="F27" s="201">
        <v>0.2</v>
      </c>
      <c r="G27" s="142">
        <f>I25</f>
        <v>137800</v>
      </c>
      <c r="H27" s="193">
        <v>0</v>
      </c>
      <c r="I27" s="148">
        <f>ROUND((F27*G27),0)</f>
        <v>27560</v>
      </c>
      <c r="J27" s="24"/>
      <c r="K27" s="35"/>
    </row>
    <row r="28" spans="1:11" x14ac:dyDescent="0.3">
      <c r="A28" s="409"/>
      <c r="B28" s="497" t="s">
        <v>35</v>
      </c>
      <c r="C28" s="84"/>
      <c r="D28" s="83" t="s">
        <v>1805</v>
      </c>
      <c r="E28" s="84" t="s">
        <v>1806</v>
      </c>
      <c r="F28" s="203"/>
      <c r="G28" s="141">
        <f>ROUND(SUM(I28:I31),0)</f>
        <v>75239</v>
      </c>
      <c r="H28" s="192"/>
      <c r="I28" s="498"/>
      <c r="J28" s="24"/>
      <c r="K28" s="35"/>
    </row>
    <row r="29" spans="1:11" x14ac:dyDescent="0.3">
      <c r="A29" s="409"/>
      <c r="B29" s="804" t="s">
        <v>1502</v>
      </c>
      <c r="C29" s="100" t="s">
        <v>156</v>
      </c>
      <c r="D29" s="85" t="s">
        <v>159</v>
      </c>
      <c r="E29" s="86" t="s">
        <v>155</v>
      </c>
      <c r="F29" s="201">
        <v>1</v>
      </c>
      <c r="G29" s="142">
        <f>+VLOOKUP(D29,MO!$B$33:$F$79,5,0)</f>
        <v>82680</v>
      </c>
      <c r="H29" s="193">
        <v>0.7</v>
      </c>
      <c r="I29" s="499">
        <f>ROUND((F29*G29*H29),0)</f>
        <v>57876</v>
      </c>
      <c r="J29" s="24"/>
      <c r="K29" s="35"/>
    </row>
    <row r="30" spans="1:11" x14ac:dyDescent="0.3">
      <c r="A30" s="409"/>
      <c r="B30" s="804"/>
      <c r="C30" s="100" t="s">
        <v>166</v>
      </c>
      <c r="D30" s="85" t="s">
        <v>1512</v>
      </c>
      <c r="E30" s="86" t="s">
        <v>1363</v>
      </c>
      <c r="F30" s="201">
        <v>0.1</v>
      </c>
      <c r="G30" s="142">
        <f>I29</f>
        <v>57876</v>
      </c>
      <c r="H30" s="193">
        <v>0</v>
      </c>
      <c r="I30" s="499">
        <f>ROUND((F30*G30),0)</f>
        <v>5788</v>
      </c>
      <c r="J30" s="24"/>
      <c r="K30" s="34"/>
    </row>
    <row r="31" spans="1:11" x14ac:dyDescent="0.3">
      <c r="A31" s="409"/>
      <c r="B31" s="406" t="s">
        <v>1360</v>
      </c>
      <c r="C31" s="100" t="s">
        <v>1364</v>
      </c>
      <c r="D31" s="85" t="s">
        <v>1509</v>
      </c>
      <c r="E31" s="86" t="s">
        <v>1363</v>
      </c>
      <c r="F31" s="201">
        <v>0.2</v>
      </c>
      <c r="G31" s="142">
        <f>I29</f>
        <v>57876</v>
      </c>
      <c r="H31" s="193">
        <v>0</v>
      </c>
      <c r="I31" s="499">
        <f>ROUND((F31*G31),0)</f>
        <v>11575</v>
      </c>
      <c r="J31" s="24"/>
      <c r="K31" s="35"/>
    </row>
    <row r="32" spans="1:11" ht="13.8" thickBot="1" x14ac:dyDescent="0.35">
      <c r="A32" s="409"/>
      <c r="B32" s="407"/>
      <c r="C32" s="376"/>
      <c r="D32" s="223"/>
      <c r="E32" s="377"/>
      <c r="F32" s="378"/>
      <c r="G32" s="222"/>
      <c r="H32" s="379"/>
      <c r="I32" s="500"/>
      <c r="J32" s="24"/>
      <c r="K32" s="35"/>
    </row>
    <row r="33" spans="1:11" x14ac:dyDescent="0.3">
      <c r="B33" s="68" t="s">
        <v>37</v>
      </c>
      <c r="C33" s="84"/>
      <c r="D33" s="83" t="s">
        <v>38</v>
      </c>
      <c r="E33" s="84" t="s">
        <v>26</v>
      </c>
      <c r="F33" s="203"/>
      <c r="G33" s="141">
        <f>ROUND(SUM(I34:I35),0)</f>
        <v>95082</v>
      </c>
      <c r="H33" s="192"/>
      <c r="I33" s="153"/>
      <c r="J33" s="24"/>
      <c r="K33" s="34"/>
    </row>
    <row r="34" spans="1:11" x14ac:dyDescent="0.3">
      <c r="B34" s="49" t="s">
        <v>1502</v>
      </c>
      <c r="C34" s="100" t="s">
        <v>156</v>
      </c>
      <c r="D34" s="85" t="s">
        <v>159</v>
      </c>
      <c r="E34" s="86" t="s">
        <v>155</v>
      </c>
      <c r="F34" s="201">
        <v>1</v>
      </c>
      <c r="G34" s="142">
        <f>+VLOOKUP(D34,MO!$B$33:$F$79,5,0)</f>
        <v>82680</v>
      </c>
      <c r="H34" s="193">
        <f>1/1</f>
        <v>1</v>
      </c>
      <c r="I34" s="148">
        <f>ROUND((F34*G34*H34),0)</f>
        <v>82680</v>
      </c>
      <c r="J34" s="24"/>
      <c r="K34" s="34"/>
    </row>
    <row r="35" spans="1:11" ht="13.8" thickBot="1" x14ac:dyDescent="0.35">
      <c r="B35" s="228" t="s">
        <v>1360</v>
      </c>
      <c r="C35" s="101" t="s">
        <v>1364</v>
      </c>
      <c r="D35" s="87" t="s">
        <v>1509</v>
      </c>
      <c r="E35" s="88" t="s">
        <v>1363</v>
      </c>
      <c r="F35" s="202">
        <v>0.15</v>
      </c>
      <c r="G35" s="143">
        <f>I34</f>
        <v>82680</v>
      </c>
      <c r="H35" s="194">
        <v>0</v>
      </c>
      <c r="I35" s="226">
        <f>ROUND((F35*G35),0)</f>
        <v>12402</v>
      </c>
      <c r="J35" s="24"/>
      <c r="K35" s="34"/>
    </row>
    <row r="36" spans="1:11" s="47" customFormat="1" ht="15.6" x14ac:dyDescent="0.3">
      <c r="A36" s="183"/>
      <c r="B36" s="16" t="s">
        <v>1529</v>
      </c>
      <c r="C36" s="39"/>
      <c r="D36" s="40" t="s">
        <v>1707</v>
      </c>
      <c r="E36" s="39" t="s">
        <v>1514</v>
      </c>
      <c r="F36" s="204"/>
      <c r="G36" s="149">
        <f>ROUND(SUM(I36:I39),0)</f>
        <v>147642</v>
      </c>
      <c r="H36" s="195"/>
      <c r="I36" s="155"/>
      <c r="J36" s="33"/>
      <c r="K36" s="34"/>
    </row>
    <row r="37" spans="1:11" s="12" customFormat="1" x14ac:dyDescent="0.3">
      <c r="A37" s="17"/>
      <c r="B37" s="820" t="s">
        <v>1502</v>
      </c>
      <c r="C37" s="14" t="s">
        <v>177</v>
      </c>
      <c r="D37" s="15" t="s">
        <v>143</v>
      </c>
      <c r="E37" s="19" t="s">
        <v>155</v>
      </c>
      <c r="F37" s="65">
        <v>1</v>
      </c>
      <c r="G37" s="142">
        <f>+VLOOKUP(D37,MO!$B$33:$F$79,5,0)</f>
        <v>236228</v>
      </c>
      <c r="H37" s="395">
        <f>1/2</f>
        <v>0.5</v>
      </c>
      <c r="I37" s="156">
        <f>ROUND((F37*G37*H37),0)</f>
        <v>118114</v>
      </c>
      <c r="J37" s="33"/>
      <c r="K37" s="35"/>
    </row>
    <row r="38" spans="1:11" s="12" customFormat="1" x14ac:dyDescent="0.3">
      <c r="A38" s="17"/>
      <c r="B38" s="820"/>
      <c r="C38" s="14" t="s">
        <v>166</v>
      </c>
      <c r="D38" s="15" t="s">
        <v>1512</v>
      </c>
      <c r="E38" s="19" t="s">
        <v>1363</v>
      </c>
      <c r="F38" s="65">
        <v>0.1</v>
      </c>
      <c r="G38" s="151">
        <f>I37</f>
        <v>118114</v>
      </c>
      <c r="H38" s="395">
        <v>0</v>
      </c>
      <c r="I38" s="156">
        <f>ROUND((F38*G38),0)</f>
        <v>11811</v>
      </c>
      <c r="J38" s="33"/>
      <c r="K38" s="35"/>
    </row>
    <row r="39" spans="1:11" s="12" customFormat="1" ht="13.8" thickBot="1" x14ac:dyDescent="0.35">
      <c r="A39" s="17"/>
      <c r="B39" s="56" t="s">
        <v>1360</v>
      </c>
      <c r="C39" s="43" t="s">
        <v>1364</v>
      </c>
      <c r="D39" s="44" t="s">
        <v>1509</v>
      </c>
      <c r="E39" s="45" t="s">
        <v>1363</v>
      </c>
      <c r="F39" s="205">
        <v>0.15</v>
      </c>
      <c r="G39" s="150">
        <f>I37</f>
        <v>118114</v>
      </c>
      <c r="H39" s="194">
        <v>0</v>
      </c>
      <c r="I39" s="227">
        <f>ROUND((F39*G39),0)</f>
        <v>17717</v>
      </c>
      <c r="J39" s="33"/>
      <c r="K39" s="35"/>
    </row>
    <row r="40" spans="1:11" s="12" customFormat="1" ht="15.6" x14ac:dyDescent="0.3">
      <c r="A40" s="17"/>
      <c r="B40" s="456" t="s">
        <v>47</v>
      </c>
      <c r="C40" s="457"/>
      <c r="D40" s="458" t="s">
        <v>1807</v>
      </c>
      <c r="E40" s="457" t="s">
        <v>1796</v>
      </c>
      <c r="F40" s="459"/>
      <c r="G40" s="460">
        <f>ROUND(SUM(I40:I43),0)</f>
        <v>173698</v>
      </c>
      <c r="H40" s="437"/>
      <c r="I40" s="461"/>
      <c r="J40" s="33"/>
      <c r="K40" s="35"/>
    </row>
    <row r="41" spans="1:11" s="12" customFormat="1" ht="26.4" x14ac:dyDescent="0.3">
      <c r="A41" s="17"/>
      <c r="B41" s="462" t="s">
        <v>150</v>
      </c>
      <c r="C41" s="437" t="s">
        <v>177</v>
      </c>
      <c r="D41" s="438" t="s">
        <v>143</v>
      </c>
      <c r="E41" s="439" t="s">
        <v>155</v>
      </c>
      <c r="F41" s="440">
        <v>1</v>
      </c>
      <c r="G41" s="441">
        <v>236228</v>
      </c>
      <c r="H41" s="439">
        <f>1/1.7</f>
        <v>0.58823529411764708</v>
      </c>
      <c r="I41" s="442">
        <f>ROUND((F41*G41*H41),0)</f>
        <v>138958</v>
      </c>
      <c r="J41" s="33"/>
      <c r="K41" s="35"/>
    </row>
    <row r="42" spans="1:11" s="12" customFormat="1" x14ac:dyDescent="0.3">
      <c r="A42" s="17"/>
      <c r="B42" s="462"/>
      <c r="C42" s="437" t="s">
        <v>166</v>
      </c>
      <c r="D42" s="438" t="s">
        <v>1512</v>
      </c>
      <c r="E42" s="439" t="s">
        <v>1363</v>
      </c>
      <c r="F42" s="440">
        <v>0.1</v>
      </c>
      <c r="G42" s="441">
        <v>138958</v>
      </c>
      <c r="H42" s="439">
        <v>0</v>
      </c>
      <c r="I42" s="442">
        <f t="shared" ref="I42:I43" si="0">ROUND((F42*G42),0)</f>
        <v>13896</v>
      </c>
      <c r="J42" s="33"/>
      <c r="K42" s="35"/>
    </row>
    <row r="43" spans="1:11" s="12" customFormat="1" ht="13.8" thickBot="1" x14ac:dyDescent="0.35">
      <c r="A43" s="17"/>
      <c r="B43" s="448" t="s">
        <v>1360</v>
      </c>
      <c r="C43" s="449" t="s">
        <v>1364</v>
      </c>
      <c r="D43" s="450" t="s">
        <v>1509</v>
      </c>
      <c r="E43" s="451" t="s">
        <v>1363</v>
      </c>
      <c r="F43" s="452">
        <v>0.15</v>
      </c>
      <c r="G43" s="453">
        <v>138958</v>
      </c>
      <c r="H43" s="451">
        <v>0</v>
      </c>
      <c r="I43" s="454">
        <f t="shared" si="0"/>
        <v>20844</v>
      </c>
      <c r="J43" s="33"/>
      <c r="K43" s="35"/>
    </row>
    <row r="44" spans="1:11" s="170" customFormat="1" ht="15.6" x14ac:dyDescent="0.3">
      <c r="A44" s="58"/>
      <c r="B44" s="163" t="s">
        <v>47</v>
      </c>
      <c r="C44" s="39"/>
      <c r="D44" s="40" t="s">
        <v>48</v>
      </c>
      <c r="E44" s="39" t="s">
        <v>1514</v>
      </c>
      <c r="F44" s="204"/>
      <c r="G44" s="149">
        <f>ROUND(SUM(I44:I47),0)</f>
        <v>147642</v>
      </c>
      <c r="H44" s="195"/>
      <c r="I44" s="155"/>
      <c r="J44" s="13"/>
      <c r="K44" s="35"/>
    </row>
    <row r="45" spans="1:11" s="170" customFormat="1" x14ac:dyDescent="0.3">
      <c r="A45" s="58"/>
      <c r="B45" s="820" t="s">
        <v>1502</v>
      </c>
      <c r="C45" s="14" t="s">
        <v>177</v>
      </c>
      <c r="D45" s="15" t="s">
        <v>143</v>
      </c>
      <c r="E45" s="19" t="s">
        <v>155</v>
      </c>
      <c r="F45" s="65">
        <v>1</v>
      </c>
      <c r="G45" s="142">
        <f>+VLOOKUP(D45,MO!$B$33:$F$79,5,0)</f>
        <v>236228</v>
      </c>
      <c r="H45" s="395">
        <f>1/2</f>
        <v>0.5</v>
      </c>
      <c r="I45" s="156">
        <f>ROUND((F45*G45*H45),0)</f>
        <v>118114</v>
      </c>
      <c r="J45" s="13"/>
      <c r="K45" s="35"/>
    </row>
    <row r="46" spans="1:11" s="170" customFormat="1" x14ac:dyDescent="0.3">
      <c r="A46" s="58"/>
      <c r="B46" s="820"/>
      <c r="C46" s="14" t="s">
        <v>166</v>
      </c>
      <c r="D46" s="15" t="s">
        <v>1512</v>
      </c>
      <c r="E46" s="19" t="s">
        <v>1363</v>
      </c>
      <c r="F46" s="65">
        <v>0.1</v>
      </c>
      <c r="G46" s="151">
        <f>I45</f>
        <v>118114</v>
      </c>
      <c r="H46" s="395">
        <v>0</v>
      </c>
      <c r="I46" s="156">
        <f>ROUND((F46*G46),0)</f>
        <v>11811</v>
      </c>
      <c r="J46" s="13"/>
      <c r="K46" s="35"/>
    </row>
    <row r="47" spans="1:11" s="170" customFormat="1" ht="13.8" thickBot="1" x14ac:dyDescent="0.35">
      <c r="A47" s="58"/>
      <c r="B47" s="56" t="s">
        <v>1360</v>
      </c>
      <c r="C47" s="43" t="s">
        <v>1364</v>
      </c>
      <c r="D47" s="44" t="s">
        <v>1509</v>
      </c>
      <c r="E47" s="45" t="s">
        <v>1363</v>
      </c>
      <c r="F47" s="205">
        <v>0.15</v>
      </c>
      <c r="G47" s="150">
        <f>I45</f>
        <v>118114</v>
      </c>
      <c r="H47" s="194">
        <v>0</v>
      </c>
      <c r="I47" s="227">
        <f>ROUND((F47*G47),0)</f>
        <v>17717</v>
      </c>
      <c r="J47" s="13"/>
      <c r="K47" s="35"/>
    </row>
    <row r="48" spans="1:11" s="28" customFormat="1" ht="15.6" x14ac:dyDescent="0.3">
      <c r="A48" s="128"/>
      <c r="B48" s="66" t="s">
        <v>43</v>
      </c>
      <c r="C48" s="90"/>
      <c r="D48" s="89" t="s">
        <v>44</v>
      </c>
      <c r="E48" s="90" t="s">
        <v>1557</v>
      </c>
      <c r="F48" s="199"/>
      <c r="G48" s="144">
        <f>ROUND(SUM(I48:I54),0)</f>
        <v>11477</v>
      </c>
      <c r="H48" s="195"/>
      <c r="I48" s="154"/>
      <c r="K48" s="36"/>
    </row>
    <row r="49" spans="1:12" x14ac:dyDescent="0.3">
      <c r="B49" s="826" t="s">
        <v>1504</v>
      </c>
      <c r="C49" s="90" t="s">
        <v>1515</v>
      </c>
      <c r="D49" s="15" t="str">
        <f>+VLOOKUP(C49,$B$5:$G$501,3,0)</f>
        <v>Transporte maquinaría pesada</v>
      </c>
      <c r="E49" s="93" t="s">
        <v>1508</v>
      </c>
      <c r="F49" s="206">
        <v>30</v>
      </c>
      <c r="G49" s="151">
        <f>+VLOOKUP(C49,$B$5:$G$501,6,0)</f>
        <v>26750</v>
      </c>
      <c r="H49" s="99">
        <f>1/500</f>
        <v>2E-3</v>
      </c>
      <c r="I49" s="148">
        <f>ROUND((F49*G49*H49),0)</f>
        <v>1605</v>
      </c>
      <c r="J49" s="24"/>
      <c r="K49" s="35"/>
    </row>
    <row r="50" spans="1:12" ht="15.6" x14ac:dyDescent="0.3">
      <c r="B50" s="826"/>
      <c r="C50" s="90" t="s">
        <v>1505</v>
      </c>
      <c r="D50" s="15" t="str">
        <f>+VLOOKUP(C50,$B$5:$G$501,3,0)</f>
        <v>Disposición en botadero</v>
      </c>
      <c r="E50" s="93" t="s">
        <v>1558</v>
      </c>
      <c r="F50" s="206">
        <v>1</v>
      </c>
      <c r="G50" s="151">
        <f>+VLOOKUP(C50,$B$5:$G$501,6,0)</f>
        <v>2500</v>
      </c>
      <c r="H50" s="99">
        <v>1</v>
      </c>
      <c r="I50" s="148">
        <f>ROUND((F50*G50*H50),0)</f>
        <v>2500</v>
      </c>
      <c r="J50" s="24"/>
      <c r="K50" s="35"/>
    </row>
    <row r="51" spans="1:12" x14ac:dyDescent="0.3">
      <c r="B51" s="49" t="s">
        <v>1502</v>
      </c>
      <c r="C51" s="100" t="s">
        <v>156</v>
      </c>
      <c r="D51" s="85" t="s">
        <v>159</v>
      </c>
      <c r="E51" s="86" t="s">
        <v>155</v>
      </c>
      <c r="F51" s="201">
        <v>1</v>
      </c>
      <c r="G51" s="142">
        <f>+VLOOKUP(D51,MO!$B$33:$F$79,5,0)</f>
        <v>82680</v>
      </c>
      <c r="H51" s="193">
        <f>1/500</f>
        <v>2E-3</v>
      </c>
      <c r="I51" s="148">
        <f>ROUND((F51*G51*H51),0)</f>
        <v>165</v>
      </c>
      <c r="J51" s="24"/>
      <c r="K51" s="35"/>
    </row>
    <row r="52" spans="1:12" x14ac:dyDescent="0.3">
      <c r="B52" s="827" t="s">
        <v>1360</v>
      </c>
      <c r="C52" s="100" t="s">
        <v>1410</v>
      </c>
      <c r="D52" s="85" t="str">
        <f>+VLOOKUP(C52,BD!$A$29:$E$877,2,0)</f>
        <v>Retroexcavadora de orugas  capacidad 0,9 M3</v>
      </c>
      <c r="E52" s="86" t="s">
        <v>1370</v>
      </c>
      <c r="F52" s="201">
        <v>1</v>
      </c>
      <c r="G52" s="142">
        <f>VLOOKUP(C52,BD!$A$29:$E$877,5,0)</f>
        <v>178262</v>
      </c>
      <c r="H52" s="193">
        <f>1/60</f>
        <v>1.6666666666666666E-2</v>
      </c>
      <c r="I52" s="148">
        <f>ROUND((F52*G52*H52),0)</f>
        <v>2971</v>
      </c>
      <c r="J52" s="24"/>
      <c r="K52" s="35"/>
    </row>
    <row r="53" spans="1:12" x14ac:dyDescent="0.3">
      <c r="B53" s="827"/>
      <c r="C53" s="100" t="s">
        <v>1368</v>
      </c>
      <c r="D53" s="85" t="str">
        <f>+VLOOKUP(C53,BD!$A$29:$E$877,2,0)</f>
        <v>Buldózer D65-8</v>
      </c>
      <c r="E53" s="86" t="s">
        <v>1370</v>
      </c>
      <c r="F53" s="201">
        <v>1</v>
      </c>
      <c r="G53" s="142">
        <f>VLOOKUP(C53,BD!$A$29:$E$877,5,0)</f>
        <v>211423.44</v>
      </c>
      <c r="H53" s="193">
        <f>1/50</f>
        <v>0.02</v>
      </c>
      <c r="I53" s="148">
        <f>ROUND((F53*G53*H53),0)</f>
        <v>4228</v>
      </c>
      <c r="J53" s="24"/>
      <c r="K53" s="35"/>
    </row>
    <row r="54" spans="1:12" s="28" customFormat="1" ht="13.8" thickBot="1" x14ac:dyDescent="0.35">
      <c r="A54" s="128"/>
      <c r="B54" s="827"/>
      <c r="C54" s="100" t="s">
        <v>1364</v>
      </c>
      <c r="D54" s="85" t="s">
        <v>1509</v>
      </c>
      <c r="E54" s="86" t="s">
        <v>1363</v>
      </c>
      <c r="F54" s="201">
        <v>0.05</v>
      </c>
      <c r="G54" s="142">
        <f>I51</f>
        <v>165</v>
      </c>
      <c r="H54" s="193">
        <v>0</v>
      </c>
      <c r="I54" s="148">
        <f>ROUND((F54*G54),0)</f>
        <v>8</v>
      </c>
      <c r="K54" s="36"/>
    </row>
    <row r="55" spans="1:12" ht="15.6" x14ac:dyDescent="0.3">
      <c r="B55" s="497" t="s">
        <v>1677</v>
      </c>
      <c r="C55" s="84"/>
      <c r="D55" s="83" t="s">
        <v>1676</v>
      </c>
      <c r="E55" s="84" t="s">
        <v>1557</v>
      </c>
      <c r="F55" s="203"/>
      <c r="G55" s="141">
        <f>ROUND(SUM(I55:I62),0)</f>
        <v>131701</v>
      </c>
      <c r="H55" s="192"/>
      <c r="I55" s="498"/>
      <c r="J55" s="24"/>
      <c r="K55" s="35"/>
      <c r="L55" s="173"/>
    </row>
    <row r="56" spans="1:12" ht="15.6" x14ac:dyDescent="0.3">
      <c r="B56" s="805" t="s">
        <v>183</v>
      </c>
      <c r="C56" s="100" t="s">
        <v>805</v>
      </c>
      <c r="D56" s="85" t="str">
        <f>+VLOOKUP(C56,BD!$A$29:$E$877,2,0)</f>
        <v>Material de sub-base granular tipo Invías</v>
      </c>
      <c r="E56" s="86" t="s">
        <v>1559</v>
      </c>
      <c r="F56" s="201">
        <v>1</v>
      </c>
      <c r="G56" s="142">
        <v>77000</v>
      </c>
      <c r="H56" s="193">
        <v>1.25</v>
      </c>
      <c r="I56" s="499">
        <f t="shared" ref="I56:I61" si="1">ROUND((F56*G56*H56),0)</f>
        <v>96250</v>
      </c>
      <c r="J56" s="24"/>
      <c r="K56" s="35"/>
    </row>
    <row r="57" spans="1:12" x14ac:dyDescent="0.3">
      <c r="B57" s="805"/>
      <c r="C57" s="100" t="s">
        <v>251</v>
      </c>
      <c r="D57" s="85" t="str">
        <f>+VLOOKUP(C57,BD!$A$29:$E$877,2,0)</f>
        <v xml:space="preserve">Agua </v>
      </c>
      <c r="E57" s="86" t="s">
        <v>253</v>
      </c>
      <c r="F57" s="201">
        <v>24</v>
      </c>
      <c r="G57" s="142">
        <f>VLOOKUP(C57,BD!$A$29:$E$877,5,0)</f>
        <v>12.84</v>
      </c>
      <c r="H57" s="193">
        <v>1</v>
      </c>
      <c r="I57" s="499">
        <f t="shared" si="1"/>
        <v>308</v>
      </c>
      <c r="J57" s="24"/>
      <c r="K57" s="35"/>
    </row>
    <row r="58" spans="1:12" x14ac:dyDescent="0.3">
      <c r="B58" s="405" t="s">
        <v>1502</v>
      </c>
      <c r="C58" s="100" t="s">
        <v>176</v>
      </c>
      <c r="D58" s="85" t="s">
        <v>136</v>
      </c>
      <c r="E58" s="86" t="s">
        <v>155</v>
      </c>
      <c r="F58" s="201">
        <v>1</v>
      </c>
      <c r="G58" s="142">
        <f>+VLOOKUP(D58,MO!$B$33:$F$79,5,0)</f>
        <v>224417</v>
      </c>
      <c r="H58" s="193">
        <v>6.6666666666666666E-2</v>
      </c>
      <c r="I58" s="499">
        <f t="shared" si="1"/>
        <v>14961</v>
      </c>
      <c r="J58" s="24"/>
      <c r="K58" s="35"/>
    </row>
    <row r="59" spans="1:12" x14ac:dyDescent="0.3">
      <c r="B59" s="824" t="s">
        <v>1360</v>
      </c>
      <c r="C59" s="100" t="s">
        <v>1377</v>
      </c>
      <c r="D59" s="85" t="str">
        <f>+VLOOKUP(C59,BD!$A$29:$E$877,2,0)</f>
        <v xml:space="preserve">Motoniveladora </v>
      </c>
      <c r="E59" s="86" t="s">
        <v>1370</v>
      </c>
      <c r="F59" s="201">
        <v>1</v>
      </c>
      <c r="G59" s="142">
        <f>VLOOKUP(C59,BD!$A$29:$E$877,5,0)</f>
        <v>154900.69</v>
      </c>
      <c r="H59" s="193">
        <v>6.6666666666666666E-2</v>
      </c>
      <c r="I59" s="499">
        <f t="shared" si="1"/>
        <v>10327</v>
      </c>
      <c r="J59" s="37"/>
      <c r="K59" s="35"/>
    </row>
    <row r="60" spans="1:12" x14ac:dyDescent="0.3">
      <c r="B60" s="824"/>
      <c r="C60" s="100" t="s">
        <v>1387</v>
      </c>
      <c r="D60" s="85" t="str">
        <f>+VLOOKUP(C60,BD!$A$29:$E$877,2,0)</f>
        <v>Cilindro compactador vibratorio Dynapac y tractor</v>
      </c>
      <c r="E60" s="86" t="s">
        <v>1370</v>
      </c>
      <c r="F60" s="201">
        <v>1</v>
      </c>
      <c r="G60" s="142">
        <f>VLOOKUP(C60,BD!$A$29:$E$877,5,0)</f>
        <v>85600</v>
      </c>
      <c r="H60" s="193">
        <v>6.6666666666666666E-2</v>
      </c>
      <c r="I60" s="499">
        <f t="shared" si="1"/>
        <v>5707</v>
      </c>
    </row>
    <row r="61" spans="1:12" x14ac:dyDescent="0.3">
      <c r="B61" s="824"/>
      <c r="C61" s="100" t="s">
        <v>1408</v>
      </c>
      <c r="D61" s="85" t="str">
        <f>+VLOOKUP(C61,BD!$A$29:$E$877,2,0)</f>
        <v>Carrotanque agua</v>
      </c>
      <c r="E61" s="86" t="s">
        <v>1370</v>
      </c>
      <c r="F61" s="201">
        <v>1</v>
      </c>
      <c r="G61" s="142">
        <f>VLOOKUP(C61,BD!$A$29:$E$877,5,0)</f>
        <v>51003.69</v>
      </c>
      <c r="H61" s="193">
        <v>6.6666666666666666E-2</v>
      </c>
      <c r="I61" s="499">
        <f t="shared" si="1"/>
        <v>3400</v>
      </c>
    </row>
    <row r="62" spans="1:12" ht="13.8" thickBot="1" x14ac:dyDescent="0.35">
      <c r="B62" s="825"/>
      <c r="C62" s="376" t="s">
        <v>1364</v>
      </c>
      <c r="D62" s="223" t="s">
        <v>1509</v>
      </c>
      <c r="E62" s="377" t="s">
        <v>1363</v>
      </c>
      <c r="F62" s="224">
        <v>0.05</v>
      </c>
      <c r="G62" s="222">
        <f>I58</f>
        <v>14961</v>
      </c>
      <c r="H62" s="502">
        <v>0</v>
      </c>
      <c r="I62" s="500">
        <f>ROUND((F62*G62),0)</f>
        <v>748</v>
      </c>
    </row>
    <row r="63" spans="1:12" ht="15.6" x14ac:dyDescent="0.3">
      <c r="A63" s="643"/>
      <c r="B63" s="497"/>
      <c r="C63" s="84"/>
      <c r="D63" s="83" t="s">
        <v>1842</v>
      </c>
      <c r="E63" s="84" t="s">
        <v>1557</v>
      </c>
      <c r="F63" s="203"/>
      <c r="G63" s="141">
        <f>ROUND(SUM(I63:I71),0)</f>
        <v>142338</v>
      </c>
      <c r="H63" s="192"/>
      <c r="I63" s="498"/>
      <c r="J63" s="24"/>
      <c r="K63" s="35"/>
      <c r="L63" s="173"/>
    </row>
    <row r="64" spans="1:12" ht="15.6" x14ac:dyDescent="0.3">
      <c r="A64" s="643"/>
      <c r="B64" s="805" t="s">
        <v>183</v>
      </c>
      <c r="C64" s="100" t="s">
        <v>805</v>
      </c>
      <c r="D64" s="85" t="str">
        <f>+VLOOKUP(C64,BD!$A$29:$E$877,2,0)</f>
        <v>Material de sub-base granular tipo Invías</v>
      </c>
      <c r="E64" s="86" t="s">
        <v>1559</v>
      </c>
      <c r="F64" s="201">
        <v>1</v>
      </c>
      <c r="G64" s="142">
        <v>84000</v>
      </c>
      <c r="H64" s="193">
        <v>1.25</v>
      </c>
      <c r="I64" s="499">
        <f t="shared" ref="I64:I70" si="2">ROUND((F64*G64*H64),0)</f>
        <v>105000</v>
      </c>
      <c r="J64" s="24"/>
      <c r="K64" s="35"/>
    </row>
    <row r="65" spans="1:12" x14ac:dyDescent="0.3">
      <c r="A65" s="643"/>
      <c r="B65" s="805"/>
      <c r="C65" s="100" t="s">
        <v>251</v>
      </c>
      <c r="D65" s="85" t="str">
        <f>+VLOOKUP(C65,BD!$A$29:$E$877,2,0)</f>
        <v xml:space="preserve">Agua </v>
      </c>
      <c r="E65" s="86" t="s">
        <v>253</v>
      </c>
      <c r="F65" s="201">
        <v>24</v>
      </c>
      <c r="G65" s="142">
        <f>VLOOKUP(C65,BD!$A$29:$E$877,5,0)</f>
        <v>12.84</v>
      </c>
      <c r="H65" s="193">
        <v>1</v>
      </c>
      <c r="I65" s="499">
        <f t="shared" si="2"/>
        <v>308</v>
      </c>
      <c r="J65" s="24"/>
      <c r="K65" s="35"/>
    </row>
    <row r="66" spans="1:12" ht="26.4" x14ac:dyDescent="0.3">
      <c r="A66" s="643"/>
      <c r="B66" s="641"/>
      <c r="C66" s="100" t="s">
        <v>1510</v>
      </c>
      <c r="D66" s="23" t="str">
        <f>+VLOOKUP(C66,$B$5:$G$494,3,0)</f>
        <v>Transporte material (corte, sub-base, base, afirmado, Petreos, arenas, etc)</v>
      </c>
      <c r="E66" s="86" t="s">
        <v>1508</v>
      </c>
      <c r="F66" s="201">
        <v>1</v>
      </c>
      <c r="G66" s="151">
        <f>+VLOOKUP(C66,$B$5:$G$494,6,0)</f>
        <v>1887</v>
      </c>
      <c r="H66" s="193"/>
      <c r="I66" s="499">
        <f t="shared" si="2"/>
        <v>0</v>
      </c>
      <c r="J66" s="24"/>
      <c r="K66" s="35"/>
    </row>
    <row r="67" spans="1:12" x14ac:dyDescent="0.3">
      <c r="A67" s="643"/>
      <c r="B67" s="642" t="s">
        <v>1502</v>
      </c>
      <c r="C67" s="100" t="s">
        <v>176</v>
      </c>
      <c r="D67" s="85" t="s">
        <v>136</v>
      </c>
      <c r="E67" s="86" t="s">
        <v>155</v>
      </c>
      <c r="F67" s="201">
        <v>1</v>
      </c>
      <c r="G67" s="142">
        <f>+VLOOKUP(D67,MO!$B$33:$F$79,5,0)</f>
        <v>224417</v>
      </c>
      <c r="H67" s="193">
        <v>7.741401800719655E-2</v>
      </c>
      <c r="I67" s="499">
        <f t="shared" si="2"/>
        <v>17373</v>
      </c>
      <c r="J67" s="24"/>
      <c r="K67" s="35"/>
    </row>
    <row r="68" spans="1:12" x14ac:dyDescent="0.3">
      <c r="A68" s="643"/>
      <c r="B68" s="824" t="s">
        <v>1360</v>
      </c>
      <c r="C68" s="100" t="s">
        <v>1377</v>
      </c>
      <c r="D68" s="85" t="str">
        <f>+VLOOKUP(C68,BD!$A$29:$E$877,2,0)</f>
        <v xml:space="preserve">Motoniveladora </v>
      </c>
      <c r="E68" s="86" t="s">
        <v>1370</v>
      </c>
      <c r="F68" s="201">
        <v>1</v>
      </c>
      <c r="G68" s="142">
        <f>VLOOKUP(C68,BD!$A$29:$E$877,5,0)</f>
        <v>154900.69</v>
      </c>
      <c r="H68" s="193">
        <v>6.2499809360404182E-2</v>
      </c>
      <c r="I68" s="499">
        <f t="shared" si="2"/>
        <v>9681</v>
      </c>
      <c r="J68" s="37"/>
      <c r="K68" s="35"/>
    </row>
    <row r="69" spans="1:12" x14ac:dyDescent="0.3">
      <c r="A69" s="643"/>
      <c r="B69" s="824"/>
      <c r="C69" s="100" t="s">
        <v>1387</v>
      </c>
      <c r="D69" s="85" t="str">
        <f>+VLOOKUP(C69,BD!$A$29:$E$877,2,0)</f>
        <v>Cilindro compactador vibratorio Dynapac y tractor</v>
      </c>
      <c r="E69" s="86" t="s">
        <v>1370</v>
      </c>
      <c r="F69" s="201">
        <v>1</v>
      </c>
      <c r="G69" s="142">
        <f>VLOOKUP(C69,BD!$A$29:$E$877,5,0)</f>
        <v>85600</v>
      </c>
      <c r="H69" s="193">
        <v>6.6666666666666666E-2</v>
      </c>
      <c r="I69" s="499">
        <f t="shared" si="2"/>
        <v>5707</v>
      </c>
    </row>
    <row r="70" spans="1:12" x14ac:dyDescent="0.3">
      <c r="A70" s="643"/>
      <c r="B70" s="824"/>
      <c r="C70" s="100" t="s">
        <v>1408</v>
      </c>
      <c r="D70" s="85" t="str">
        <f>+VLOOKUP(C70,BD!$A$29:$E$877,2,0)</f>
        <v>Carrotanque agua</v>
      </c>
      <c r="E70" s="86" t="s">
        <v>1370</v>
      </c>
      <c r="F70" s="201">
        <v>1</v>
      </c>
      <c r="G70" s="142">
        <f>VLOOKUP(C70,BD!$A$29:$E$877,5,0)</f>
        <v>51003.69</v>
      </c>
      <c r="H70" s="193">
        <v>6.6666666666666666E-2</v>
      </c>
      <c r="I70" s="499">
        <f t="shared" si="2"/>
        <v>3400</v>
      </c>
    </row>
    <row r="71" spans="1:12" ht="13.8" thickBot="1" x14ac:dyDescent="0.35">
      <c r="A71" s="643"/>
      <c r="B71" s="825"/>
      <c r="C71" s="376" t="s">
        <v>1364</v>
      </c>
      <c r="D71" s="223" t="s">
        <v>1509</v>
      </c>
      <c r="E71" s="377" t="s">
        <v>1363</v>
      </c>
      <c r="F71" s="224">
        <v>0.05</v>
      </c>
      <c r="G71" s="222">
        <f>I67</f>
        <v>17373</v>
      </c>
      <c r="H71" s="502">
        <v>0</v>
      </c>
      <c r="I71" s="500">
        <f>ROUND((F71*G71),0)</f>
        <v>869</v>
      </c>
    </row>
    <row r="72" spans="1:12" x14ac:dyDescent="0.3">
      <c r="A72" s="409"/>
      <c r="B72" s="497" t="s">
        <v>1677</v>
      </c>
      <c r="C72" s="84"/>
      <c r="D72" s="83" t="s">
        <v>1808</v>
      </c>
      <c r="E72" s="84" t="s">
        <v>3</v>
      </c>
      <c r="F72" s="203"/>
      <c r="G72" s="141">
        <f>ROUND(SUM(I72:I79),0)</f>
        <v>59611</v>
      </c>
      <c r="H72" s="192"/>
      <c r="I72" s="498"/>
      <c r="J72" s="24"/>
      <c r="K72" s="35"/>
      <c r="L72" s="173"/>
    </row>
    <row r="73" spans="1:12" x14ac:dyDescent="0.3">
      <c r="A73" s="409"/>
      <c r="B73" s="805" t="s">
        <v>183</v>
      </c>
      <c r="C73" s="100"/>
      <c r="D73" s="85" t="s">
        <v>1809</v>
      </c>
      <c r="E73" s="86" t="s">
        <v>4</v>
      </c>
      <c r="F73" s="201">
        <v>0.66700000000000004</v>
      </c>
      <c r="G73" s="142">
        <v>16089</v>
      </c>
      <c r="H73" s="193">
        <v>1.05</v>
      </c>
      <c r="I73" s="499">
        <f t="shared" ref="I73:I79" si="3">ROUND((F73*G73*H73),0)</f>
        <v>11268</v>
      </c>
      <c r="J73" s="24"/>
      <c r="K73" s="35"/>
    </row>
    <row r="74" spans="1:12" x14ac:dyDescent="0.3">
      <c r="A74" s="409"/>
      <c r="B74" s="805"/>
      <c r="C74" s="100"/>
      <c r="D74" s="85" t="s">
        <v>1762</v>
      </c>
      <c r="E74" s="86" t="s">
        <v>4</v>
      </c>
      <c r="F74" s="201">
        <v>0.66700000000000004</v>
      </c>
      <c r="G74" s="142">
        <v>6188</v>
      </c>
      <c r="H74" s="193">
        <v>1.05</v>
      </c>
      <c r="I74" s="499">
        <f t="shared" si="3"/>
        <v>4334</v>
      </c>
      <c r="J74" s="24"/>
      <c r="K74" s="35"/>
    </row>
    <row r="75" spans="1:12" x14ac:dyDescent="0.3">
      <c r="A75" s="409"/>
      <c r="B75" s="805"/>
      <c r="C75" s="100"/>
      <c r="D75" s="85" t="s">
        <v>1775</v>
      </c>
      <c r="E75" s="86" t="s">
        <v>4</v>
      </c>
      <c r="F75" s="201">
        <v>0.5</v>
      </c>
      <c r="G75" s="142">
        <v>1485</v>
      </c>
      <c r="H75" s="193">
        <v>1.05</v>
      </c>
      <c r="I75" s="499">
        <f t="shared" si="3"/>
        <v>780</v>
      </c>
      <c r="J75" s="24"/>
      <c r="K75" s="35"/>
    </row>
    <row r="76" spans="1:12" x14ac:dyDescent="0.3">
      <c r="A76" s="409"/>
      <c r="B76" s="805"/>
      <c r="C76" s="100"/>
      <c r="D76" s="85" t="s">
        <v>1772</v>
      </c>
      <c r="E76" s="86" t="s">
        <v>1767</v>
      </c>
      <c r="F76" s="201">
        <v>2</v>
      </c>
      <c r="G76" s="142">
        <v>2288</v>
      </c>
      <c r="H76" s="193">
        <v>1</v>
      </c>
      <c r="I76" s="499">
        <f t="shared" si="3"/>
        <v>4576</v>
      </c>
      <c r="J76" s="24"/>
      <c r="K76" s="35"/>
    </row>
    <row r="77" spans="1:12" x14ac:dyDescent="0.3">
      <c r="A77" s="409"/>
      <c r="B77" s="805"/>
      <c r="C77" s="100"/>
      <c r="D77" s="85" t="s">
        <v>1774</v>
      </c>
      <c r="E77" s="86" t="s">
        <v>4</v>
      </c>
      <c r="F77" s="201">
        <v>0.5</v>
      </c>
      <c r="G77" s="142">
        <v>3094</v>
      </c>
      <c r="H77" s="193">
        <v>1.05</v>
      </c>
      <c r="I77" s="499">
        <f t="shared" si="3"/>
        <v>1624</v>
      </c>
      <c r="J77" s="24"/>
      <c r="K77" s="35"/>
    </row>
    <row r="78" spans="1:12" x14ac:dyDescent="0.3">
      <c r="A78" s="409"/>
      <c r="B78" s="405" t="s">
        <v>1502</v>
      </c>
      <c r="C78" s="100" t="s">
        <v>176</v>
      </c>
      <c r="D78" s="85" t="s">
        <v>136</v>
      </c>
      <c r="E78" s="86" t="s">
        <v>155</v>
      </c>
      <c r="F78" s="201">
        <v>1</v>
      </c>
      <c r="G78" s="142">
        <f>+VLOOKUP(D78,MO!$B$33:$F$79,5,0)</f>
        <v>224417</v>
      </c>
      <c r="H78" s="193">
        <v>0.15</v>
      </c>
      <c r="I78" s="499">
        <f t="shared" si="3"/>
        <v>33663</v>
      </c>
      <c r="J78" s="24"/>
      <c r="K78" s="35"/>
    </row>
    <row r="79" spans="1:12" ht="13.8" thickBot="1" x14ac:dyDescent="0.35">
      <c r="A79" s="409"/>
      <c r="B79" s="511"/>
      <c r="C79" s="376" t="s">
        <v>1364</v>
      </c>
      <c r="D79" s="223" t="s">
        <v>1509</v>
      </c>
      <c r="E79" s="377" t="s">
        <v>1363</v>
      </c>
      <c r="F79" s="224">
        <v>0.1</v>
      </c>
      <c r="G79" s="222">
        <f>I78</f>
        <v>33663</v>
      </c>
      <c r="H79" s="502">
        <v>1</v>
      </c>
      <c r="I79" s="500">
        <f t="shared" si="3"/>
        <v>3366</v>
      </c>
    </row>
    <row r="80" spans="1:12" ht="13.8" thickBot="1" x14ac:dyDescent="0.35">
      <c r="A80" s="409"/>
      <c r="B80" s="512"/>
      <c r="C80" s="100"/>
      <c r="D80" s="85"/>
      <c r="E80" s="86"/>
      <c r="F80" s="206"/>
      <c r="G80" s="142"/>
      <c r="H80" s="99"/>
      <c r="I80" s="148"/>
    </row>
    <row r="81" spans="1:9" ht="33.75" customHeight="1" x14ac:dyDescent="0.3">
      <c r="A81" s="409"/>
      <c r="B81" s="523"/>
      <c r="C81" s="524"/>
      <c r="D81" s="525" t="str">
        <f>+Presupuesto_OFICIAL!C40</f>
        <v xml:space="preserve">Relleno sucio de rio compactado sustitucion flatantes (vacios) </v>
      </c>
      <c r="E81" s="524" t="s">
        <v>1503</v>
      </c>
      <c r="F81" s="526"/>
      <c r="G81" s="527">
        <f>ROUND(SUM(I81:I88),0)</f>
        <v>85191</v>
      </c>
      <c r="H81" s="524"/>
      <c r="I81" s="528"/>
    </row>
    <row r="82" spans="1:9" x14ac:dyDescent="0.3">
      <c r="A82" s="409"/>
      <c r="B82" s="518"/>
      <c r="C82" s="513" t="s">
        <v>249</v>
      </c>
      <c r="D82" s="514" t="s">
        <v>1810</v>
      </c>
      <c r="E82" s="515" t="s">
        <v>42</v>
      </c>
      <c r="F82" s="474">
        <v>1</v>
      </c>
      <c r="G82" s="516">
        <v>43791.633936000006</v>
      </c>
      <c r="H82" s="473">
        <v>1.3</v>
      </c>
      <c r="I82" s="477">
        <f t="shared" ref="I82" si="4">ROUND((F82*G82*H82),0)</f>
        <v>56929</v>
      </c>
    </row>
    <row r="83" spans="1:9" x14ac:dyDescent="0.3">
      <c r="A83" s="409"/>
      <c r="B83" s="518"/>
      <c r="C83" s="471" t="s">
        <v>251</v>
      </c>
      <c r="D83" s="472" t="s">
        <v>252</v>
      </c>
      <c r="E83" s="473" t="s">
        <v>253</v>
      </c>
      <c r="F83" s="474">
        <v>30</v>
      </c>
      <c r="G83" s="516">
        <v>13.1374901808</v>
      </c>
      <c r="H83" s="473">
        <v>0</v>
      </c>
      <c r="I83" s="477">
        <f>ROUND((F83*G83),0)</f>
        <v>394</v>
      </c>
    </row>
    <row r="84" spans="1:9" ht="26.4" x14ac:dyDescent="0.3">
      <c r="A84" s="409"/>
      <c r="B84" s="470" t="s">
        <v>150</v>
      </c>
      <c r="C84" s="471" t="s">
        <v>172</v>
      </c>
      <c r="D84" s="472" t="s">
        <v>137</v>
      </c>
      <c r="E84" s="473" t="s">
        <v>155</v>
      </c>
      <c r="F84" s="474">
        <v>1</v>
      </c>
      <c r="G84" s="516">
        <f>+MO!F51</f>
        <v>342531</v>
      </c>
      <c r="H84" s="473">
        <v>0.05</v>
      </c>
      <c r="I84" s="477">
        <f>ROUND((F84*G84*H84),0)</f>
        <v>17127</v>
      </c>
    </row>
    <row r="85" spans="1:9" x14ac:dyDescent="0.3">
      <c r="A85" s="409"/>
      <c r="B85" s="470"/>
      <c r="C85" s="471" t="s">
        <v>166</v>
      </c>
      <c r="D85" s="472" t="s">
        <v>1512</v>
      </c>
      <c r="E85" s="473" t="s">
        <v>1363</v>
      </c>
      <c r="F85" s="474">
        <v>0.1</v>
      </c>
      <c r="G85" s="516">
        <f>+I84</f>
        <v>17127</v>
      </c>
      <c r="H85" s="473">
        <v>0</v>
      </c>
      <c r="I85" s="477">
        <f t="shared" ref="I85:I86" si="5">ROUND((F85*G85),0)</f>
        <v>1713</v>
      </c>
    </row>
    <row r="86" spans="1:9" x14ac:dyDescent="0.3">
      <c r="A86" s="409"/>
      <c r="B86" s="478" t="s">
        <v>1360</v>
      </c>
      <c r="C86" s="471" t="s">
        <v>1364</v>
      </c>
      <c r="D86" s="472" t="s">
        <v>1509</v>
      </c>
      <c r="E86" s="473" t="s">
        <v>1363</v>
      </c>
      <c r="F86" s="474">
        <v>0.1</v>
      </c>
      <c r="G86" s="516">
        <f>+I84</f>
        <v>17127</v>
      </c>
      <c r="H86" s="473">
        <v>0</v>
      </c>
      <c r="I86" s="477">
        <f t="shared" si="5"/>
        <v>1713</v>
      </c>
    </row>
    <row r="87" spans="1:9" x14ac:dyDescent="0.3">
      <c r="A87" s="409"/>
      <c r="B87" s="478"/>
      <c r="C87" s="471" t="s">
        <v>1385</v>
      </c>
      <c r="D87" s="472" t="s">
        <v>1811</v>
      </c>
      <c r="E87" s="473" t="s">
        <v>155</v>
      </c>
      <c r="F87" s="474">
        <v>1</v>
      </c>
      <c r="G87" s="516">
        <v>40507.261390799998</v>
      </c>
      <c r="H87" s="473">
        <v>0.1</v>
      </c>
      <c r="I87" s="477">
        <f t="shared" ref="I87" si="6">ROUND((F87*G87*H87),0)</f>
        <v>4051</v>
      </c>
    </row>
    <row r="88" spans="1:9" ht="13.8" thickBot="1" x14ac:dyDescent="0.35">
      <c r="A88" s="409"/>
      <c r="B88" s="519" t="s">
        <v>1530</v>
      </c>
      <c r="C88" s="480" t="s">
        <v>1495</v>
      </c>
      <c r="D88" s="481" t="s">
        <v>1496</v>
      </c>
      <c r="E88" s="482" t="s">
        <v>26</v>
      </c>
      <c r="F88" s="520">
        <v>2.5000000000000001E-2</v>
      </c>
      <c r="G88" s="521">
        <v>130574.60969781961</v>
      </c>
      <c r="H88" s="522">
        <v>0</v>
      </c>
      <c r="I88" s="485">
        <f>ROUND((F88*G88),0)</f>
        <v>3264</v>
      </c>
    </row>
    <row r="89" spans="1:9" x14ac:dyDescent="0.3">
      <c r="A89" s="409"/>
      <c r="B89" s="512"/>
      <c r="C89" s="100"/>
      <c r="D89" s="85"/>
      <c r="E89" s="86"/>
      <c r="F89" s="206"/>
      <c r="G89" s="142"/>
      <c r="H89" s="99"/>
      <c r="I89" s="148"/>
    </row>
    <row r="90" spans="1:9" ht="15.6" x14ac:dyDescent="0.3">
      <c r="A90" s="409"/>
      <c r="B90" s="456" t="s">
        <v>1812</v>
      </c>
      <c r="C90" s="437"/>
      <c r="D90" s="486" t="str">
        <f>+Presupuesto_OFICIAL!C41</f>
        <v>Relleno afirmado compactado sustitucion flatantes (vacios) y andenes</v>
      </c>
      <c r="E90" s="437" t="s">
        <v>1503</v>
      </c>
      <c r="F90" s="459"/>
      <c r="G90" s="460">
        <f>ROUND(SUM(I90:I96),0)</f>
        <v>85809</v>
      </c>
      <c r="H90" s="437"/>
      <c r="I90" s="487"/>
    </row>
    <row r="91" spans="1:9" x14ac:dyDescent="0.3">
      <c r="A91" s="409"/>
      <c r="B91" s="529" t="s">
        <v>1728</v>
      </c>
      <c r="C91" s="530" t="s">
        <v>249</v>
      </c>
      <c r="D91" s="531" t="s">
        <v>1813</v>
      </c>
      <c r="E91" s="532" t="s">
        <v>42</v>
      </c>
      <c r="F91" s="440">
        <v>1</v>
      </c>
      <c r="G91" s="441">
        <v>43791.633936000006</v>
      </c>
      <c r="H91" s="439">
        <v>1.3</v>
      </c>
      <c r="I91" s="442">
        <f t="shared" ref="I91:I92" si="7">ROUND((F91*G91*H91),0)</f>
        <v>56929</v>
      </c>
    </row>
    <row r="92" spans="1:9" ht="26.4" x14ac:dyDescent="0.3">
      <c r="A92" s="409"/>
      <c r="B92" s="462" t="s">
        <v>150</v>
      </c>
      <c r="C92" s="437" t="s">
        <v>160</v>
      </c>
      <c r="D92" s="438" t="s">
        <v>137</v>
      </c>
      <c r="E92" s="439" t="s">
        <v>155</v>
      </c>
      <c r="F92" s="440">
        <v>1</v>
      </c>
      <c r="G92" s="441">
        <f>+MO!F51</f>
        <v>342531</v>
      </c>
      <c r="H92" s="439">
        <v>0.05</v>
      </c>
      <c r="I92" s="442">
        <f t="shared" si="7"/>
        <v>17127</v>
      </c>
    </row>
    <row r="93" spans="1:9" x14ac:dyDescent="0.3">
      <c r="A93" s="409"/>
      <c r="B93" s="462"/>
      <c r="C93" s="437" t="s">
        <v>166</v>
      </c>
      <c r="D93" s="438" t="s">
        <v>1512</v>
      </c>
      <c r="E93" s="439" t="s">
        <v>1363</v>
      </c>
      <c r="F93" s="440">
        <v>0.1</v>
      </c>
      <c r="G93" s="441">
        <v>17127</v>
      </c>
      <c r="H93" s="439">
        <v>0</v>
      </c>
      <c r="I93" s="442">
        <f t="shared" ref="I93:I94" si="8">ROUND((F93*G93),0)</f>
        <v>1713</v>
      </c>
    </row>
    <row r="94" spans="1:9" x14ac:dyDescent="0.3">
      <c r="A94" s="409"/>
      <c r="B94" s="448" t="s">
        <v>1360</v>
      </c>
      <c r="C94" s="437" t="s">
        <v>1364</v>
      </c>
      <c r="D94" s="438" t="s">
        <v>1509</v>
      </c>
      <c r="E94" s="439" t="s">
        <v>1363</v>
      </c>
      <c r="F94" s="440">
        <v>0.1</v>
      </c>
      <c r="G94" s="441">
        <v>17127</v>
      </c>
      <c r="H94" s="439">
        <v>0</v>
      </c>
      <c r="I94" s="442">
        <f t="shared" si="8"/>
        <v>1713</v>
      </c>
    </row>
    <row r="95" spans="1:9" x14ac:dyDescent="0.3">
      <c r="A95" s="409"/>
      <c r="B95" s="533"/>
      <c r="C95" s="437" t="s">
        <v>1385</v>
      </c>
      <c r="D95" s="438" t="s">
        <v>1811</v>
      </c>
      <c r="E95" s="439" t="s">
        <v>155</v>
      </c>
      <c r="F95" s="440">
        <v>1</v>
      </c>
      <c r="G95" s="441">
        <v>40507.261390799998</v>
      </c>
      <c r="H95" s="439">
        <f>1/8</f>
        <v>0.125</v>
      </c>
      <c r="I95" s="442">
        <f>ROUND((F95*G95*H95),0)</f>
        <v>5063</v>
      </c>
    </row>
    <row r="96" spans="1:9" ht="13.8" thickBot="1" x14ac:dyDescent="0.35">
      <c r="A96" s="409"/>
      <c r="B96" s="517" t="s">
        <v>1530</v>
      </c>
      <c r="C96" s="449" t="s">
        <v>1495</v>
      </c>
      <c r="D96" s="450" t="s">
        <v>1496</v>
      </c>
      <c r="E96" s="451" t="s">
        <v>26</v>
      </c>
      <c r="F96" s="534">
        <f>1/40</f>
        <v>2.5000000000000001E-2</v>
      </c>
      <c r="G96" s="453">
        <v>130574.60969781961</v>
      </c>
      <c r="H96" s="535">
        <v>0</v>
      </c>
      <c r="I96" s="454">
        <f>ROUND((F96*G96),0)</f>
        <v>3264</v>
      </c>
    </row>
    <row r="97" spans="2:11" x14ac:dyDescent="0.3">
      <c r="B97" s="503" t="s">
        <v>1521</v>
      </c>
      <c r="C97" s="504"/>
      <c r="D97" s="505" t="s">
        <v>1522</v>
      </c>
      <c r="E97" s="506" t="s">
        <v>32</v>
      </c>
      <c r="F97" s="203"/>
      <c r="G97" s="141">
        <f>ROUND(SUM(I98:I101),0)</f>
        <v>5519</v>
      </c>
      <c r="H97" s="507"/>
      <c r="I97" s="498"/>
    </row>
    <row r="98" spans="2:11" x14ac:dyDescent="0.3">
      <c r="B98" s="807" t="s">
        <v>183</v>
      </c>
      <c r="C98" s="169" t="s">
        <v>797</v>
      </c>
      <c r="D98" s="85" t="str">
        <f>+VLOOKUP(C98,BD!$A$29:$E$877,2,0)</f>
        <v>Masilla elástica sellante tubo x 330 ml</v>
      </c>
      <c r="E98" s="96" t="s">
        <v>4</v>
      </c>
      <c r="F98" s="201">
        <v>4.4999999999999998E-2</v>
      </c>
      <c r="G98" s="142">
        <f>VLOOKUP(C98,BD!$A$29:$E$877,5,0)</f>
        <v>42655.55</v>
      </c>
      <c r="H98" s="197">
        <v>1.05</v>
      </c>
      <c r="I98" s="499">
        <f>ROUND((F98*G98*H98),0)</f>
        <v>2015</v>
      </c>
    </row>
    <row r="99" spans="2:11" x14ac:dyDescent="0.3">
      <c r="B99" s="807"/>
      <c r="C99" s="169" t="s">
        <v>1043</v>
      </c>
      <c r="D99" s="85" t="str">
        <f>+VLOOKUP(C99,BD!$A$29:$E$877,2,0)</f>
        <v xml:space="preserve">Sikarod 6 -10 mm de diametro </v>
      </c>
      <c r="E99" s="96" t="s">
        <v>26</v>
      </c>
      <c r="F99" s="201">
        <v>1</v>
      </c>
      <c r="G99" s="142">
        <f>BD!E31</f>
        <v>1605</v>
      </c>
      <c r="H99" s="197">
        <v>1.05</v>
      </c>
      <c r="I99" s="499">
        <f>ROUND((F99*G99*H99),0)</f>
        <v>1685</v>
      </c>
    </row>
    <row r="100" spans="2:11" x14ac:dyDescent="0.3">
      <c r="B100" s="405" t="s">
        <v>1502</v>
      </c>
      <c r="C100" s="174" t="s">
        <v>158</v>
      </c>
      <c r="D100" s="97" t="s">
        <v>159</v>
      </c>
      <c r="E100" s="98" t="s">
        <v>155</v>
      </c>
      <c r="F100" s="201">
        <v>1</v>
      </c>
      <c r="G100" s="142">
        <f>+VLOOKUP(D100,MO!$B$33:$F$79,5,0)</f>
        <v>82680</v>
      </c>
      <c r="H100" s="197">
        <f>1/50</f>
        <v>0.02</v>
      </c>
      <c r="I100" s="499">
        <f>ROUND((F100*G100*H100),0)</f>
        <v>1654</v>
      </c>
    </row>
    <row r="101" spans="2:11" ht="13.8" thickBot="1" x14ac:dyDescent="0.35">
      <c r="B101" s="407" t="s">
        <v>1360</v>
      </c>
      <c r="C101" s="508" t="s">
        <v>1364</v>
      </c>
      <c r="D101" s="509" t="s">
        <v>1509</v>
      </c>
      <c r="E101" s="396" t="s">
        <v>1363</v>
      </c>
      <c r="F101" s="378">
        <v>0.1</v>
      </c>
      <c r="G101" s="222">
        <f>I100</f>
        <v>1654</v>
      </c>
      <c r="H101" s="510">
        <v>0</v>
      </c>
      <c r="I101" s="500">
        <f>ROUND((F101*G101),0)</f>
        <v>165</v>
      </c>
    </row>
    <row r="102" spans="2:11" ht="39.6" x14ac:dyDescent="0.3">
      <c r="B102" s="68" t="s">
        <v>56</v>
      </c>
      <c r="C102" s="84"/>
      <c r="D102" s="83" t="s">
        <v>57</v>
      </c>
      <c r="E102" s="84" t="s">
        <v>1560</v>
      </c>
      <c r="F102" s="203"/>
      <c r="G102" s="141">
        <f>ROUND(SUM(I103:I115),0)</f>
        <v>142819</v>
      </c>
      <c r="H102" s="192"/>
      <c r="I102" s="153"/>
      <c r="J102" s="24"/>
      <c r="K102" s="35"/>
    </row>
    <row r="103" spans="2:11" x14ac:dyDescent="0.3">
      <c r="B103" s="806" t="s">
        <v>183</v>
      </c>
      <c r="C103" s="100" t="s">
        <v>282</v>
      </c>
      <c r="D103" s="85" t="str">
        <f>+VLOOKUP(C103,BD!$A$29:$E$877,2,0)</f>
        <v>Antisol blanco</v>
      </c>
      <c r="E103" s="86" t="s">
        <v>25</v>
      </c>
      <c r="F103" s="201">
        <f>1/5</f>
        <v>0.2</v>
      </c>
      <c r="G103" s="142">
        <f>VLOOKUP(C103,BD!$A$29:$E$877,5,0)</f>
        <v>5174.5200000000004</v>
      </c>
      <c r="H103" s="193">
        <v>1.03</v>
      </c>
      <c r="I103" s="148">
        <f>ROUND((F103*G103*H103),0)</f>
        <v>1066</v>
      </c>
      <c r="J103" s="24"/>
      <c r="K103" s="35"/>
    </row>
    <row r="104" spans="2:11" x14ac:dyDescent="0.3">
      <c r="B104" s="806"/>
      <c r="C104" s="100" t="s">
        <v>779</v>
      </c>
      <c r="D104" s="85" t="str">
        <f>+VLOOKUP(C104,BD!$A$29:$E$877,2,0)</f>
        <v>Fondo de junta de polietileno Φ = 3/8"</v>
      </c>
      <c r="E104" s="86" t="s">
        <v>32</v>
      </c>
      <c r="F104" s="206">
        <v>1</v>
      </c>
      <c r="G104" s="142">
        <f>VLOOKUP(C104,BD!$A$29:$E$877,5,0)</f>
        <v>1173.79</v>
      </c>
      <c r="H104" s="193">
        <v>0</v>
      </c>
      <c r="I104" s="148">
        <f>ROUND((F104*G104),0)</f>
        <v>1174</v>
      </c>
      <c r="J104" s="24"/>
      <c r="K104" s="35"/>
    </row>
    <row r="105" spans="2:11" ht="26.4" x14ac:dyDescent="0.3">
      <c r="B105" s="806"/>
      <c r="C105" s="100" t="s">
        <v>471</v>
      </c>
      <c r="D105" s="85" t="str">
        <f>+VLOOKUP(C105,BD!$A$29:$E$877,2,0)</f>
        <v>Concreto premezclado de 27,6 Mpa o MR 4,1 Mpa para pavimento</v>
      </c>
      <c r="E105" s="335" t="s">
        <v>42</v>
      </c>
      <c r="F105" s="206">
        <v>0.2</v>
      </c>
      <c r="G105" s="142">
        <f>VLOOKUP(C105,BD!$A$29:$E$877,5,0)</f>
        <v>460100</v>
      </c>
      <c r="H105" s="193">
        <v>1.05</v>
      </c>
      <c r="I105" s="148">
        <f>ROUND((F105*G105*H105),0)</f>
        <v>96621</v>
      </c>
      <c r="J105" s="24"/>
      <c r="K105" s="35"/>
    </row>
    <row r="106" spans="2:11" x14ac:dyDescent="0.3">
      <c r="B106" s="826" t="s">
        <v>1504</v>
      </c>
      <c r="C106" s="175" t="s">
        <v>1521</v>
      </c>
      <c r="D106" s="92" t="s">
        <v>1522</v>
      </c>
      <c r="E106" s="86" t="s">
        <v>32</v>
      </c>
      <c r="F106" s="201">
        <v>1.2</v>
      </c>
      <c r="G106" s="142">
        <f>+G97</f>
        <v>5519</v>
      </c>
      <c r="H106" s="193">
        <v>0</v>
      </c>
      <c r="I106" s="148">
        <f>ROUND((F106*G106),0)</f>
        <v>6623</v>
      </c>
      <c r="J106" s="24"/>
      <c r="K106" s="35"/>
    </row>
    <row r="107" spans="2:11" x14ac:dyDescent="0.3">
      <c r="B107" s="826"/>
      <c r="C107" s="100" t="s">
        <v>84</v>
      </c>
      <c r="D107" s="15" t="str">
        <f>+VLOOKUP(C107,$B$5:$G$501,3,0)</f>
        <v>Acero Fy = 60.000 psi d&gt;1/4"</v>
      </c>
      <c r="E107" s="86" t="s">
        <v>25</v>
      </c>
      <c r="F107" s="201">
        <v>2.5</v>
      </c>
      <c r="G107" s="151">
        <f>+VLOOKUP(C107,$B$5:$G$501,6,0)</f>
        <v>6971</v>
      </c>
      <c r="H107" s="193">
        <v>0</v>
      </c>
      <c r="I107" s="148">
        <f>ROUND((F107*G107),0)</f>
        <v>17428</v>
      </c>
      <c r="J107" s="24"/>
      <c r="K107" s="35"/>
    </row>
    <row r="108" spans="2:11" x14ac:dyDescent="0.3">
      <c r="B108" s="826"/>
      <c r="C108" s="100" t="s">
        <v>30</v>
      </c>
      <c r="D108" s="92" t="s">
        <v>1524</v>
      </c>
      <c r="E108" s="86" t="s">
        <v>32</v>
      </c>
      <c r="F108" s="201">
        <v>1</v>
      </c>
      <c r="G108" s="142">
        <f>+G15</f>
        <v>4680</v>
      </c>
      <c r="H108" s="193">
        <v>0</v>
      </c>
      <c r="I108" s="148">
        <f>ROUND((F108*G108),0)</f>
        <v>4680</v>
      </c>
      <c r="J108" s="24"/>
      <c r="K108" s="34"/>
    </row>
    <row r="109" spans="2:11" x14ac:dyDescent="0.3">
      <c r="B109" s="49" t="s">
        <v>1502</v>
      </c>
      <c r="C109" s="334" t="s">
        <v>172</v>
      </c>
      <c r="D109" s="73" t="s">
        <v>147</v>
      </c>
      <c r="E109" s="335" t="s">
        <v>155</v>
      </c>
      <c r="F109" s="201">
        <v>1</v>
      </c>
      <c r="G109" s="142">
        <f>+VLOOKUP(D109,MO!$B$33:$F$79,5,0)</f>
        <v>685062</v>
      </c>
      <c r="H109" s="99">
        <v>1.602147324530924E-2</v>
      </c>
      <c r="I109" s="148">
        <f>ROUND((F109*G109*H109),0)</f>
        <v>10976</v>
      </c>
      <c r="J109" s="24"/>
      <c r="K109" s="34"/>
    </row>
    <row r="110" spans="2:11" x14ac:dyDescent="0.3">
      <c r="B110" s="828" t="s">
        <v>1360</v>
      </c>
      <c r="C110" s="100" t="s">
        <v>1485</v>
      </c>
      <c r="D110" s="85" t="str">
        <f>+VLOOKUP(C110,BD!$A$29:$E$877,2,0)</f>
        <v>Aspersor manual</v>
      </c>
      <c r="E110" s="86" t="s">
        <v>155</v>
      </c>
      <c r="F110" s="201">
        <v>1</v>
      </c>
      <c r="G110" s="142">
        <f>VLOOKUP(C110,BD!$A$29:$E$877,5,0)</f>
        <v>21400</v>
      </c>
      <c r="H110" s="99">
        <v>0.02</v>
      </c>
      <c r="I110" s="148">
        <f>ROUND((F110*G110*H110),0)</f>
        <v>428</v>
      </c>
      <c r="J110" s="24"/>
      <c r="K110" s="35"/>
    </row>
    <row r="111" spans="2:11" x14ac:dyDescent="0.3">
      <c r="B111" s="828"/>
      <c r="C111" s="100" t="s">
        <v>1483</v>
      </c>
      <c r="D111" s="85" t="str">
        <f>+VLOOKUP(C111,BD!$A$29:$E$877,2,0)</f>
        <v>Compresor (Barrido y soplado)</v>
      </c>
      <c r="E111" s="86" t="s">
        <v>1520</v>
      </c>
      <c r="F111" s="201">
        <v>1</v>
      </c>
      <c r="G111" s="142">
        <f>VLOOKUP(C111,BD!$A$29:$E$877,5,0)</f>
        <v>53500</v>
      </c>
      <c r="H111" s="99">
        <v>0.02</v>
      </c>
      <c r="I111" s="148">
        <f t="shared" ref="I111:I114" si="9">ROUND((F111*G111*H111),0)</f>
        <v>1070</v>
      </c>
      <c r="J111" s="24"/>
      <c r="K111" s="35"/>
    </row>
    <row r="112" spans="2:11" x14ac:dyDescent="0.3">
      <c r="B112" s="828"/>
      <c r="C112" s="100" t="s">
        <v>1398</v>
      </c>
      <c r="D112" s="85" t="str">
        <f>+VLOOKUP(C112,BD!$A$29:$E$877,2,0)</f>
        <v>Vibrador eléctrico o a gasolina</v>
      </c>
      <c r="E112" s="86" t="s">
        <v>155</v>
      </c>
      <c r="F112" s="201">
        <v>1</v>
      </c>
      <c r="G112" s="142">
        <f>VLOOKUP(C112,BD!$A$29:$E$877,5,0)</f>
        <v>27820</v>
      </c>
      <c r="H112" s="99">
        <v>0.02</v>
      </c>
      <c r="I112" s="148">
        <f t="shared" si="9"/>
        <v>556</v>
      </c>
      <c r="J112" s="24"/>
      <c r="K112" s="35"/>
    </row>
    <row r="113" spans="1:11" x14ac:dyDescent="0.3">
      <c r="B113" s="828"/>
      <c r="C113" s="100" t="s">
        <v>1414</v>
      </c>
      <c r="D113" s="85" t="str">
        <f>+VLOOKUP(C113,BD!$A$29:$E$877,2,0)</f>
        <v>Regla vibradora</v>
      </c>
      <c r="E113" s="86" t="s">
        <v>155</v>
      </c>
      <c r="F113" s="201">
        <v>1</v>
      </c>
      <c r="G113" s="142">
        <f>VLOOKUP(C113,BD!$A$29:$E$877,5,0)</f>
        <v>63237.000000000007</v>
      </c>
      <c r="H113" s="99">
        <v>2.5000000000000001E-2</v>
      </c>
      <c r="I113" s="148">
        <f t="shared" si="9"/>
        <v>1581</v>
      </c>
      <c r="J113" s="24"/>
      <c r="K113" s="35"/>
    </row>
    <row r="114" spans="1:11" x14ac:dyDescent="0.3">
      <c r="B114" s="828"/>
      <c r="C114" s="100" t="s">
        <v>1416</v>
      </c>
      <c r="D114" s="85" t="str">
        <f>+VLOOKUP(C114,BD!$A$29:$E$877,2,0)</f>
        <v>Formaleta pavimento concreto 3 ml</v>
      </c>
      <c r="E114" s="86" t="s">
        <v>155</v>
      </c>
      <c r="F114" s="201">
        <v>1</v>
      </c>
      <c r="G114" s="142">
        <f>VLOOKUP(C114,BD!$A$29:$E$877,5,0)</f>
        <v>2675</v>
      </c>
      <c r="H114" s="99">
        <v>2.5000000000000001E-2</v>
      </c>
      <c r="I114" s="148">
        <f t="shared" si="9"/>
        <v>67</v>
      </c>
      <c r="J114" s="24"/>
      <c r="K114" s="35"/>
    </row>
    <row r="115" spans="1:11" ht="13.8" thickBot="1" x14ac:dyDescent="0.35">
      <c r="B115" s="829"/>
      <c r="C115" s="101" t="s">
        <v>1364</v>
      </c>
      <c r="D115" s="87" t="s">
        <v>1509</v>
      </c>
      <c r="E115" s="88" t="s">
        <v>1363</v>
      </c>
      <c r="F115" s="202">
        <v>0.05</v>
      </c>
      <c r="G115" s="143">
        <f>I109</f>
        <v>10976</v>
      </c>
      <c r="H115" s="194">
        <v>1</v>
      </c>
      <c r="I115" s="226">
        <f>ROUND((F115*G115*H115),0)</f>
        <v>549</v>
      </c>
      <c r="J115" s="24"/>
      <c r="K115" s="35"/>
    </row>
    <row r="116" spans="1:11" ht="15.6" x14ac:dyDescent="0.3">
      <c r="B116" s="66" t="s">
        <v>58</v>
      </c>
      <c r="C116" s="90"/>
      <c r="D116" s="89" t="s">
        <v>59</v>
      </c>
      <c r="E116" s="90" t="s">
        <v>1560</v>
      </c>
      <c r="F116" s="199"/>
      <c r="G116" s="144">
        <f>ROUND(SUM(I116:I124),0)</f>
        <v>81780</v>
      </c>
      <c r="H116" s="195"/>
      <c r="I116" s="154"/>
      <c r="J116" s="24"/>
      <c r="K116" s="35"/>
    </row>
    <row r="117" spans="1:11" x14ac:dyDescent="0.3">
      <c r="B117" s="806" t="s">
        <v>183</v>
      </c>
      <c r="C117" s="100" t="s">
        <v>1071</v>
      </c>
      <c r="D117" s="85" t="str">
        <f>+VLOOKUP(C117,BD!$A$29:$E$877,2,0)</f>
        <v>Tabla para formaleta de 1" x 10" x 2,9 m</v>
      </c>
      <c r="E117" s="86" t="s">
        <v>32</v>
      </c>
      <c r="F117" s="201">
        <v>1</v>
      </c>
      <c r="G117" s="142">
        <f>VLOOKUP(C117,BD!$A$29:$E$877,5,0)</f>
        <v>4280</v>
      </c>
      <c r="H117" s="193">
        <f>1/3</f>
        <v>0.33333333333333331</v>
      </c>
      <c r="I117" s="148">
        <f>ROUND((F117*G117*H117),0)</f>
        <v>1427</v>
      </c>
      <c r="J117" s="24"/>
      <c r="K117" s="35"/>
    </row>
    <row r="118" spans="1:11" x14ac:dyDescent="0.3">
      <c r="B118" s="806"/>
      <c r="C118" s="100" t="s">
        <v>497</v>
      </c>
      <c r="D118" s="85" t="str">
        <f>+VLOOKUP(C118,BD!$A$29:$E$877,2,0)</f>
        <v>Cuartón de sajo 2" x 4" x 2,9 m</v>
      </c>
      <c r="E118" s="86" t="s">
        <v>32</v>
      </c>
      <c r="F118" s="201">
        <v>0.5</v>
      </c>
      <c r="G118" s="142">
        <f>VLOOKUP(C118,BD!$A$29:$E$877,5,0)</f>
        <v>4494</v>
      </c>
      <c r="H118" s="193">
        <f>1/3</f>
        <v>0.33333333333333331</v>
      </c>
      <c r="I118" s="148">
        <f>ROUND((F118*G118*H118),0)</f>
        <v>749</v>
      </c>
      <c r="J118" s="24"/>
      <c r="K118" s="35"/>
    </row>
    <row r="119" spans="1:11" x14ac:dyDescent="0.3">
      <c r="B119" s="806"/>
      <c r="C119" s="100" t="s">
        <v>992</v>
      </c>
      <c r="D119" s="85" t="str">
        <f>+VLOOKUP(C119,BD!$A$29:$E$877,2,0)</f>
        <v>Puntilla (promedio)</v>
      </c>
      <c r="E119" s="86" t="s">
        <v>383</v>
      </c>
      <c r="F119" s="201">
        <v>0.05</v>
      </c>
      <c r="G119" s="142">
        <f>VLOOKUP(C119,BD!$A$29:$E$877,5,0)</f>
        <v>2675</v>
      </c>
      <c r="H119" s="193">
        <v>0</v>
      </c>
      <c r="I119" s="148">
        <f>ROUND((F119*G119),0)</f>
        <v>134</v>
      </c>
      <c r="J119" s="24"/>
      <c r="K119" s="35"/>
    </row>
    <row r="120" spans="1:11" x14ac:dyDescent="0.3">
      <c r="B120" s="806"/>
      <c r="C120" s="100" t="s">
        <v>282</v>
      </c>
      <c r="D120" s="85" t="str">
        <f>+VLOOKUP(C120,BD!$A$29:$E$877,2,0)</f>
        <v>Antisol blanco</v>
      </c>
      <c r="E120" s="86" t="s">
        <v>25</v>
      </c>
      <c r="F120" s="201">
        <v>0.2</v>
      </c>
      <c r="G120" s="142">
        <f>VLOOKUP(C120,BD!$A$29:$E$877,5,0)</f>
        <v>5174.5200000000004</v>
      </c>
      <c r="H120" s="99">
        <v>1.03</v>
      </c>
      <c r="I120" s="148">
        <f>ROUND((F120*G120*H120),0)</f>
        <v>1066</v>
      </c>
      <c r="J120" s="24"/>
      <c r="K120" s="35"/>
    </row>
    <row r="121" spans="1:11" x14ac:dyDescent="0.3">
      <c r="B121" s="806"/>
      <c r="C121" s="100" t="s">
        <v>216</v>
      </c>
      <c r="D121" s="85" t="str">
        <f>+VLOOKUP(C121,BD!$A$29:$E$877,2,0)</f>
        <v>ACPM</v>
      </c>
      <c r="E121" s="86" t="s">
        <v>218</v>
      </c>
      <c r="F121" s="201">
        <v>0.05</v>
      </c>
      <c r="G121" s="142">
        <f>VLOOKUP(C121,BD!$A$29:$E$877,5,0)</f>
        <v>9547.61</v>
      </c>
      <c r="H121" s="99">
        <v>0</v>
      </c>
      <c r="I121" s="148">
        <f>ROUND((F121*G121),0)</f>
        <v>477</v>
      </c>
      <c r="J121" s="24"/>
      <c r="K121" s="35"/>
    </row>
    <row r="122" spans="1:11" ht="15.6" x14ac:dyDescent="0.3">
      <c r="B122" s="52" t="s">
        <v>1504</v>
      </c>
      <c r="C122" s="100" t="s">
        <v>1523</v>
      </c>
      <c r="D122" s="15" t="str">
        <f>+VLOOKUP(C122,$B$5:$G$501,3,0)</f>
        <v>Concreto de 20,7 Mpa (3000 psi) (producción)</v>
      </c>
      <c r="E122" s="86" t="s">
        <v>1559</v>
      </c>
      <c r="F122" s="201">
        <v>0.1</v>
      </c>
      <c r="G122" s="151">
        <f>+VLOOKUP(C122,$B$5:$G$501,6,0)</f>
        <v>568922</v>
      </c>
      <c r="H122" s="193">
        <v>1.05</v>
      </c>
      <c r="I122" s="148">
        <f>ROUND((F122*G122*H122),0)</f>
        <v>59737</v>
      </c>
      <c r="J122" s="24"/>
      <c r="K122" s="35"/>
    </row>
    <row r="123" spans="1:11" x14ac:dyDescent="0.3">
      <c r="B123" s="49" t="s">
        <v>1502</v>
      </c>
      <c r="C123" s="100" t="s">
        <v>174</v>
      </c>
      <c r="D123" s="85" t="s">
        <v>135</v>
      </c>
      <c r="E123" s="86" t="s">
        <v>155</v>
      </c>
      <c r="F123" s="201">
        <v>1</v>
      </c>
      <c r="G123" s="142">
        <f>+VLOOKUP(D123,MO!$B$33:$F$79,5,0)</f>
        <v>165360</v>
      </c>
      <c r="H123" s="193">
        <f>1/10</f>
        <v>0.1</v>
      </c>
      <c r="I123" s="148">
        <f>ROUND((F123*G123*H123),0)</f>
        <v>16536</v>
      </c>
      <c r="J123" s="24"/>
      <c r="K123" s="34"/>
    </row>
    <row r="124" spans="1:11" ht="13.8" thickBot="1" x14ac:dyDescent="0.35">
      <c r="B124" s="228" t="s">
        <v>1360</v>
      </c>
      <c r="C124" s="376" t="s">
        <v>1364</v>
      </c>
      <c r="D124" s="223" t="s">
        <v>1509</v>
      </c>
      <c r="E124" s="377" t="s">
        <v>1363</v>
      </c>
      <c r="F124" s="378">
        <v>0.1</v>
      </c>
      <c r="G124" s="222">
        <f>I123</f>
        <v>16536</v>
      </c>
      <c r="H124" s="379">
        <v>0</v>
      </c>
      <c r="I124" s="226">
        <f>ROUND((F124*G124),0)</f>
        <v>1654</v>
      </c>
      <c r="J124" s="24"/>
      <c r="K124" s="35"/>
    </row>
    <row r="125" spans="1:11" ht="15.6" x14ac:dyDescent="0.3">
      <c r="A125" s="409"/>
      <c r="B125" s="66" t="s">
        <v>58</v>
      </c>
      <c r="C125" s="90"/>
      <c r="D125" s="89" t="str">
        <f>+Presupuesto_OFICIAL!C45</f>
        <v>Rampa en concreto de 20,7 Mpa (3.000 psi) e = 0,10 m</v>
      </c>
      <c r="E125" s="90" t="s">
        <v>1560</v>
      </c>
      <c r="F125" s="199"/>
      <c r="G125" s="144">
        <f>ROUND(SUM(I125:I133),0)</f>
        <v>136348</v>
      </c>
      <c r="H125" s="195"/>
      <c r="I125" s="154"/>
      <c r="J125" s="24"/>
      <c r="K125" s="35"/>
    </row>
    <row r="126" spans="1:11" x14ac:dyDescent="0.3">
      <c r="A126" s="409"/>
      <c r="B126" s="806" t="s">
        <v>183</v>
      </c>
      <c r="C126" s="100" t="s">
        <v>1071</v>
      </c>
      <c r="D126" s="85" t="str">
        <f>+VLOOKUP(C126,BD!$A$29:$E$877,2,0)</f>
        <v>Tabla para formaleta de 1" x 10" x 2,9 m</v>
      </c>
      <c r="E126" s="86" t="s">
        <v>32</v>
      </c>
      <c r="F126" s="201">
        <v>1</v>
      </c>
      <c r="G126" s="142">
        <f>VLOOKUP(C126,BD!$A$29:$E$877,5,0)</f>
        <v>4280</v>
      </c>
      <c r="H126" s="193">
        <f>1/3</f>
        <v>0.33333333333333331</v>
      </c>
      <c r="I126" s="148">
        <f>ROUND((F126*G126*H126),0)</f>
        <v>1427</v>
      </c>
      <c r="J126" s="24"/>
      <c r="K126" s="35"/>
    </row>
    <row r="127" spans="1:11" x14ac:dyDescent="0.3">
      <c r="A127" s="409"/>
      <c r="B127" s="806"/>
      <c r="C127" s="100" t="s">
        <v>497</v>
      </c>
      <c r="D127" s="85" t="str">
        <f>+VLOOKUP(C127,BD!$A$29:$E$877,2,0)</f>
        <v>Cuartón de sajo 2" x 4" x 2,9 m</v>
      </c>
      <c r="E127" s="86" t="s">
        <v>32</v>
      </c>
      <c r="F127" s="201">
        <v>0.5</v>
      </c>
      <c r="G127" s="142">
        <f>VLOOKUP(C127,BD!$A$29:$E$877,5,0)</f>
        <v>4494</v>
      </c>
      <c r="H127" s="193">
        <f>1/3</f>
        <v>0.33333333333333331</v>
      </c>
      <c r="I127" s="148">
        <f>ROUND((F127*G127*H127),0)</f>
        <v>749</v>
      </c>
      <c r="J127" s="24"/>
      <c r="K127" s="35"/>
    </row>
    <row r="128" spans="1:11" x14ac:dyDescent="0.3">
      <c r="A128" s="409"/>
      <c r="B128" s="806"/>
      <c r="C128" s="100" t="s">
        <v>992</v>
      </c>
      <c r="D128" s="85" t="str">
        <f>+VLOOKUP(C128,BD!$A$29:$E$877,2,0)</f>
        <v>Puntilla (promedio)</v>
      </c>
      <c r="E128" s="86" t="s">
        <v>383</v>
      </c>
      <c r="F128" s="201">
        <v>0.05</v>
      </c>
      <c r="G128" s="142">
        <f>VLOOKUP(C128,BD!$A$29:$E$877,5,0)</f>
        <v>2675</v>
      </c>
      <c r="H128" s="193">
        <v>0</v>
      </c>
      <c r="I128" s="148">
        <f>ROUND((F128*G128),0)</f>
        <v>134</v>
      </c>
      <c r="J128" s="24"/>
      <c r="K128" s="35"/>
    </row>
    <row r="129" spans="1:11" x14ac:dyDescent="0.3">
      <c r="A129" s="409"/>
      <c r="B129" s="806"/>
      <c r="C129" s="100" t="s">
        <v>282</v>
      </c>
      <c r="D129" s="85" t="str">
        <f>+VLOOKUP(C129,BD!$A$29:$E$877,2,0)</f>
        <v>Antisol blanco</v>
      </c>
      <c r="E129" s="86" t="s">
        <v>25</v>
      </c>
      <c r="F129" s="201">
        <v>0.2</v>
      </c>
      <c r="G129" s="142">
        <f>VLOOKUP(C129,BD!$A$29:$E$877,5,0)</f>
        <v>5174.5200000000004</v>
      </c>
      <c r="H129" s="99">
        <v>1.03</v>
      </c>
      <c r="I129" s="148">
        <f>ROUND((F129*G129*H129),0)</f>
        <v>1066</v>
      </c>
      <c r="J129" s="24"/>
      <c r="K129" s="35"/>
    </row>
    <row r="130" spans="1:11" x14ac:dyDescent="0.3">
      <c r="A130" s="409"/>
      <c r="B130" s="806"/>
      <c r="C130" s="100" t="s">
        <v>216</v>
      </c>
      <c r="D130" s="85" t="str">
        <f>+VLOOKUP(C130,BD!$A$29:$E$877,2,0)</f>
        <v>ACPM</v>
      </c>
      <c r="E130" s="86" t="s">
        <v>218</v>
      </c>
      <c r="F130" s="201">
        <v>0.05</v>
      </c>
      <c r="G130" s="142">
        <f>VLOOKUP(C130,BD!$A$29:$E$877,5,0)</f>
        <v>9547.61</v>
      </c>
      <c r="H130" s="99">
        <v>0</v>
      </c>
      <c r="I130" s="148">
        <f>ROUND((F130*G130),0)</f>
        <v>477</v>
      </c>
      <c r="J130" s="24"/>
      <c r="K130" s="35"/>
    </row>
    <row r="131" spans="1:11" ht="15.6" x14ac:dyDescent="0.3">
      <c r="A131" s="409"/>
      <c r="B131" s="403" t="s">
        <v>1504</v>
      </c>
      <c r="C131" s="100" t="s">
        <v>1523</v>
      </c>
      <c r="D131" s="15" t="str">
        <f>+VLOOKUP(C131,$B$5:$G$501,3,0)</f>
        <v>Concreto de 20,7 Mpa (3000 psi) (producción)</v>
      </c>
      <c r="E131" s="86" t="s">
        <v>1559</v>
      </c>
      <c r="F131" s="201">
        <v>0.1</v>
      </c>
      <c r="G131" s="151">
        <f>+VLOOKUP(C131,$B$5:$G$501,6,0)</f>
        <v>568922</v>
      </c>
      <c r="H131" s="193">
        <v>1.05</v>
      </c>
      <c r="I131" s="148">
        <f>ROUND((F131*G131*H131),0)</f>
        <v>59737</v>
      </c>
      <c r="J131" s="24"/>
      <c r="K131" s="35"/>
    </row>
    <row r="132" spans="1:11" x14ac:dyDescent="0.3">
      <c r="A132" s="409"/>
      <c r="B132" s="61" t="s">
        <v>1502</v>
      </c>
      <c r="C132" s="100" t="s">
        <v>174</v>
      </c>
      <c r="D132" s="85" t="s">
        <v>135</v>
      </c>
      <c r="E132" s="86" t="s">
        <v>155</v>
      </c>
      <c r="F132" s="201">
        <v>1</v>
      </c>
      <c r="G132" s="142">
        <f>+VLOOKUP(D132,MO!$B$33:$F$79,5,0)</f>
        <v>165360</v>
      </c>
      <c r="H132" s="193">
        <v>0.4</v>
      </c>
      <c r="I132" s="148">
        <f>ROUND((F132*G132*H132),0)</f>
        <v>66144</v>
      </c>
      <c r="J132" s="24"/>
      <c r="K132" s="34"/>
    </row>
    <row r="133" spans="1:11" ht="13.8" thickBot="1" x14ac:dyDescent="0.35">
      <c r="A133" s="409"/>
      <c r="B133" s="228" t="s">
        <v>1360</v>
      </c>
      <c r="C133" s="376" t="s">
        <v>1364</v>
      </c>
      <c r="D133" s="223" t="s">
        <v>1509</v>
      </c>
      <c r="E133" s="377" t="s">
        <v>1363</v>
      </c>
      <c r="F133" s="378">
        <v>0.1</v>
      </c>
      <c r="G133" s="222">
        <f>I132</f>
        <v>66144</v>
      </c>
      <c r="H133" s="379">
        <v>0</v>
      </c>
      <c r="I133" s="226">
        <f>ROUND((F133*G133),0)</f>
        <v>6614</v>
      </c>
      <c r="J133" s="24"/>
      <c r="K133" s="35"/>
    </row>
    <row r="134" spans="1:11" ht="26.4" x14ac:dyDescent="0.3">
      <c r="A134" s="335"/>
      <c r="B134" s="337" t="s">
        <v>1727</v>
      </c>
      <c r="C134" s="344"/>
      <c r="D134" s="362" t="s">
        <v>1706</v>
      </c>
      <c r="E134" s="344" t="s">
        <v>32</v>
      </c>
      <c r="F134" s="345"/>
      <c r="G134" s="346">
        <f>ROUND(SUM(I134:I144),0)</f>
        <v>80609</v>
      </c>
      <c r="H134" s="95"/>
      <c r="I134" s="372"/>
      <c r="J134" s="24"/>
      <c r="K134" s="35"/>
    </row>
    <row r="135" spans="1:11" x14ac:dyDescent="0.3">
      <c r="A135" s="335"/>
      <c r="B135" s="807" t="s">
        <v>1728</v>
      </c>
      <c r="C135" s="188" t="s">
        <v>1071</v>
      </c>
      <c r="D135" s="364" t="s">
        <v>1072</v>
      </c>
      <c r="E135" s="81" t="s">
        <v>32</v>
      </c>
      <c r="F135" s="51">
        <v>2</v>
      </c>
      <c r="G135" s="351">
        <f>G196</f>
        <v>317489.346036</v>
      </c>
      <c r="H135" s="96">
        <v>3.1083519051651139E-2</v>
      </c>
      <c r="I135" s="359">
        <f>ROUND((F135*G135*H135),0)</f>
        <v>19737</v>
      </c>
      <c r="J135" s="24"/>
      <c r="K135" s="35"/>
    </row>
    <row r="136" spans="1:11" x14ac:dyDescent="0.3">
      <c r="A136" s="335"/>
      <c r="B136" s="807"/>
      <c r="C136" s="188" t="s">
        <v>992</v>
      </c>
      <c r="D136" s="364" t="s">
        <v>993</v>
      </c>
      <c r="E136" s="81" t="s">
        <v>383</v>
      </c>
      <c r="F136" s="51">
        <v>0.1</v>
      </c>
      <c r="G136" s="351">
        <f>G112</f>
        <v>27820</v>
      </c>
      <c r="H136" s="96">
        <v>0</v>
      </c>
      <c r="I136" s="359">
        <f>ROUND((F136*G136),0)</f>
        <v>2782</v>
      </c>
      <c r="J136" s="24"/>
      <c r="K136" s="35"/>
    </row>
    <row r="137" spans="1:11" x14ac:dyDescent="0.3">
      <c r="A137" s="335"/>
      <c r="B137" s="807"/>
      <c r="C137" s="188" t="s">
        <v>1332</v>
      </c>
      <c r="D137" s="364" t="s">
        <v>1729</v>
      </c>
      <c r="E137" s="81" t="s">
        <v>32</v>
      </c>
      <c r="F137" s="51">
        <v>2</v>
      </c>
      <c r="G137" s="142">
        <f>VLOOKUP(C137,BD!$A$29:$E$877,5,0)</f>
        <v>2675</v>
      </c>
      <c r="H137" s="96">
        <f>1/3</f>
        <v>0.33333333333333331</v>
      </c>
      <c r="I137" s="359">
        <f>ROUND((F137*G137*H137),0)</f>
        <v>1783</v>
      </c>
      <c r="J137" s="24"/>
      <c r="K137" s="35"/>
    </row>
    <row r="138" spans="1:11" x14ac:dyDescent="0.3">
      <c r="A138" s="335"/>
      <c r="B138" s="807"/>
      <c r="C138" s="381" t="s">
        <v>282</v>
      </c>
      <c r="D138" s="373" t="s">
        <v>283</v>
      </c>
      <c r="E138" s="374" t="s">
        <v>25</v>
      </c>
      <c r="F138" s="51">
        <v>0.1</v>
      </c>
      <c r="G138" s="142">
        <f>VLOOKUP(C138,BD!$A$29:$E$877,5,0)</f>
        <v>5174.5200000000004</v>
      </c>
      <c r="H138" s="96">
        <v>1.03</v>
      </c>
      <c r="I138" s="375">
        <f>ROUND((F138*G138*H138),0)</f>
        <v>533</v>
      </c>
      <c r="J138" s="24"/>
      <c r="K138" s="35"/>
    </row>
    <row r="139" spans="1:11" x14ac:dyDescent="0.3">
      <c r="A139" s="335"/>
      <c r="B139" s="807"/>
      <c r="C139" s="381" t="s">
        <v>216</v>
      </c>
      <c r="D139" s="373" t="s">
        <v>217</v>
      </c>
      <c r="E139" s="374" t="s">
        <v>218</v>
      </c>
      <c r="F139" s="51">
        <v>0.05</v>
      </c>
      <c r="G139" s="142">
        <f>VLOOKUP(C139,BD!$A$29:$E$877,5,0)</f>
        <v>9547.61</v>
      </c>
      <c r="H139" s="96">
        <v>1.05</v>
      </c>
      <c r="I139" s="375">
        <f>ROUND((F139*G139*H139),0)</f>
        <v>501</v>
      </c>
      <c r="J139" s="24"/>
      <c r="K139" s="35"/>
    </row>
    <row r="140" spans="1:11" x14ac:dyDescent="0.3">
      <c r="A140" s="335"/>
      <c r="B140" s="813" t="s">
        <v>1504</v>
      </c>
      <c r="C140" s="100" t="s">
        <v>1523</v>
      </c>
      <c r="D140" s="15" t="str">
        <f>+VLOOKUP(C140,$B$5:$G$501,3,0)</f>
        <v>Concreto de 20,7 Mpa (3000 psi) (producción)</v>
      </c>
      <c r="E140" s="374" t="s">
        <v>42</v>
      </c>
      <c r="F140" s="51">
        <v>0.03</v>
      </c>
      <c r="G140" s="151">
        <f>+VLOOKUP(C140,$B$5:$G$501,6,0)</f>
        <v>568922</v>
      </c>
      <c r="H140" s="96">
        <v>1.05</v>
      </c>
      <c r="I140" s="375">
        <f>ROUND((F140*G140*H140),0)</f>
        <v>17921</v>
      </c>
      <c r="J140" s="24"/>
      <c r="K140" s="35"/>
    </row>
    <row r="141" spans="1:11" x14ac:dyDescent="0.3">
      <c r="A141" s="335"/>
      <c r="B141" s="813"/>
      <c r="C141" s="100" t="s">
        <v>84</v>
      </c>
      <c r="D141" s="15" t="str">
        <f>+VLOOKUP(C141,$B$5:$G$501,3,0)</f>
        <v>Acero Fy = 60.000 psi d&gt;1/4"</v>
      </c>
      <c r="E141" s="374" t="s">
        <v>25</v>
      </c>
      <c r="F141" s="51">
        <v>1.8</v>
      </c>
      <c r="G141" s="151">
        <f>+VLOOKUP(C141,$B$5:$G$501,6,0)</f>
        <v>6971</v>
      </c>
      <c r="H141" s="96">
        <v>0</v>
      </c>
      <c r="I141" s="375">
        <f>ROUND((F141*G141),0)</f>
        <v>12548</v>
      </c>
      <c r="J141" s="24"/>
      <c r="K141" s="35"/>
    </row>
    <row r="142" spans="1:11" x14ac:dyDescent="0.3">
      <c r="A142" s="335"/>
      <c r="B142" s="814" t="s">
        <v>1502</v>
      </c>
      <c r="C142" s="381" t="s">
        <v>166</v>
      </c>
      <c r="D142" s="364" t="s">
        <v>1512</v>
      </c>
      <c r="E142" s="81" t="s">
        <v>1363</v>
      </c>
      <c r="F142" s="51">
        <v>0.1</v>
      </c>
      <c r="G142" s="351">
        <f>I143</f>
        <v>20670</v>
      </c>
      <c r="H142" s="96">
        <v>0</v>
      </c>
      <c r="I142" s="375">
        <f>ROUND((F142*G142),0)</f>
        <v>2067</v>
      </c>
      <c r="J142" s="24"/>
      <c r="K142" s="35"/>
    </row>
    <row r="143" spans="1:11" x14ac:dyDescent="0.3">
      <c r="A143" s="335"/>
      <c r="B143" s="814"/>
      <c r="C143" s="381" t="s">
        <v>174</v>
      </c>
      <c r="D143" s="373" t="s">
        <v>135</v>
      </c>
      <c r="E143" s="374" t="s">
        <v>155</v>
      </c>
      <c r="F143" s="51">
        <v>1</v>
      </c>
      <c r="G143" s="142">
        <f>+VLOOKUP(D143,MO!$B$33:$F$79,5,0)</f>
        <v>165360</v>
      </c>
      <c r="H143" s="96">
        <f>1/8</f>
        <v>0.125</v>
      </c>
      <c r="I143" s="375">
        <f>ROUND((F143*G143*H143),0)</f>
        <v>20670</v>
      </c>
      <c r="J143" s="24"/>
      <c r="K143" s="35"/>
    </row>
    <row r="144" spans="1:11" ht="13.8" thickBot="1" x14ac:dyDescent="0.35">
      <c r="A144" s="335"/>
      <c r="B144" s="366" t="s">
        <v>1360</v>
      </c>
      <c r="C144" s="358" t="s">
        <v>1364</v>
      </c>
      <c r="D144" s="367" t="s">
        <v>1509</v>
      </c>
      <c r="E144" s="354" t="s">
        <v>1363</v>
      </c>
      <c r="F144" s="355">
        <v>0.1</v>
      </c>
      <c r="G144" s="356">
        <f>I143</f>
        <v>20670</v>
      </c>
      <c r="H144" s="396">
        <v>0</v>
      </c>
      <c r="I144" s="380">
        <f>ROUND((F144*G144),0)</f>
        <v>2067</v>
      </c>
      <c r="J144" s="24"/>
      <c r="K144" s="35"/>
    </row>
    <row r="145" spans="1:11" s="32" customFormat="1" ht="15.6" x14ac:dyDescent="0.3">
      <c r="A145" s="184"/>
      <c r="B145" s="186" t="s">
        <v>1513</v>
      </c>
      <c r="C145" s="369"/>
      <c r="D145" s="370" t="s">
        <v>1566</v>
      </c>
      <c r="E145" s="369" t="s">
        <v>590</v>
      </c>
      <c r="F145" s="204"/>
      <c r="G145" s="371">
        <f>ROUND(SUM(I145:I147),0)</f>
        <v>9215</v>
      </c>
      <c r="H145" s="196"/>
      <c r="I145" s="157"/>
      <c r="J145" s="82"/>
      <c r="K145" s="76"/>
    </row>
    <row r="146" spans="1:11" s="182" customFormat="1" ht="14.4" x14ac:dyDescent="0.3">
      <c r="A146" s="184"/>
      <c r="B146" s="187" t="s">
        <v>183</v>
      </c>
      <c r="C146" s="188" t="s">
        <v>588</v>
      </c>
      <c r="D146" s="85" t="str">
        <f>+VLOOKUP(C146,BD!$A$29:$E$877,2,0)</f>
        <v>Geotextil tejido 2.400 a = 3,85 m</v>
      </c>
      <c r="E146" s="81" t="s">
        <v>39</v>
      </c>
      <c r="F146" s="208">
        <v>1</v>
      </c>
      <c r="G146" s="142">
        <f>VLOOKUP(C146,BD!$A$29:$E$877,5,0)</f>
        <v>6271.27</v>
      </c>
      <c r="H146" s="197">
        <v>1.03</v>
      </c>
      <c r="I146" s="156">
        <f>ROUND((F146*G146*H146),0)</f>
        <v>6459</v>
      </c>
      <c r="J146" s="180"/>
      <c r="K146" s="181"/>
    </row>
    <row r="147" spans="1:11" s="32" customFormat="1" ht="15" thickBot="1" x14ac:dyDescent="0.35">
      <c r="A147" s="185"/>
      <c r="B147" s="229" t="s">
        <v>1502</v>
      </c>
      <c r="C147" s="189" t="s">
        <v>156</v>
      </c>
      <c r="D147" s="79" t="s">
        <v>159</v>
      </c>
      <c r="E147" s="80" t="s">
        <v>155</v>
      </c>
      <c r="F147" s="205">
        <v>1</v>
      </c>
      <c r="G147" s="143">
        <f>+VLOOKUP(D147,MO!$B$33:$F$79,5,0)</f>
        <v>82680</v>
      </c>
      <c r="H147" s="397">
        <f>1/30</f>
        <v>3.3333333333333333E-2</v>
      </c>
      <c r="I147" s="227">
        <f>ROUND((F147*G147*H147),0)</f>
        <v>2756</v>
      </c>
      <c r="J147" s="82"/>
      <c r="K147" s="76"/>
    </row>
    <row r="148" spans="1:11" ht="26.4" x14ac:dyDescent="0.3">
      <c r="B148" s="66" t="s">
        <v>60</v>
      </c>
      <c r="C148" s="90"/>
      <c r="D148" s="89" t="s">
        <v>61</v>
      </c>
      <c r="E148" s="90" t="s">
        <v>26</v>
      </c>
      <c r="F148" s="199"/>
      <c r="G148" s="144">
        <f>ROUND(SUM(I148:I154),0)</f>
        <v>503402</v>
      </c>
      <c r="H148" s="195"/>
      <c r="I148" s="154"/>
      <c r="J148" s="24"/>
      <c r="K148" s="35"/>
    </row>
    <row r="149" spans="1:11" x14ac:dyDescent="0.3">
      <c r="B149" s="806" t="s">
        <v>183</v>
      </c>
      <c r="C149" s="100" t="s">
        <v>1071</v>
      </c>
      <c r="D149" s="85" t="str">
        <f>+VLOOKUP(C149,BD!$A$29:$E$877,2,0)</f>
        <v>Tabla para formaleta de 1" x 10" x 2,9 m</v>
      </c>
      <c r="E149" s="86" t="s">
        <v>32</v>
      </c>
      <c r="F149" s="201">
        <v>4</v>
      </c>
      <c r="G149" s="142">
        <f>VLOOKUP(C149,BD!$A$29:$E$877,5,0)</f>
        <v>4280</v>
      </c>
      <c r="H149" s="193">
        <f>1/2</f>
        <v>0.5</v>
      </c>
      <c r="I149" s="148">
        <f>ROUND((F149*G149*H149),0)</f>
        <v>8560</v>
      </c>
      <c r="J149" s="24"/>
      <c r="K149" s="35"/>
    </row>
    <row r="150" spans="1:11" x14ac:dyDescent="0.3">
      <c r="B150" s="806"/>
      <c r="C150" s="100" t="s">
        <v>747</v>
      </c>
      <c r="D150" s="85" t="str">
        <f>+VLOOKUP(C150,BD!$A$29:$E$877,2,0)</f>
        <v>Listón sajo de 5 x 3 cm x 2,5 m (varilla)</v>
      </c>
      <c r="E150" s="86" t="s">
        <v>32</v>
      </c>
      <c r="F150" s="201">
        <v>2</v>
      </c>
      <c r="G150" s="142">
        <f>VLOOKUP(C150,BD!$A$29:$E$877,5,0)</f>
        <v>2675</v>
      </c>
      <c r="H150" s="193">
        <f>1/2</f>
        <v>0.5</v>
      </c>
      <c r="I150" s="148">
        <f>ROUND((F150*G150*H150),0)</f>
        <v>2675</v>
      </c>
      <c r="J150" s="24"/>
      <c r="K150" s="35"/>
    </row>
    <row r="151" spans="1:11" s="24" customFormat="1" x14ac:dyDescent="0.3">
      <c r="A151" s="102"/>
      <c r="B151" s="806"/>
      <c r="C151" s="100" t="s">
        <v>992</v>
      </c>
      <c r="D151" s="85" t="str">
        <f>+VLOOKUP(C151,BD!$A$29:$E$877,2,0)</f>
        <v>Puntilla (promedio)</v>
      </c>
      <c r="E151" s="86" t="s">
        <v>383</v>
      </c>
      <c r="F151" s="201">
        <v>0.2</v>
      </c>
      <c r="G151" s="142">
        <f>VLOOKUP(C151,BD!$A$29:$E$877,5,0)</f>
        <v>2675</v>
      </c>
      <c r="H151" s="193">
        <v>0</v>
      </c>
      <c r="I151" s="148">
        <f>ROUND((F151*G151),0)</f>
        <v>535</v>
      </c>
      <c r="K151" s="34"/>
    </row>
    <row r="152" spans="1:11" ht="15.6" x14ac:dyDescent="0.3">
      <c r="A152" s="48"/>
      <c r="B152" s="52" t="s">
        <v>1504</v>
      </c>
      <c r="C152" s="100" t="s">
        <v>1523</v>
      </c>
      <c r="D152" s="15" t="str">
        <f>+VLOOKUP(C152,$B$5:$G$501,3,0)</f>
        <v>Concreto de 20,7 Mpa (3000 psi) (producción)</v>
      </c>
      <c r="E152" s="86" t="s">
        <v>1559</v>
      </c>
      <c r="F152" s="201">
        <v>0.62</v>
      </c>
      <c r="G152" s="151">
        <f>+VLOOKUP(C152,$B$5:$G$501,6,0)</f>
        <v>568922</v>
      </c>
      <c r="H152" s="193">
        <v>1.05</v>
      </c>
      <c r="I152" s="148">
        <f>ROUND((F152*G152*H152),0)</f>
        <v>370368</v>
      </c>
      <c r="J152" s="24"/>
      <c r="K152" s="35"/>
    </row>
    <row r="153" spans="1:11" x14ac:dyDescent="0.3">
      <c r="B153" s="49" t="s">
        <v>1502</v>
      </c>
      <c r="C153" s="100" t="s">
        <v>174</v>
      </c>
      <c r="D153" s="85" t="s">
        <v>135</v>
      </c>
      <c r="E153" s="86" t="s">
        <v>155</v>
      </c>
      <c r="F153" s="201">
        <v>1</v>
      </c>
      <c r="G153" s="142">
        <f>+VLOOKUP(D153,MO!$B$33:$F$79,5,0)</f>
        <v>165360</v>
      </c>
      <c r="H153" s="193">
        <f>1/1.5</f>
        <v>0.66666666666666663</v>
      </c>
      <c r="I153" s="148">
        <f>ROUND((F153*G153*H153),0)</f>
        <v>110240</v>
      </c>
      <c r="J153" s="24"/>
      <c r="K153" s="35"/>
    </row>
    <row r="154" spans="1:11" ht="13.8" thickBot="1" x14ac:dyDescent="0.35">
      <c r="B154" s="228" t="s">
        <v>1360</v>
      </c>
      <c r="C154" s="101" t="s">
        <v>1364</v>
      </c>
      <c r="D154" s="87" t="s">
        <v>1509</v>
      </c>
      <c r="E154" s="88" t="s">
        <v>1363</v>
      </c>
      <c r="F154" s="202">
        <v>0.1</v>
      </c>
      <c r="G154" s="143">
        <f>I153</f>
        <v>110240</v>
      </c>
      <c r="H154" s="194">
        <v>0</v>
      </c>
      <c r="I154" s="226">
        <f>ROUND((F154*G154),0)</f>
        <v>11024</v>
      </c>
      <c r="J154" s="24"/>
      <c r="K154" s="35"/>
    </row>
    <row r="155" spans="1:11" ht="26.4" x14ac:dyDescent="0.3">
      <c r="B155" s="66" t="s">
        <v>62</v>
      </c>
      <c r="C155" s="90"/>
      <c r="D155" s="89" t="s">
        <v>63</v>
      </c>
      <c r="E155" s="90" t="s">
        <v>32</v>
      </c>
      <c r="F155" s="199"/>
      <c r="G155" s="144">
        <f>ROUND(SUM(I155:I160),0)</f>
        <v>653949</v>
      </c>
      <c r="H155" s="195"/>
      <c r="I155" s="154"/>
      <c r="J155" s="24"/>
      <c r="K155" s="35"/>
    </row>
    <row r="156" spans="1:11" ht="15.6" x14ac:dyDescent="0.3">
      <c r="B156" s="52" t="s">
        <v>1504</v>
      </c>
      <c r="C156" s="100" t="s">
        <v>1523</v>
      </c>
      <c r="D156" s="15" t="str">
        <f>+VLOOKUP(C156,$B$5:$G$501,3,0)</f>
        <v>Concreto de 20,7 Mpa (3000 psi) (producción)</v>
      </c>
      <c r="E156" s="86" t="s">
        <v>1559</v>
      </c>
      <c r="F156" s="201">
        <v>0.76</v>
      </c>
      <c r="G156" s="151">
        <f>+VLOOKUP(C156,$B$5:$G$501,6,0)</f>
        <v>568922</v>
      </c>
      <c r="H156" s="193">
        <v>1.05</v>
      </c>
      <c r="I156" s="148">
        <f>ROUND((F156*G156*H156),0)</f>
        <v>454000</v>
      </c>
      <c r="J156" s="24"/>
      <c r="K156" s="35"/>
    </row>
    <row r="157" spans="1:11" s="24" customFormat="1" x14ac:dyDescent="0.3">
      <c r="A157" s="102"/>
      <c r="B157" s="49" t="s">
        <v>1502</v>
      </c>
      <c r="C157" s="100" t="s">
        <v>160</v>
      </c>
      <c r="D157" s="85" t="s">
        <v>137</v>
      </c>
      <c r="E157" s="86" t="s">
        <v>155</v>
      </c>
      <c r="F157" s="201">
        <v>1</v>
      </c>
      <c r="G157" s="142">
        <f>+VLOOKUP(D157,MO!$B$33:$F$79,5,0)</f>
        <v>342531</v>
      </c>
      <c r="H157" s="193">
        <f>1/2</f>
        <v>0.5</v>
      </c>
      <c r="I157" s="148">
        <f>ROUND((F157*G157*H157),0)</f>
        <v>171266</v>
      </c>
      <c r="K157" s="34"/>
    </row>
    <row r="158" spans="1:11" x14ac:dyDescent="0.3">
      <c r="A158" s="48"/>
      <c r="B158" s="808" t="s">
        <v>1360</v>
      </c>
      <c r="C158" s="100" t="s">
        <v>1364</v>
      </c>
      <c r="D158" s="85" t="s">
        <v>1509</v>
      </c>
      <c r="E158" s="86" t="s">
        <v>1363</v>
      </c>
      <c r="F158" s="201">
        <v>0.1</v>
      </c>
      <c r="G158" s="142">
        <f>I157</f>
        <v>171266</v>
      </c>
      <c r="H158" s="193">
        <v>0</v>
      </c>
      <c r="I158" s="148">
        <f>ROUND((F158*G158),0)</f>
        <v>17127</v>
      </c>
      <c r="J158" s="24"/>
      <c r="K158" s="35"/>
    </row>
    <row r="159" spans="1:11" x14ac:dyDescent="0.3">
      <c r="B159" s="808"/>
      <c r="C159" s="100" t="s">
        <v>1398</v>
      </c>
      <c r="D159" s="85" t="str">
        <f>+VLOOKUP(C159,BD!$A$29:$E$877,2,0)</f>
        <v>Vibrador eléctrico o a gasolina</v>
      </c>
      <c r="E159" s="86" t="s">
        <v>155</v>
      </c>
      <c r="F159" s="201">
        <v>1</v>
      </c>
      <c r="G159" s="142">
        <f>VLOOKUP(C159,BD!$A$29:$E$877,5,0)</f>
        <v>27820</v>
      </c>
      <c r="H159" s="193">
        <f>1/20</f>
        <v>0.05</v>
      </c>
      <c r="I159" s="148">
        <f>ROUND((F159*G159*H159),0)</f>
        <v>1391</v>
      </c>
      <c r="J159" s="24"/>
      <c r="K159" s="35"/>
    </row>
    <row r="160" spans="1:11" ht="13.8" thickBot="1" x14ac:dyDescent="0.35">
      <c r="B160" s="808"/>
      <c r="C160" s="100" t="s">
        <v>1418</v>
      </c>
      <c r="D160" s="85" t="str">
        <f>+VLOOKUP(C160,BD!$A$29:$E$877,2,0)</f>
        <v>Formaleta cuerpo cámara inspección 1,20 m</v>
      </c>
      <c r="E160" s="86" t="s">
        <v>155</v>
      </c>
      <c r="F160" s="201">
        <v>1</v>
      </c>
      <c r="G160" s="142">
        <f>VLOOKUP(C160,BD!$A$29:$E$877,5,0)</f>
        <v>10165</v>
      </c>
      <c r="H160" s="193">
        <v>0</v>
      </c>
      <c r="I160" s="148">
        <f>ROUND((F160*G160),0)</f>
        <v>10165</v>
      </c>
      <c r="J160" s="24"/>
      <c r="K160" s="35"/>
    </row>
    <row r="161" spans="1:14" ht="26.4" x14ac:dyDescent="0.3">
      <c r="B161" s="68" t="s">
        <v>64</v>
      </c>
      <c r="C161" s="84"/>
      <c r="D161" s="83" t="s">
        <v>65</v>
      </c>
      <c r="E161" s="84" t="s">
        <v>26</v>
      </c>
      <c r="F161" s="203"/>
      <c r="G161" s="141">
        <f>ROUND(SUM(I161:I166),0)</f>
        <v>521348</v>
      </c>
      <c r="H161" s="192"/>
      <c r="I161" s="153"/>
      <c r="J161" s="24"/>
      <c r="K161" s="35"/>
    </row>
    <row r="162" spans="1:14" ht="15.6" x14ac:dyDescent="0.3">
      <c r="B162" s="810" t="s">
        <v>1504</v>
      </c>
      <c r="C162" s="100" t="s">
        <v>1523</v>
      </c>
      <c r="D162" s="15" t="str">
        <f>+VLOOKUP(C162,$B$5:$G$501,3,0)</f>
        <v>Concreto de 20,7 Mpa (3000 psi) (producción)</v>
      </c>
      <c r="E162" s="86" t="s">
        <v>1559</v>
      </c>
      <c r="F162" s="201">
        <v>0.6</v>
      </c>
      <c r="G162" s="151">
        <f>+VLOOKUP(C162,$B$5:$G$501,6,0)</f>
        <v>568922</v>
      </c>
      <c r="H162" s="193">
        <v>1.05</v>
      </c>
      <c r="I162" s="148">
        <f>ROUND((F162*G162*H162),0)</f>
        <v>358421</v>
      </c>
      <c r="J162" s="24"/>
      <c r="K162" s="35"/>
    </row>
    <row r="163" spans="1:14" x14ac:dyDescent="0.3">
      <c r="B163" s="810"/>
      <c r="C163" s="100" t="s">
        <v>84</v>
      </c>
      <c r="D163" s="15" t="str">
        <f>+VLOOKUP(C163,$B$5:$G$501,3,0)</f>
        <v>Acero Fy = 60.000 psi d&gt;1/4"</v>
      </c>
      <c r="E163" s="86" t="s">
        <v>25</v>
      </c>
      <c r="F163" s="201">
        <f>0.4*8</f>
        <v>3.2</v>
      </c>
      <c r="G163" s="151">
        <f>+VLOOKUP(C163,$B$5:$G$501,6,0)</f>
        <v>6971</v>
      </c>
      <c r="H163" s="193">
        <v>0</v>
      </c>
      <c r="I163" s="148">
        <f>ROUND((F163*G163),0)</f>
        <v>22307</v>
      </c>
      <c r="J163" s="24"/>
      <c r="K163" s="35"/>
    </row>
    <row r="164" spans="1:14" x14ac:dyDescent="0.3">
      <c r="B164" s="49" t="s">
        <v>1502</v>
      </c>
      <c r="C164" s="100" t="s">
        <v>160</v>
      </c>
      <c r="D164" s="85" t="s">
        <v>137</v>
      </c>
      <c r="E164" s="86" t="s">
        <v>155</v>
      </c>
      <c r="F164" s="201">
        <v>1</v>
      </c>
      <c r="G164" s="142">
        <f>+VLOOKUP(D164,MO!$B$33:$F$79,5,0)</f>
        <v>342531</v>
      </c>
      <c r="H164" s="193">
        <f>1/3</f>
        <v>0.33333333333333331</v>
      </c>
      <c r="I164" s="148">
        <f>ROUND((F164*G164*H164),0)</f>
        <v>114177</v>
      </c>
      <c r="J164" s="24"/>
      <c r="K164" s="35"/>
    </row>
    <row r="165" spans="1:14" s="24" customFormat="1" x14ac:dyDescent="0.3">
      <c r="A165" s="102"/>
      <c r="B165" s="808" t="s">
        <v>1360</v>
      </c>
      <c r="C165" s="100" t="s">
        <v>1364</v>
      </c>
      <c r="D165" s="85" t="s">
        <v>1509</v>
      </c>
      <c r="E165" s="86" t="s">
        <v>1363</v>
      </c>
      <c r="F165" s="201">
        <v>0.1</v>
      </c>
      <c r="G165" s="142">
        <f>I164</f>
        <v>114177</v>
      </c>
      <c r="H165" s="193">
        <v>0</v>
      </c>
      <c r="I165" s="148">
        <f>ROUND((F165*G165),0)</f>
        <v>11418</v>
      </c>
      <c r="K165" s="34"/>
    </row>
    <row r="166" spans="1:14" ht="13.8" thickBot="1" x14ac:dyDescent="0.35">
      <c r="A166" s="48"/>
      <c r="B166" s="809"/>
      <c r="C166" s="101" t="s">
        <v>1412</v>
      </c>
      <c r="D166" s="87" t="str">
        <f>+VLOOKUP(C166,BD!$A$29:$E$877,2,0)</f>
        <v>Formaleta cono cámara</v>
      </c>
      <c r="E166" s="88" t="s">
        <v>155</v>
      </c>
      <c r="F166" s="202">
        <v>1</v>
      </c>
      <c r="G166" s="143">
        <f>VLOOKUP(C166,BD!$A$29:$E$877,5,0)</f>
        <v>15024.94</v>
      </c>
      <c r="H166" s="194">
        <v>0</v>
      </c>
      <c r="I166" s="226">
        <f>ROUND((F166*G166),0)</f>
        <v>15025</v>
      </c>
      <c r="J166" s="24"/>
      <c r="K166" s="35"/>
    </row>
    <row r="167" spans="1:14" s="57" customFormat="1" ht="39.6" x14ac:dyDescent="0.3">
      <c r="A167" s="231"/>
      <c r="B167" s="16" t="s">
        <v>1531</v>
      </c>
      <c r="C167" s="39"/>
      <c r="D167" s="40" t="s">
        <v>6</v>
      </c>
      <c r="E167" s="39" t="s">
        <v>26</v>
      </c>
      <c r="F167" s="204"/>
      <c r="G167" s="149">
        <f>ROUND(SUM(I167:I175),0)</f>
        <v>1081292</v>
      </c>
      <c r="H167" s="195"/>
      <c r="I167" s="155"/>
      <c r="J167" s="33"/>
      <c r="K167" s="35"/>
      <c r="L167" s="12"/>
      <c r="M167" s="12"/>
      <c r="N167" s="12"/>
    </row>
    <row r="168" spans="1:14" s="57" customFormat="1" x14ac:dyDescent="0.3">
      <c r="A168" s="231"/>
      <c r="B168" s="806" t="s">
        <v>183</v>
      </c>
      <c r="C168" s="14" t="s">
        <v>1071</v>
      </c>
      <c r="D168" s="85" t="str">
        <f>+VLOOKUP(C168,BD!$A$29:$E$877,2,0)</f>
        <v>Tabla para formaleta de 1" x 10" x 2,9 m</v>
      </c>
      <c r="E168" s="19" t="s">
        <v>32</v>
      </c>
      <c r="F168" s="65">
        <v>8</v>
      </c>
      <c r="G168" s="142">
        <f>VLOOKUP(C168,BD!$A$29:$E$877,5,0)</f>
        <v>4280</v>
      </c>
      <c r="H168" s="99">
        <f>1/3</f>
        <v>0.33333333333333331</v>
      </c>
      <c r="I168" s="156">
        <f>ROUND((F168*G168*H168),0)</f>
        <v>11413</v>
      </c>
      <c r="J168" s="33"/>
      <c r="K168" s="35"/>
      <c r="L168" s="12"/>
      <c r="M168" s="12"/>
      <c r="N168" s="12"/>
    </row>
    <row r="169" spans="1:14" s="57" customFormat="1" x14ac:dyDescent="0.3">
      <c r="A169" s="231"/>
      <c r="B169" s="806"/>
      <c r="C169" s="14" t="s">
        <v>992</v>
      </c>
      <c r="D169" s="85" t="str">
        <f>+VLOOKUP(C169,BD!$A$29:$E$877,2,0)</f>
        <v>Puntilla (promedio)</v>
      </c>
      <c r="E169" s="19" t="s">
        <v>383</v>
      </c>
      <c r="F169" s="65">
        <v>0.1</v>
      </c>
      <c r="G169" s="142">
        <f>VLOOKUP(C169,BD!$A$29:$E$877,5,0)</f>
        <v>2675</v>
      </c>
      <c r="H169" s="99">
        <v>0</v>
      </c>
      <c r="I169" s="156">
        <f>ROUND((F169*G169),0)</f>
        <v>268</v>
      </c>
      <c r="J169" s="33"/>
      <c r="K169" s="35"/>
      <c r="L169" s="12"/>
      <c r="M169" s="12"/>
      <c r="N169" s="12"/>
    </row>
    <row r="170" spans="1:14" s="12" customFormat="1" x14ac:dyDescent="0.3">
      <c r="A170" s="17"/>
      <c r="B170" s="806"/>
      <c r="C170" s="14" t="s">
        <v>282</v>
      </c>
      <c r="D170" s="85" t="str">
        <f>+VLOOKUP(C170,BD!$A$29:$E$877,2,0)</f>
        <v>Antisol blanco</v>
      </c>
      <c r="E170" s="19" t="s">
        <v>25</v>
      </c>
      <c r="F170" s="65">
        <v>0.3</v>
      </c>
      <c r="G170" s="142">
        <f>VLOOKUP(C170,BD!$A$29:$E$877,5,0)</f>
        <v>5174.5200000000004</v>
      </c>
      <c r="H170" s="99">
        <v>1.03</v>
      </c>
      <c r="I170" s="156">
        <f>ROUND((F170*G170*H170),0)</f>
        <v>1599</v>
      </c>
      <c r="J170" s="33"/>
      <c r="K170" s="36"/>
      <c r="L170" s="22"/>
      <c r="M170" s="22"/>
      <c r="N170" s="22"/>
    </row>
    <row r="171" spans="1:14" s="12" customFormat="1" x14ac:dyDescent="0.3">
      <c r="A171" s="17"/>
      <c r="B171" s="806"/>
      <c r="C171" s="11" t="s">
        <v>1332</v>
      </c>
      <c r="D171" s="85" t="str">
        <f>+VLOOKUP(C171,BD!$A$29:$E$877,2,0)</f>
        <v xml:space="preserve">Varillón de sajo 3x3 </v>
      </c>
      <c r="E171" s="19" t="s">
        <v>32</v>
      </c>
      <c r="F171" s="65">
        <v>4</v>
      </c>
      <c r="G171" s="142">
        <f>VLOOKUP(C171,BD!$A$29:$E$877,5,0)</f>
        <v>2675</v>
      </c>
      <c r="H171" s="99">
        <f>1/3</f>
        <v>0.33333333333333331</v>
      </c>
      <c r="I171" s="156">
        <f>ROUND((F171*G171*H171),0)</f>
        <v>3567</v>
      </c>
      <c r="J171" s="33"/>
      <c r="K171" s="36"/>
      <c r="L171" s="22"/>
      <c r="M171" s="22"/>
      <c r="N171" s="22"/>
    </row>
    <row r="172" spans="1:14" s="12" customFormat="1" ht="15.6" x14ac:dyDescent="0.3">
      <c r="A172" s="17"/>
      <c r="B172" s="826" t="s">
        <v>1504</v>
      </c>
      <c r="C172" s="14" t="s">
        <v>1523</v>
      </c>
      <c r="D172" s="15" t="str">
        <f>+VLOOKUP(C172,$B$5:$G$501,3,0)</f>
        <v>Concreto de 20,7 Mpa (3000 psi) (producción)</v>
      </c>
      <c r="E172" s="19" t="s">
        <v>1507</v>
      </c>
      <c r="F172" s="65">
        <f>0.2*5</f>
        <v>1</v>
      </c>
      <c r="G172" s="151">
        <f>+VLOOKUP(C172,$B$5:$G$501,6,0)</f>
        <v>568922</v>
      </c>
      <c r="H172" s="99">
        <v>1.05</v>
      </c>
      <c r="I172" s="156">
        <f>ROUND((F172*G172*H172),0)</f>
        <v>597368</v>
      </c>
      <c r="J172" s="33"/>
      <c r="K172" s="35"/>
    </row>
    <row r="173" spans="1:14" x14ac:dyDescent="0.3">
      <c r="B173" s="826"/>
      <c r="C173" s="100" t="s">
        <v>84</v>
      </c>
      <c r="D173" s="15" t="str">
        <f>+VLOOKUP(C173,$B$5:$G$501,3,0)</f>
        <v>Acero Fy = 60.000 psi d&gt;1/4"</v>
      </c>
      <c r="E173" s="86" t="s">
        <v>25</v>
      </c>
      <c r="F173" s="201">
        <v>64</v>
      </c>
      <c r="G173" s="151">
        <f>+VLOOKUP(C173,$B$5:$G$501,6,0)</f>
        <v>6971</v>
      </c>
      <c r="H173" s="193">
        <v>0</v>
      </c>
      <c r="I173" s="148">
        <f>ROUND((F173*G173),0)</f>
        <v>446144</v>
      </c>
      <c r="J173" s="24"/>
      <c r="K173" s="35"/>
    </row>
    <row r="174" spans="1:14" s="12" customFormat="1" x14ac:dyDescent="0.3">
      <c r="A174" s="17"/>
      <c r="B174" s="49" t="s">
        <v>1502</v>
      </c>
      <c r="C174" s="14" t="s">
        <v>160</v>
      </c>
      <c r="D174" s="15" t="s">
        <v>137</v>
      </c>
      <c r="E174" s="19" t="s">
        <v>155</v>
      </c>
      <c r="F174" s="65">
        <v>1</v>
      </c>
      <c r="G174" s="142">
        <f>+VLOOKUP(D174,MO!$B$33:$F$79,5,0)</f>
        <v>342531</v>
      </c>
      <c r="H174" s="99">
        <f>1/18</f>
        <v>5.5555555555555552E-2</v>
      </c>
      <c r="I174" s="156">
        <f>ROUND((F174*G174*H174),0)</f>
        <v>19030</v>
      </c>
      <c r="J174" s="33"/>
      <c r="K174" s="35"/>
    </row>
    <row r="175" spans="1:14" s="12" customFormat="1" ht="13.8" thickBot="1" x14ac:dyDescent="0.35">
      <c r="A175" s="17"/>
      <c r="B175" s="59" t="s">
        <v>1360</v>
      </c>
      <c r="C175" s="21" t="s">
        <v>1364</v>
      </c>
      <c r="D175" s="23" t="s">
        <v>1509</v>
      </c>
      <c r="E175" s="50" t="s">
        <v>1363</v>
      </c>
      <c r="F175" s="208">
        <v>0.1</v>
      </c>
      <c r="G175" s="151">
        <f>I174</f>
        <v>19030</v>
      </c>
      <c r="H175" s="99">
        <v>0</v>
      </c>
      <c r="I175" s="156">
        <f>ROUND((F175*G175),0)</f>
        <v>1903</v>
      </c>
      <c r="J175" s="33"/>
      <c r="K175" s="35"/>
    </row>
    <row r="176" spans="1:14" ht="26.4" x14ac:dyDescent="0.3">
      <c r="B176" s="497" t="s">
        <v>66</v>
      </c>
      <c r="C176" s="84"/>
      <c r="D176" s="83" t="s">
        <v>67</v>
      </c>
      <c r="E176" s="84" t="s">
        <v>26</v>
      </c>
      <c r="F176" s="203"/>
      <c r="G176" s="141">
        <f>ROUND(SUM(I176:I183),0)</f>
        <v>741010</v>
      </c>
      <c r="H176" s="192"/>
      <c r="I176" s="498"/>
      <c r="J176" s="24"/>
      <c r="K176" s="35"/>
    </row>
    <row r="177" spans="1:11" x14ac:dyDescent="0.3">
      <c r="B177" s="805" t="s">
        <v>183</v>
      </c>
      <c r="C177" s="100" t="s">
        <v>1111</v>
      </c>
      <c r="D177" s="85" t="str">
        <f>+VLOOKUP(C177,BD!$A$29:$E$877,2,0)</f>
        <v>Tapa de hierro d = 0,60 m de 90 kg (manhole) + aro</v>
      </c>
      <c r="E177" s="86" t="s">
        <v>26</v>
      </c>
      <c r="F177" s="201">
        <v>1</v>
      </c>
      <c r="G177" s="142">
        <f>VLOOKUP(C177,BD!$A$29:$E$877,5,0)</f>
        <v>642000</v>
      </c>
      <c r="H177" s="193">
        <v>0</v>
      </c>
      <c r="I177" s="499">
        <f>ROUND((F177*G177),0)</f>
        <v>642000</v>
      </c>
      <c r="J177" s="24"/>
      <c r="K177" s="35"/>
    </row>
    <row r="178" spans="1:11" s="24" customFormat="1" x14ac:dyDescent="0.3">
      <c r="A178" s="102"/>
      <c r="B178" s="805"/>
      <c r="C178" s="100" t="s">
        <v>1071</v>
      </c>
      <c r="D178" s="85" t="str">
        <f>+VLOOKUP(C178,BD!$A$29:$E$877,2,0)</f>
        <v>Tabla para formaleta de 1" x 10" x 2,9 m</v>
      </c>
      <c r="E178" s="86" t="s">
        <v>32</v>
      </c>
      <c r="F178" s="201">
        <v>1</v>
      </c>
      <c r="G178" s="142">
        <f>VLOOKUP(C178,BD!$A$29:$E$877,5,0)</f>
        <v>4280</v>
      </c>
      <c r="H178" s="193">
        <f>1/10</f>
        <v>0.1</v>
      </c>
      <c r="I178" s="499">
        <f>ROUND((F178*G178*H178),0)</f>
        <v>428</v>
      </c>
      <c r="K178" s="34"/>
    </row>
    <row r="179" spans="1:11" x14ac:dyDescent="0.3">
      <c r="A179" s="48"/>
      <c r="B179" s="805"/>
      <c r="C179" s="100" t="s">
        <v>992</v>
      </c>
      <c r="D179" s="85" t="str">
        <f>+VLOOKUP(C179,BD!$A$29:$E$877,2,0)</f>
        <v>Puntilla (promedio)</v>
      </c>
      <c r="E179" s="86" t="s">
        <v>383</v>
      </c>
      <c r="F179" s="201">
        <v>1</v>
      </c>
      <c r="G179" s="142">
        <f>VLOOKUP(C179,BD!$A$29:$E$877,5,0)</f>
        <v>2675</v>
      </c>
      <c r="H179" s="193">
        <v>0</v>
      </c>
      <c r="I179" s="499">
        <f>ROUND((F179*G179),0)</f>
        <v>2675</v>
      </c>
      <c r="J179" s="24"/>
      <c r="K179" s="35"/>
    </row>
    <row r="180" spans="1:11" x14ac:dyDescent="0.3">
      <c r="B180" s="805"/>
      <c r="C180" s="100" t="s">
        <v>1332</v>
      </c>
      <c r="D180" s="85" t="str">
        <f>+VLOOKUP(C180,BD!$A$29:$E$877,2,0)</f>
        <v xml:space="preserve">Varillón de sajo 3x3 </v>
      </c>
      <c r="E180" s="86" t="s">
        <v>32</v>
      </c>
      <c r="F180" s="201">
        <v>1</v>
      </c>
      <c r="G180" s="142">
        <f>VLOOKUP(C180,BD!$A$29:$E$877,5,0)</f>
        <v>2675</v>
      </c>
      <c r="H180" s="193">
        <f>1/2</f>
        <v>0.5</v>
      </c>
      <c r="I180" s="499">
        <f>ROUND((F180*G180*H180),0)</f>
        <v>1338</v>
      </c>
      <c r="J180" s="24"/>
      <c r="K180" s="35"/>
    </row>
    <row r="181" spans="1:11" ht="15.6" x14ac:dyDescent="0.3">
      <c r="B181" s="501" t="s">
        <v>1504</v>
      </c>
      <c r="C181" s="100" t="s">
        <v>1523</v>
      </c>
      <c r="D181" s="23" t="str">
        <f>+VLOOKUP(C181,$B$5:$G$501,3,0)</f>
        <v>Concreto de 20,7 Mpa (3000 psi) (producción)</v>
      </c>
      <c r="E181" s="86" t="s">
        <v>1559</v>
      </c>
      <c r="F181" s="201">
        <v>5.5E-2</v>
      </c>
      <c r="G181" s="151">
        <f>+VLOOKUP(C181,$B$5:$G$501,6,0)</f>
        <v>568922</v>
      </c>
      <c r="H181" s="193">
        <v>1.05</v>
      </c>
      <c r="I181" s="499">
        <f>ROUND((F181*G181*H181),0)</f>
        <v>32855</v>
      </c>
      <c r="J181" s="24"/>
      <c r="K181" s="35"/>
    </row>
    <row r="182" spans="1:11" x14ac:dyDescent="0.3">
      <c r="B182" s="405" t="s">
        <v>1502</v>
      </c>
      <c r="C182" s="100" t="s">
        <v>173</v>
      </c>
      <c r="D182" s="85" t="s">
        <v>141</v>
      </c>
      <c r="E182" s="86" t="s">
        <v>155</v>
      </c>
      <c r="F182" s="201">
        <v>1</v>
      </c>
      <c r="G182" s="142">
        <f>+VLOOKUP(D182,MO!$B$33:$F$79,5,0)</f>
        <v>448834</v>
      </c>
      <c r="H182" s="193">
        <f>1/8</f>
        <v>0.125</v>
      </c>
      <c r="I182" s="499">
        <f>ROUND((F182*G182*H182),0)</f>
        <v>56104</v>
      </c>
      <c r="J182" s="24"/>
      <c r="K182" s="35"/>
    </row>
    <row r="183" spans="1:11" ht="13.8" thickBot="1" x14ac:dyDescent="0.35">
      <c r="B183" s="407" t="s">
        <v>1360</v>
      </c>
      <c r="C183" s="376" t="s">
        <v>1364</v>
      </c>
      <c r="D183" s="223" t="s">
        <v>1509</v>
      </c>
      <c r="E183" s="377" t="s">
        <v>1363</v>
      </c>
      <c r="F183" s="378">
        <v>0.1</v>
      </c>
      <c r="G183" s="222">
        <f>I182</f>
        <v>56104</v>
      </c>
      <c r="H183" s="379">
        <v>0</v>
      </c>
      <c r="I183" s="500">
        <f>ROUND((F183*G183),0)</f>
        <v>5610</v>
      </c>
      <c r="J183" s="24"/>
      <c r="K183" s="35"/>
    </row>
    <row r="184" spans="1:11" x14ac:dyDescent="0.3">
      <c r="A184" s="409"/>
      <c r="B184" s="66" t="s">
        <v>66</v>
      </c>
      <c r="C184" s="90"/>
      <c r="D184" s="89" t="str">
        <f>+Presupuesto_OFICIAL!C69</f>
        <v>Peldaños acero D3/4 incluye anticorrosivio</v>
      </c>
      <c r="E184" s="90" t="s">
        <v>26</v>
      </c>
      <c r="F184" s="199"/>
      <c r="G184" s="144">
        <f>ROUND(SUM(I184:I190),0)</f>
        <v>50259</v>
      </c>
      <c r="H184" s="195"/>
      <c r="I184" s="154"/>
      <c r="J184" s="24"/>
      <c r="K184" s="35"/>
    </row>
    <row r="185" spans="1:11" ht="26.4" x14ac:dyDescent="0.3">
      <c r="A185" s="409"/>
      <c r="B185" s="806" t="s">
        <v>183</v>
      </c>
      <c r="C185" s="100" t="s">
        <v>1111</v>
      </c>
      <c r="D185" s="85" t="s">
        <v>1816</v>
      </c>
      <c r="E185" s="86" t="s">
        <v>4</v>
      </c>
      <c r="F185" s="201">
        <v>0.04</v>
      </c>
      <c r="G185" s="142">
        <v>86057.859289809945</v>
      </c>
      <c r="H185" s="193">
        <v>1.1000000000000001</v>
      </c>
      <c r="I185" s="148">
        <f>ROUND((F185*G185*H185),0)</f>
        <v>3787</v>
      </c>
      <c r="J185" s="24"/>
      <c r="K185" s="35"/>
    </row>
    <row r="186" spans="1:11" s="24" customFormat="1" x14ac:dyDescent="0.3">
      <c r="A186" s="409"/>
      <c r="B186" s="806"/>
      <c r="C186" s="437" t="s">
        <v>280</v>
      </c>
      <c r="D186" s="438" t="s">
        <v>281</v>
      </c>
      <c r="E186" s="439" t="s">
        <v>218</v>
      </c>
      <c r="F186" s="440">
        <v>0.03</v>
      </c>
      <c r="G186" s="441">
        <v>15000</v>
      </c>
      <c r="H186" s="557">
        <v>1.03</v>
      </c>
      <c r="I186" s="148">
        <f t="shared" ref="I186:I190" si="10">ROUND((F186*G186*H186),0)</f>
        <v>464</v>
      </c>
      <c r="K186" s="34"/>
    </row>
    <row r="187" spans="1:11" x14ac:dyDescent="0.3">
      <c r="A187" s="48"/>
      <c r="B187" s="806"/>
      <c r="C187" s="100"/>
      <c r="D187" s="85" t="s">
        <v>1817</v>
      </c>
      <c r="E187" s="86" t="s">
        <v>1780</v>
      </c>
      <c r="F187" s="201">
        <v>0.8</v>
      </c>
      <c r="G187" s="142">
        <v>4568.333333333333</v>
      </c>
      <c r="H187" s="193">
        <v>1</v>
      </c>
      <c r="I187" s="148">
        <f t="shared" si="10"/>
        <v>3655</v>
      </c>
      <c r="J187" s="24"/>
      <c r="K187" s="35"/>
    </row>
    <row r="188" spans="1:11" ht="15.6" x14ac:dyDescent="0.3">
      <c r="A188" s="409"/>
      <c r="B188" s="403" t="s">
        <v>1504</v>
      </c>
      <c r="C188" s="100" t="s">
        <v>1523</v>
      </c>
      <c r="D188" s="15" t="str">
        <f>+VLOOKUP(C188,$B$5:$G$501,3,0)</f>
        <v>Concreto de 20,7 Mpa (3000 psi) (producción)</v>
      </c>
      <c r="E188" s="86" t="s">
        <v>1559</v>
      </c>
      <c r="F188" s="201">
        <v>0.01</v>
      </c>
      <c r="G188" s="151">
        <f>+VLOOKUP(C188,$B$5:$G$501,6,0)</f>
        <v>568922</v>
      </c>
      <c r="H188" s="193">
        <v>1.05</v>
      </c>
      <c r="I188" s="148">
        <f t="shared" si="10"/>
        <v>5974</v>
      </c>
      <c r="J188" s="24"/>
      <c r="K188" s="35"/>
    </row>
    <row r="189" spans="1:11" x14ac:dyDescent="0.3">
      <c r="A189" s="409"/>
      <c r="B189" s="61" t="s">
        <v>1502</v>
      </c>
      <c r="C189" s="100" t="s">
        <v>173</v>
      </c>
      <c r="D189" s="85" t="str">
        <f>+D199</f>
        <v>Cuadrilla E 1 Of + 1 Ay (jornal + prestaciones)</v>
      </c>
      <c r="E189" s="86" t="s">
        <v>155</v>
      </c>
      <c r="F189" s="201">
        <v>1</v>
      </c>
      <c r="G189" s="142">
        <f>+VLOOKUP(D189,MO!$B$33:$F$79,5,0)</f>
        <v>165360</v>
      </c>
      <c r="H189" s="193">
        <v>0.2</v>
      </c>
      <c r="I189" s="148">
        <f t="shared" si="10"/>
        <v>33072</v>
      </c>
      <c r="J189" s="24"/>
      <c r="K189" s="35"/>
    </row>
    <row r="190" spans="1:11" ht="13.8" thickBot="1" x14ac:dyDescent="0.35">
      <c r="A190" s="409"/>
      <c r="B190" s="404" t="s">
        <v>1360</v>
      </c>
      <c r="C190" s="100" t="s">
        <v>1364</v>
      </c>
      <c r="D190" s="85" t="s">
        <v>1509</v>
      </c>
      <c r="E190" s="86" t="s">
        <v>1363</v>
      </c>
      <c r="F190" s="201">
        <v>0.1</v>
      </c>
      <c r="G190" s="142">
        <f>I189</f>
        <v>33072</v>
      </c>
      <c r="H190" s="193">
        <v>1</v>
      </c>
      <c r="I190" s="148">
        <f t="shared" si="10"/>
        <v>3307</v>
      </c>
      <c r="J190" s="24"/>
      <c r="K190" s="35"/>
    </row>
    <row r="191" spans="1:11" ht="26.4" x14ac:dyDescent="0.3">
      <c r="B191" s="68" t="s">
        <v>68</v>
      </c>
      <c r="C191" s="84"/>
      <c r="D191" s="83" t="s">
        <v>69</v>
      </c>
      <c r="E191" s="84" t="s">
        <v>26</v>
      </c>
      <c r="F191" s="203"/>
      <c r="G191" s="141">
        <f>ROUND(SUM(I191:I200),0)</f>
        <v>1283100</v>
      </c>
      <c r="H191" s="192"/>
      <c r="I191" s="153"/>
      <c r="J191" s="24"/>
      <c r="K191" s="35"/>
    </row>
    <row r="192" spans="1:11" ht="13.8" x14ac:dyDescent="0.3">
      <c r="B192" s="806" t="s">
        <v>183</v>
      </c>
      <c r="C192" s="558" t="s">
        <v>1071</v>
      </c>
      <c r="D192" s="489" t="s">
        <v>1072</v>
      </c>
      <c r="E192" s="559" t="s">
        <v>32</v>
      </c>
      <c r="F192" s="560">
        <v>21</v>
      </c>
      <c r="G192" s="561">
        <v>4379.1633935999998</v>
      </c>
      <c r="H192" s="559">
        <f>1/3</f>
        <v>0.33333333333333331</v>
      </c>
      <c r="I192" s="562">
        <f>ROUND((F192*G192*H192),0)</f>
        <v>30654</v>
      </c>
      <c r="J192" s="24"/>
      <c r="K192" s="35"/>
    </row>
    <row r="193" spans="1:11" ht="13.8" x14ac:dyDescent="0.3">
      <c r="B193" s="806"/>
      <c r="C193" s="558" t="s">
        <v>992</v>
      </c>
      <c r="D193" s="489" t="s">
        <v>993</v>
      </c>
      <c r="E193" s="559" t="s">
        <v>383</v>
      </c>
      <c r="F193" s="560">
        <v>1.5</v>
      </c>
      <c r="G193" s="561">
        <v>2736.9771210000004</v>
      </c>
      <c r="H193" s="559">
        <v>0</v>
      </c>
      <c r="I193" s="562">
        <f>ROUND((F193*G193),0)</f>
        <v>4105</v>
      </c>
      <c r="J193" s="24"/>
      <c r="K193" s="35"/>
    </row>
    <row r="194" spans="1:11" s="24" customFormat="1" ht="13.8" x14ac:dyDescent="0.3">
      <c r="A194" s="102"/>
      <c r="B194" s="806"/>
      <c r="C194" s="558" t="s">
        <v>1332</v>
      </c>
      <c r="D194" s="489" t="s">
        <v>1333</v>
      </c>
      <c r="E194" s="559" t="s">
        <v>32</v>
      </c>
      <c r="F194" s="560">
        <v>1</v>
      </c>
      <c r="G194" s="561">
        <v>2736.9771210000004</v>
      </c>
      <c r="H194" s="559">
        <f>1/3</f>
        <v>0.33333333333333331</v>
      </c>
      <c r="I194" s="562">
        <f t="shared" ref="I194:I195" si="11">ROUND((F194*G194*H194),0)</f>
        <v>912</v>
      </c>
      <c r="K194" s="34"/>
    </row>
    <row r="195" spans="1:11" ht="13.8" x14ac:dyDescent="0.3">
      <c r="A195" s="48"/>
      <c r="B195" s="806"/>
      <c r="C195" s="558" t="s">
        <v>216</v>
      </c>
      <c r="D195" s="489" t="s">
        <v>217</v>
      </c>
      <c r="E195" s="559" t="s">
        <v>218</v>
      </c>
      <c r="F195" s="560">
        <v>0.5</v>
      </c>
      <c r="G195" s="561">
        <v>43682.154851160005</v>
      </c>
      <c r="H195" s="559">
        <v>1.05</v>
      </c>
      <c r="I195" s="562">
        <f t="shared" si="11"/>
        <v>22933</v>
      </c>
      <c r="J195" s="24"/>
      <c r="K195" s="35"/>
    </row>
    <row r="196" spans="1:11" ht="13.8" x14ac:dyDescent="0.3">
      <c r="B196" s="806"/>
      <c r="C196" s="558" t="s">
        <v>1553</v>
      </c>
      <c r="D196" s="489" t="str">
        <f>'[3]BASE DE DATOS'!B135</f>
        <v>Cercha metálica 5 - 12 m, incluye anticorrosivo</v>
      </c>
      <c r="E196" s="559" t="s">
        <v>26</v>
      </c>
      <c r="F196" s="560">
        <v>2</v>
      </c>
      <c r="G196" s="561">
        <v>317489.346036</v>
      </c>
      <c r="H196" s="559">
        <v>0</v>
      </c>
      <c r="I196" s="562">
        <f>ROUND((F196*G196),0)</f>
        <v>634979</v>
      </c>
      <c r="J196" s="24"/>
      <c r="K196" s="35"/>
    </row>
    <row r="197" spans="1:11" ht="15.6" x14ac:dyDescent="0.3">
      <c r="B197" s="810" t="s">
        <v>1504</v>
      </c>
      <c r="C197" s="558" t="s">
        <v>1523</v>
      </c>
      <c r="D197" s="489" t="s">
        <v>1818</v>
      </c>
      <c r="E197" s="559" t="s">
        <v>1507</v>
      </c>
      <c r="F197" s="560">
        <v>0.7</v>
      </c>
      <c r="G197" s="561">
        <v>360418</v>
      </c>
      <c r="H197" s="559">
        <v>1.05</v>
      </c>
      <c r="I197" s="562">
        <f>ROUND((F197*G197*H197),0)</f>
        <v>264907</v>
      </c>
      <c r="J197" s="24"/>
      <c r="K197" s="35"/>
    </row>
    <row r="198" spans="1:11" ht="13.8" x14ac:dyDescent="0.3">
      <c r="B198" s="810"/>
      <c r="C198" s="558" t="s">
        <v>84</v>
      </c>
      <c r="D198" s="489" t="s">
        <v>1819</v>
      </c>
      <c r="E198" s="559" t="s">
        <v>25</v>
      </c>
      <c r="F198" s="560">
        <v>5</v>
      </c>
      <c r="G198" s="561">
        <v>4290</v>
      </c>
      <c r="H198" s="559">
        <v>0</v>
      </c>
      <c r="I198" s="562">
        <f>ROUND((F198*G198),0)</f>
        <v>21450</v>
      </c>
      <c r="J198" s="24"/>
      <c r="K198" s="35"/>
    </row>
    <row r="199" spans="1:11" ht="13.8" x14ac:dyDescent="0.3">
      <c r="B199" s="49" t="s">
        <v>1502</v>
      </c>
      <c r="C199" s="558" t="s">
        <v>174</v>
      </c>
      <c r="D199" s="489" t="s">
        <v>135</v>
      </c>
      <c r="E199" s="559" t="s">
        <v>155</v>
      </c>
      <c r="F199" s="560">
        <v>1</v>
      </c>
      <c r="G199" s="561">
        <v>165360</v>
      </c>
      <c r="H199" s="559">
        <f>1/0.6</f>
        <v>1.6666666666666667</v>
      </c>
      <c r="I199" s="562">
        <f>ROUND((F199*G199*H199),0)</f>
        <v>275600</v>
      </c>
      <c r="J199" s="24"/>
      <c r="K199" s="35"/>
    </row>
    <row r="200" spans="1:11" ht="14.4" thickBot="1" x14ac:dyDescent="0.35">
      <c r="B200" s="228" t="s">
        <v>1360</v>
      </c>
      <c r="C200" s="563" t="s">
        <v>1364</v>
      </c>
      <c r="D200" s="564" t="s">
        <v>1509</v>
      </c>
      <c r="E200" s="565" t="s">
        <v>1363</v>
      </c>
      <c r="F200" s="566">
        <v>0.1</v>
      </c>
      <c r="G200" s="567">
        <v>275600</v>
      </c>
      <c r="H200" s="565">
        <v>0</v>
      </c>
      <c r="I200" s="568">
        <f>ROUND((F200*G200),0)</f>
        <v>27560</v>
      </c>
      <c r="J200" s="24"/>
      <c r="K200" s="35"/>
    </row>
    <row r="201" spans="1:11" ht="26.4" x14ac:dyDescent="0.3">
      <c r="A201" s="409"/>
      <c r="B201" s="68" t="s">
        <v>68</v>
      </c>
      <c r="C201" s="84"/>
      <c r="D201" s="83" t="str">
        <f>+Presupuesto_OFICIAL!C71</f>
        <v>Sumidero transversal concretro 24 Mpa, incluye rejas50x70</v>
      </c>
      <c r="E201" s="84" t="s">
        <v>1780</v>
      </c>
      <c r="F201" s="203"/>
      <c r="G201" s="141">
        <f>ROUND(SUM(I201:I210),0)</f>
        <v>620969</v>
      </c>
      <c r="H201" s="192"/>
      <c r="I201" s="153"/>
      <c r="J201" s="24"/>
      <c r="K201" s="35"/>
    </row>
    <row r="202" spans="1:11" ht="13.8" x14ac:dyDescent="0.3">
      <c r="A202" s="409"/>
      <c r="B202" s="806" t="s">
        <v>183</v>
      </c>
      <c r="C202" s="558" t="s">
        <v>1071</v>
      </c>
      <c r="D202" s="489" t="s">
        <v>1072</v>
      </c>
      <c r="E202" s="559" t="s">
        <v>32</v>
      </c>
      <c r="F202" s="560">
        <v>10</v>
      </c>
      <c r="G202" s="561">
        <v>4379.1633935999998</v>
      </c>
      <c r="H202" s="559">
        <f>1/3</f>
        <v>0.33333333333333331</v>
      </c>
      <c r="I202" s="562">
        <f>ROUND((F202*G202*H202),0)</f>
        <v>14597</v>
      </c>
      <c r="J202" s="24"/>
      <c r="K202" s="35"/>
    </row>
    <row r="203" spans="1:11" ht="13.8" x14ac:dyDescent="0.3">
      <c r="A203" s="409"/>
      <c r="B203" s="806"/>
      <c r="C203" s="558" t="s">
        <v>992</v>
      </c>
      <c r="D203" s="489" t="s">
        <v>993</v>
      </c>
      <c r="E203" s="559" t="s">
        <v>383</v>
      </c>
      <c r="F203" s="560">
        <v>1.5</v>
      </c>
      <c r="G203" s="561">
        <v>2736.9771210000004</v>
      </c>
      <c r="H203" s="559">
        <v>0</v>
      </c>
      <c r="I203" s="562">
        <f>ROUND((F203*G203),0)</f>
        <v>4105</v>
      </c>
      <c r="J203" s="24"/>
      <c r="K203" s="35"/>
    </row>
    <row r="204" spans="1:11" s="24" customFormat="1" ht="13.8" x14ac:dyDescent="0.3">
      <c r="A204" s="409"/>
      <c r="B204" s="806"/>
      <c r="C204" s="558" t="s">
        <v>1332</v>
      </c>
      <c r="D204" s="489" t="s">
        <v>1333</v>
      </c>
      <c r="E204" s="559" t="s">
        <v>32</v>
      </c>
      <c r="F204" s="560">
        <v>1</v>
      </c>
      <c r="G204" s="561">
        <v>2736.9771210000004</v>
      </c>
      <c r="H204" s="559">
        <f>1/3</f>
        <v>0.33333333333333331</v>
      </c>
      <c r="I204" s="562">
        <f t="shared" ref="I204:I205" si="12">ROUND((F204*G204*H204),0)</f>
        <v>912</v>
      </c>
      <c r="K204" s="34"/>
    </row>
    <row r="205" spans="1:11" ht="13.8" x14ac:dyDescent="0.3">
      <c r="A205" s="48"/>
      <c r="B205" s="806"/>
      <c r="C205" s="558" t="s">
        <v>216</v>
      </c>
      <c r="D205" s="489" t="s">
        <v>217</v>
      </c>
      <c r="E205" s="559" t="s">
        <v>218</v>
      </c>
      <c r="F205" s="560">
        <v>0.2</v>
      </c>
      <c r="G205" s="561">
        <v>43682.154851160005</v>
      </c>
      <c r="H205" s="559">
        <v>1.05</v>
      </c>
      <c r="I205" s="562">
        <f t="shared" si="12"/>
        <v>9173</v>
      </c>
      <c r="J205" s="24"/>
      <c r="K205" s="35"/>
    </row>
    <row r="206" spans="1:11" ht="13.8" x14ac:dyDescent="0.3">
      <c r="A206" s="409"/>
      <c r="B206" s="806"/>
      <c r="C206" s="558" t="s">
        <v>1553</v>
      </c>
      <c r="D206" s="489" t="str">
        <f>'[3]BASE DE DATOS'!B145</f>
        <v>Cheque de 1 1/2" en bronce fundido</v>
      </c>
      <c r="E206" s="559" t="s">
        <v>26</v>
      </c>
      <c r="F206" s="560">
        <v>1</v>
      </c>
      <c r="G206" s="561">
        <v>317489.346036</v>
      </c>
      <c r="H206" s="559">
        <v>0</v>
      </c>
      <c r="I206" s="562">
        <f>ROUND((F206*G206),0)</f>
        <v>317489</v>
      </c>
      <c r="J206" s="24"/>
      <c r="K206" s="35"/>
    </row>
    <row r="207" spans="1:11" ht="15.6" x14ac:dyDescent="0.3">
      <c r="A207" s="409"/>
      <c r="B207" s="810" t="s">
        <v>1504</v>
      </c>
      <c r="C207" s="558" t="s">
        <v>1523</v>
      </c>
      <c r="D207" s="489" t="s">
        <v>1818</v>
      </c>
      <c r="E207" s="559" t="s">
        <v>1507</v>
      </c>
      <c r="F207" s="560">
        <v>0.3</v>
      </c>
      <c r="G207" s="561">
        <v>453977</v>
      </c>
      <c r="H207" s="559">
        <v>1.05</v>
      </c>
      <c r="I207" s="562">
        <f>ROUND((F207*G207*H207),0)</f>
        <v>143003</v>
      </c>
      <c r="J207" s="24"/>
      <c r="K207" s="35"/>
    </row>
    <row r="208" spans="1:11" ht="13.8" x14ac:dyDescent="0.3">
      <c r="A208" s="409"/>
      <c r="B208" s="810"/>
      <c r="C208" s="558" t="s">
        <v>84</v>
      </c>
      <c r="D208" s="489" t="s">
        <v>1819</v>
      </c>
      <c r="E208" s="559" t="s">
        <v>25</v>
      </c>
      <c r="F208" s="560">
        <v>5</v>
      </c>
      <c r="G208" s="561">
        <v>4290</v>
      </c>
      <c r="H208" s="559">
        <v>0</v>
      </c>
      <c r="I208" s="562">
        <f>ROUND((F208*G208),0)</f>
        <v>21450</v>
      </c>
      <c r="J208" s="24"/>
      <c r="K208" s="35"/>
    </row>
    <row r="209" spans="1:42" ht="13.8" x14ac:dyDescent="0.3">
      <c r="A209" s="409"/>
      <c r="B209" s="61" t="s">
        <v>1502</v>
      </c>
      <c r="C209" s="558" t="s">
        <v>174</v>
      </c>
      <c r="D209" s="489" t="s">
        <v>135</v>
      </c>
      <c r="E209" s="559" t="s">
        <v>155</v>
      </c>
      <c r="F209" s="560">
        <v>1</v>
      </c>
      <c r="G209" s="561">
        <v>165360</v>
      </c>
      <c r="H209" s="559">
        <v>0.5</v>
      </c>
      <c r="I209" s="562">
        <f>ROUND((F209*G209*H209),0)</f>
        <v>82680</v>
      </c>
      <c r="J209" s="24"/>
      <c r="K209" s="35"/>
    </row>
    <row r="210" spans="1:42" ht="14.4" thickBot="1" x14ac:dyDescent="0.35">
      <c r="A210" s="409"/>
      <c r="B210" s="228" t="s">
        <v>1360</v>
      </c>
      <c r="C210" s="563" t="s">
        <v>1364</v>
      </c>
      <c r="D210" s="564" t="s">
        <v>1509</v>
      </c>
      <c r="E210" s="565" t="s">
        <v>1363</v>
      </c>
      <c r="F210" s="566">
        <v>0.1</v>
      </c>
      <c r="G210" s="567">
        <v>275600</v>
      </c>
      <c r="H210" s="565">
        <v>0</v>
      </c>
      <c r="I210" s="568">
        <f>ROUND((F210*G210),0)</f>
        <v>27560</v>
      </c>
      <c r="J210" s="24"/>
      <c r="K210" s="35"/>
    </row>
    <row r="211" spans="1:42" ht="26.4" x14ac:dyDescent="0.3">
      <c r="B211" s="68" t="s">
        <v>1570</v>
      </c>
      <c r="C211" s="84"/>
      <c r="D211" s="83" t="s">
        <v>86</v>
      </c>
      <c r="E211" s="84" t="s">
        <v>26</v>
      </c>
      <c r="F211" s="203"/>
      <c r="G211" s="141">
        <f>ROUND(SUM(I211:I220),0)</f>
        <v>1379913</v>
      </c>
      <c r="H211" s="192"/>
      <c r="I211" s="153"/>
      <c r="J211" s="24"/>
      <c r="K211" s="35"/>
    </row>
    <row r="212" spans="1:42" x14ac:dyDescent="0.3">
      <c r="B212" s="806" t="s">
        <v>183</v>
      </c>
      <c r="C212" s="100" t="s">
        <v>1071</v>
      </c>
      <c r="D212" s="85" t="str">
        <f>+VLOOKUP(C212,BD!$A$29:$E$877,2,0)</f>
        <v>Tabla para formaleta de 1" x 10" x 2,9 m</v>
      </c>
      <c r="E212" s="86" t="s">
        <v>32</v>
      </c>
      <c r="F212" s="201">
        <v>35</v>
      </c>
      <c r="G212" s="142">
        <f>VLOOKUP(C212,BD!$A$29:$E$877,5,0)</f>
        <v>4280</v>
      </c>
      <c r="H212" s="193">
        <f>1/3</f>
        <v>0.33333333333333331</v>
      </c>
      <c r="I212" s="148">
        <f>ROUND((F212*G212*H212),0)</f>
        <v>49933</v>
      </c>
      <c r="J212" s="24"/>
      <c r="K212" s="35"/>
    </row>
    <row r="213" spans="1:42" x14ac:dyDescent="0.3">
      <c r="B213" s="806"/>
      <c r="C213" s="100" t="s">
        <v>992</v>
      </c>
      <c r="D213" s="85" t="str">
        <f>+VLOOKUP(C213,BD!$A$29:$E$877,2,0)</f>
        <v>Puntilla (promedio)</v>
      </c>
      <c r="E213" s="86" t="s">
        <v>383</v>
      </c>
      <c r="F213" s="201">
        <v>3</v>
      </c>
      <c r="G213" s="142">
        <f>VLOOKUP(C213,BD!$A$29:$E$877,5,0)</f>
        <v>2675</v>
      </c>
      <c r="H213" s="193">
        <v>0</v>
      </c>
      <c r="I213" s="148">
        <f>ROUND((F213*G213),0)</f>
        <v>8025</v>
      </c>
      <c r="J213" s="24"/>
      <c r="K213" s="35"/>
    </row>
    <row r="214" spans="1:42" s="24" customFormat="1" x14ac:dyDescent="0.3">
      <c r="A214" s="102"/>
      <c r="B214" s="806"/>
      <c r="C214" s="100" t="s">
        <v>1332</v>
      </c>
      <c r="D214" s="85" t="str">
        <f>+VLOOKUP(C214,BD!$A$29:$E$877,2,0)</f>
        <v xml:space="preserve">Varillón de sajo 3x3 </v>
      </c>
      <c r="E214" s="86" t="s">
        <v>32</v>
      </c>
      <c r="F214" s="201">
        <v>2</v>
      </c>
      <c r="G214" s="142">
        <f>VLOOKUP(C214,BD!$A$29:$E$877,5,0)</f>
        <v>2675</v>
      </c>
      <c r="H214" s="193">
        <f>1/3</f>
        <v>0.33333333333333331</v>
      </c>
      <c r="I214" s="148">
        <f>ROUND((F214*G214*H214),0)</f>
        <v>1783</v>
      </c>
      <c r="K214" s="34"/>
    </row>
    <row r="215" spans="1:42" x14ac:dyDescent="0.3">
      <c r="A215" s="48"/>
      <c r="B215" s="806"/>
      <c r="C215" s="100" t="s">
        <v>216</v>
      </c>
      <c r="D215" s="85" t="str">
        <f>+VLOOKUP(C215,BD!$A$29:$E$877,2,0)</f>
        <v>ACPM</v>
      </c>
      <c r="E215" s="86" t="s">
        <v>218</v>
      </c>
      <c r="F215" s="201">
        <v>0.75</v>
      </c>
      <c r="G215" s="142">
        <f>VLOOKUP(C215,BD!$A$29:$E$877,5,0)</f>
        <v>9547.61</v>
      </c>
      <c r="H215" s="193">
        <v>1.05</v>
      </c>
      <c r="I215" s="148">
        <f>ROUND((F215*G215*H215),0)</f>
        <v>7519</v>
      </c>
      <c r="J215" s="24"/>
      <c r="K215" s="35"/>
    </row>
    <row r="216" spans="1:42" x14ac:dyDescent="0.3">
      <c r="B216" s="806"/>
      <c r="C216" s="100" t="s">
        <v>743</v>
      </c>
      <c r="D216" s="85" t="str">
        <f>+VLOOKUP(C216,BD!$A$29:$E$877,2,0)</f>
        <v>Limatesa, limahoya de fibrocemento</v>
      </c>
      <c r="E216" s="86" t="s">
        <v>26</v>
      </c>
      <c r="F216" s="201">
        <v>1</v>
      </c>
      <c r="G216" s="142">
        <f>VLOOKUP(C216,BD!$A$29:$E$877,5,0)</f>
        <v>57673</v>
      </c>
      <c r="H216" s="193">
        <v>0</v>
      </c>
      <c r="I216" s="148">
        <f>ROUND((F216*G216),0)</f>
        <v>57673</v>
      </c>
      <c r="J216" s="24"/>
      <c r="K216" s="35"/>
    </row>
    <row r="217" spans="1:42" ht="15.6" x14ac:dyDescent="0.3">
      <c r="B217" s="810" t="s">
        <v>1504</v>
      </c>
      <c r="C217" s="100" t="s">
        <v>1523</v>
      </c>
      <c r="D217" s="15" t="str">
        <f>+VLOOKUP(C217,$B$5:$G$501,3,0)</f>
        <v>Concreto de 20,7 Mpa (3000 psi) (producción)</v>
      </c>
      <c r="E217" s="86" t="s">
        <v>1559</v>
      </c>
      <c r="F217" s="201">
        <v>1.5</v>
      </c>
      <c r="G217" s="151">
        <f>+VLOOKUP(C217,$B$5:$G$501,6,0)</f>
        <v>568922</v>
      </c>
      <c r="H217" s="193">
        <v>1.05</v>
      </c>
      <c r="I217" s="148">
        <f>ROUND((F217*G217*H217),0)</f>
        <v>896052</v>
      </c>
      <c r="J217" s="24"/>
      <c r="K217" s="35"/>
    </row>
    <row r="218" spans="1:42" x14ac:dyDescent="0.3">
      <c r="B218" s="810"/>
      <c r="C218" s="100" t="s">
        <v>84</v>
      </c>
      <c r="D218" s="15" t="str">
        <f>+VLOOKUP(C218,$B$5:$G$501,3,0)</f>
        <v>Acero Fy = 60.000 psi d&gt;1/4"</v>
      </c>
      <c r="E218" s="86" t="s">
        <v>25</v>
      </c>
      <c r="F218" s="201">
        <v>8</v>
      </c>
      <c r="G218" s="151">
        <f>+VLOOKUP(C218,$B$5:$G$501,6,0)</f>
        <v>6971</v>
      </c>
      <c r="H218" s="193">
        <v>0</v>
      </c>
      <c r="I218" s="148">
        <f>ROUND((F218*G218),0)</f>
        <v>55768</v>
      </c>
      <c r="J218" s="24"/>
      <c r="K218" s="35"/>
    </row>
    <row r="219" spans="1:42" x14ac:dyDescent="0.3">
      <c r="B219" s="49" t="s">
        <v>1502</v>
      </c>
      <c r="C219" s="100" t="s">
        <v>174</v>
      </c>
      <c r="D219" s="85" t="s">
        <v>135</v>
      </c>
      <c r="E219" s="86" t="s">
        <v>155</v>
      </c>
      <c r="F219" s="201">
        <v>1</v>
      </c>
      <c r="G219" s="142">
        <f>+VLOOKUP(D219,MO!$B$33:$F$79,5,0)</f>
        <v>165360</v>
      </c>
      <c r="H219" s="193">
        <f>1/0.6</f>
        <v>1.6666666666666667</v>
      </c>
      <c r="I219" s="148">
        <f>ROUND((F219*G219*H219),0)</f>
        <v>275600</v>
      </c>
      <c r="J219" s="24"/>
      <c r="K219" s="35"/>
    </row>
    <row r="220" spans="1:42" ht="13.8" thickBot="1" x14ac:dyDescent="0.35">
      <c r="B220" s="228" t="s">
        <v>1360</v>
      </c>
      <c r="C220" s="101" t="s">
        <v>1364</v>
      </c>
      <c r="D220" s="87" t="s">
        <v>1509</v>
      </c>
      <c r="E220" s="88" t="s">
        <v>1363</v>
      </c>
      <c r="F220" s="202">
        <v>0.1</v>
      </c>
      <c r="G220" s="143">
        <f>I219</f>
        <v>275600</v>
      </c>
      <c r="H220" s="194">
        <v>0</v>
      </c>
      <c r="I220" s="226">
        <f>ROUND((F220*G220),0)</f>
        <v>27560</v>
      </c>
      <c r="J220" s="24"/>
      <c r="K220" s="35"/>
    </row>
    <row r="221" spans="1:42" s="71" customFormat="1" x14ac:dyDescent="0.3">
      <c r="A221" s="28"/>
      <c r="B221" s="39" t="s">
        <v>1515</v>
      </c>
      <c r="C221" s="90"/>
      <c r="D221" s="89" t="s">
        <v>1516</v>
      </c>
      <c r="E221" s="90" t="s">
        <v>1508</v>
      </c>
      <c r="F221" s="199"/>
      <c r="G221" s="145">
        <f>ROUND(SUM(I221:I222),0)</f>
        <v>26750</v>
      </c>
      <c r="H221" s="195"/>
      <c r="I221" s="154"/>
      <c r="J221" s="24"/>
    </row>
    <row r="222" spans="1:42" s="177" customFormat="1" ht="13.8" thickBot="1" x14ac:dyDescent="0.35">
      <c r="A222" s="176"/>
      <c r="B222" s="56" t="s">
        <v>1360</v>
      </c>
      <c r="C222" s="100" t="s">
        <v>1422</v>
      </c>
      <c r="D222" s="85" t="str">
        <f>+VLOOKUP(C222,BD!$A$29:$E$877,2,0)</f>
        <v>Cama baja</v>
      </c>
      <c r="E222" s="335" t="s">
        <v>1424</v>
      </c>
      <c r="F222" s="201">
        <v>1</v>
      </c>
      <c r="G222" s="142">
        <f>VLOOKUP(C222,BD!$A$29:$E$877,5,0)</f>
        <v>267500</v>
      </c>
      <c r="H222" s="193">
        <f>1/10</f>
        <v>0.1</v>
      </c>
      <c r="I222" s="148">
        <f>ROUND((F222*G222*H222),0)</f>
        <v>26750</v>
      </c>
      <c r="J222" s="24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</row>
    <row r="223" spans="1:42" ht="15.6" x14ac:dyDescent="0.3">
      <c r="B223" s="46" t="s">
        <v>1505</v>
      </c>
      <c r="C223" s="84"/>
      <c r="D223" s="83" t="s">
        <v>1506</v>
      </c>
      <c r="E223" s="84" t="s">
        <v>1561</v>
      </c>
      <c r="F223" s="203"/>
      <c r="G223" s="146">
        <f>ROUND(SUM(I223:I224),0)</f>
        <v>2500</v>
      </c>
      <c r="H223" s="192"/>
      <c r="I223" s="153"/>
    </row>
    <row r="224" spans="1:42" ht="16.2" thickBot="1" x14ac:dyDescent="0.35">
      <c r="B224" s="228" t="s">
        <v>1360</v>
      </c>
      <c r="C224" s="101"/>
      <c r="D224" s="87" t="s">
        <v>1528</v>
      </c>
      <c r="E224" s="88" t="s">
        <v>1558</v>
      </c>
      <c r="F224" s="202">
        <v>1</v>
      </c>
      <c r="G224" s="147">
        <v>2500</v>
      </c>
      <c r="H224" s="194">
        <v>1</v>
      </c>
      <c r="I224" s="226">
        <f>ROUND((F224*G224*H224),0)</f>
        <v>2500</v>
      </c>
    </row>
    <row r="225" spans="1:10" s="38" customFormat="1" ht="26.4" x14ac:dyDescent="0.3">
      <c r="A225" s="73"/>
      <c r="B225" s="39" t="s">
        <v>1510</v>
      </c>
      <c r="C225" s="90"/>
      <c r="D225" s="89" t="s">
        <v>1511</v>
      </c>
      <c r="E225" s="90" t="s">
        <v>1562</v>
      </c>
      <c r="F225" s="199"/>
      <c r="G225" s="145">
        <f>ROUND(SUM(I225:I226),0)</f>
        <v>1887</v>
      </c>
      <c r="H225" s="195"/>
      <c r="I225" s="154"/>
      <c r="J225" s="37"/>
    </row>
    <row r="226" spans="1:10" s="71" customFormat="1" ht="13.8" thickBot="1" x14ac:dyDescent="0.35">
      <c r="A226" s="28"/>
      <c r="B226" s="56" t="s">
        <v>1360</v>
      </c>
      <c r="C226" s="100" t="s">
        <v>1381</v>
      </c>
      <c r="D226" s="85" t="str">
        <f>+VLOOKUP(C226,BD!$A$29:$E$877,2,0)</f>
        <v>Volqueta 7 m3</v>
      </c>
      <c r="E226" s="86" t="s">
        <v>1370</v>
      </c>
      <c r="F226" s="201">
        <v>1</v>
      </c>
      <c r="G226" s="142">
        <f>VLOOKUP(C226,BD!$A$29:$E$877,5,0)</f>
        <v>75485.290000000008</v>
      </c>
      <c r="H226" s="193">
        <v>2.5000000000000001E-2</v>
      </c>
      <c r="I226" s="148">
        <f>ROUND((F226*G226*H226),0)</f>
        <v>1887</v>
      </c>
      <c r="J226" s="24"/>
    </row>
    <row r="227" spans="1:10" s="38" customFormat="1" x14ac:dyDescent="0.3">
      <c r="A227" s="73"/>
      <c r="B227" s="46" t="s">
        <v>84</v>
      </c>
      <c r="C227" s="84"/>
      <c r="D227" s="83" t="s">
        <v>85</v>
      </c>
      <c r="E227" s="84" t="s">
        <v>25</v>
      </c>
      <c r="F227" s="203"/>
      <c r="G227" s="146">
        <f>ROUND(SUM(I227:I231),0)</f>
        <v>6971</v>
      </c>
      <c r="H227" s="192"/>
      <c r="I227" s="153"/>
      <c r="J227" s="24"/>
    </row>
    <row r="228" spans="1:10" s="38" customFormat="1" x14ac:dyDescent="0.3">
      <c r="A228" s="73"/>
      <c r="B228" s="806" t="s">
        <v>183</v>
      </c>
      <c r="C228" s="100" t="s">
        <v>212</v>
      </c>
      <c r="D228" s="85" t="str">
        <f>+VLOOKUP(C228,BD!$A$29:$E$877,2,0)</f>
        <v>Acero de Fy = 60.000 psi d&gt;1/4 puesto en obra</v>
      </c>
      <c r="E228" s="86" t="s">
        <v>25</v>
      </c>
      <c r="F228" s="201">
        <v>1</v>
      </c>
      <c r="G228" s="142">
        <f>VLOOKUP(C228,BD!$A$29:$E$877,5,0)</f>
        <v>5182.5147169811326</v>
      </c>
      <c r="H228" s="193">
        <v>1.03</v>
      </c>
      <c r="I228" s="148">
        <f>ROUND((F228*G228*H228),0)</f>
        <v>5338</v>
      </c>
      <c r="J228" s="24"/>
    </row>
    <row r="229" spans="1:10" s="38" customFormat="1" x14ac:dyDescent="0.3">
      <c r="A229" s="73"/>
      <c r="B229" s="806"/>
      <c r="C229" s="100" t="s">
        <v>258</v>
      </c>
      <c r="D229" s="85" t="str">
        <f>+VLOOKUP(C229,BD!$A$29:$E$877,2,0)</f>
        <v>Alambre negro calibre 18</v>
      </c>
      <c r="E229" s="86" t="s">
        <v>25</v>
      </c>
      <c r="F229" s="201">
        <v>0.06</v>
      </c>
      <c r="G229" s="142">
        <f>VLOOKUP(C229,BD!$A$29:$E$877,5,0)</f>
        <v>4494</v>
      </c>
      <c r="H229" s="193">
        <v>1.03</v>
      </c>
      <c r="I229" s="148">
        <f>ROUND((F229*G229*H229),0)</f>
        <v>278</v>
      </c>
      <c r="J229" s="24"/>
    </row>
    <row r="230" spans="1:10" s="38" customFormat="1" x14ac:dyDescent="0.3">
      <c r="A230" s="73"/>
      <c r="B230" s="49" t="s">
        <v>1502</v>
      </c>
      <c r="C230" s="100" t="s">
        <v>174</v>
      </c>
      <c r="D230" s="85" t="s">
        <v>135</v>
      </c>
      <c r="E230" s="86" t="s">
        <v>155</v>
      </c>
      <c r="F230" s="201">
        <v>1</v>
      </c>
      <c r="G230" s="142">
        <f>+VLOOKUP(D230,MO!$B$33:$F$79,5,0)</f>
        <v>165360</v>
      </c>
      <c r="H230" s="193">
        <f>0.0065*1.2</f>
        <v>7.7999999999999996E-3</v>
      </c>
      <c r="I230" s="148">
        <f>ROUND((F230*G230*H230),0)</f>
        <v>1290</v>
      </c>
      <c r="J230" s="24"/>
    </row>
    <row r="231" spans="1:10" s="38" customFormat="1" ht="13.8" thickBot="1" x14ac:dyDescent="0.35">
      <c r="A231" s="73"/>
      <c r="B231" s="228" t="s">
        <v>1360</v>
      </c>
      <c r="C231" s="101" t="s">
        <v>1364</v>
      </c>
      <c r="D231" s="87" t="s">
        <v>1509</v>
      </c>
      <c r="E231" s="88" t="s">
        <v>1363</v>
      </c>
      <c r="F231" s="202">
        <v>0.05</v>
      </c>
      <c r="G231" s="147">
        <f>I230</f>
        <v>1290</v>
      </c>
      <c r="H231" s="194">
        <v>0</v>
      </c>
      <c r="I231" s="226">
        <f>ROUND((F231*G231),0)</f>
        <v>65</v>
      </c>
      <c r="J231" s="24"/>
    </row>
    <row r="232" spans="1:10" s="10" customFormat="1" ht="15.6" x14ac:dyDescent="0.3">
      <c r="A232" s="24"/>
      <c r="B232" s="46" t="s">
        <v>1525</v>
      </c>
      <c r="C232" s="46"/>
      <c r="D232" s="78" t="s">
        <v>1526</v>
      </c>
      <c r="E232" s="46" t="s">
        <v>1514</v>
      </c>
      <c r="F232" s="207"/>
      <c r="G232" s="158">
        <f>ROUND(SUM(I232:I240),0)</f>
        <v>487087</v>
      </c>
      <c r="H232" s="192"/>
      <c r="I232" s="160"/>
      <c r="J232" s="24"/>
    </row>
    <row r="233" spans="1:10" s="38" customFormat="1" ht="26.4" x14ac:dyDescent="0.3">
      <c r="A233" s="73"/>
      <c r="B233" s="806" t="s">
        <v>183</v>
      </c>
      <c r="C233" s="21" t="s">
        <v>185</v>
      </c>
      <c r="D233" s="85" t="str">
        <f>+VLOOKUP(C233,BD!$A$29:$E$877,2,0)</f>
        <v>Cemento gris saco por 50 kilos, incluye cargue, descargue y transporte</v>
      </c>
      <c r="E233" s="50" t="s">
        <v>187</v>
      </c>
      <c r="F233" s="208">
        <v>6</v>
      </c>
      <c r="G233" s="142">
        <f>VLOOKUP(C233,BD!$A$29:$E$877,5,0)</f>
        <v>24610</v>
      </c>
      <c r="H233" s="193">
        <v>1.03</v>
      </c>
      <c r="I233" s="156">
        <f>ROUND((F233*G233*H233),0)</f>
        <v>152090</v>
      </c>
      <c r="J233" s="24"/>
    </row>
    <row r="234" spans="1:10" s="38" customFormat="1" ht="15.6" x14ac:dyDescent="0.3">
      <c r="A234" s="73"/>
      <c r="B234" s="806"/>
      <c r="C234" s="21" t="s">
        <v>284</v>
      </c>
      <c r="D234" s="85" t="str">
        <f>+VLOOKUP(C234,BD!$A$29:$E$877,2,0)</f>
        <v xml:space="preserve">Arena </v>
      </c>
      <c r="E234" s="50" t="s">
        <v>1507</v>
      </c>
      <c r="F234" s="208">
        <v>0.55000000000000004</v>
      </c>
      <c r="G234" s="142">
        <f>VLOOKUP(C234,BD!$A$29:$E$877,5,0)</f>
        <v>64200.000000000007</v>
      </c>
      <c r="H234" s="193">
        <v>1.03</v>
      </c>
      <c r="I234" s="156">
        <f>ROUND((F234*G234*H234),0)</f>
        <v>36369</v>
      </c>
      <c r="J234" s="161"/>
    </row>
    <row r="235" spans="1:10" s="38" customFormat="1" ht="15.6" x14ac:dyDescent="0.3">
      <c r="A235" s="73"/>
      <c r="B235" s="806"/>
      <c r="C235" s="21" t="s">
        <v>1168</v>
      </c>
      <c r="D235" s="85" t="str">
        <f>+VLOOKUP(C235,BD!$A$29:$E$877,2,0)</f>
        <v xml:space="preserve">Triturado </v>
      </c>
      <c r="E235" s="50" t="s">
        <v>1507</v>
      </c>
      <c r="F235" s="208">
        <v>0.95</v>
      </c>
      <c r="G235" s="142">
        <f>VLOOKUP(C235,BD!$A$29:$E$877,5,0)</f>
        <v>69550</v>
      </c>
      <c r="H235" s="193">
        <v>1.03</v>
      </c>
      <c r="I235" s="156">
        <f>ROUND((F235*G235*H235),0)</f>
        <v>68055</v>
      </c>
      <c r="J235" s="24"/>
    </row>
    <row r="236" spans="1:10" s="38" customFormat="1" x14ac:dyDescent="0.3">
      <c r="A236" s="73"/>
      <c r="B236" s="806"/>
      <c r="C236" s="21" t="s">
        <v>251</v>
      </c>
      <c r="D236" s="85" t="str">
        <f>+VLOOKUP(C236,BD!$A$29:$E$877,2,0)</f>
        <v xml:space="preserve">Agua </v>
      </c>
      <c r="E236" s="50" t="s">
        <v>253</v>
      </c>
      <c r="F236" s="208">
        <v>170</v>
      </c>
      <c r="G236" s="142">
        <f>VLOOKUP(C236,BD!$A$29:$E$877,5,0)</f>
        <v>12.84</v>
      </c>
      <c r="H236" s="193">
        <v>1.03</v>
      </c>
      <c r="I236" s="156">
        <f>ROUND((F236*G236*H236),0)</f>
        <v>2248</v>
      </c>
      <c r="J236" s="24"/>
    </row>
    <row r="237" spans="1:10" s="38" customFormat="1" x14ac:dyDescent="0.3">
      <c r="A237" s="73"/>
      <c r="B237" s="49" t="s">
        <v>1502</v>
      </c>
      <c r="C237" s="21" t="s">
        <v>172</v>
      </c>
      <c r="D237" s="23" t="s">
        <v>140</v>
      </c>
      <c r="E237" s="50" t="s">
        <v>155</v>
      </c>
      <c r="F237" s="208">
        <v>1</v>
      </c>
      <c r="G237" s="151">
        <v>661896</v>
      </c>
      <c r="H237" s="193">
        <f>1/8*1.2</f>
        <v>0.15</v>
      </c>
      <c r="I237" s="156">
        <f>ROUND((F237*G237*H237),0)</f>
        <v>99284</v>
      </c>
      <c r="J237" s="37"/>
    </row>
    <row r="238" spans="1:10" s="38" customFormat="1" x14ac:dyDescent="0.3">
      <c r="A238" s="73"/>
      <c r="B238" s="808" t="s">
        <v>1360</v>
      </c>
      <c r="C238" s="21" t="s">
        <v>1364</v>
      </c>
      <c r="D238" s="23" t="s">
        <v>1509</v>
      </c>
      <c r="E238" s="50" t="s">
        <v>1363</v>
      </c>
      <c r="F238" s="208">
        <v>0.1</v>
      </c>
      <c r="G238" s="156">
        <f>I237</f>
        <v>99284</v>
      </c>
      <c r="H238" s="193">
        <v>0</v>
      </c>
      <c r="I238" s="156">
        <f>ROUND((F238*G238),0)</f>
        <v>9928</v>
      </c>
      <c r="J238" s="24"/>
    </row>
    <row r="239" spans="1:10" s="38" customFormat="1" ht="15.6" x14ac:dyDescent="0.3">
      <c r="A239" s="73"/>
      <c r="B239" s="808"/>
      <c r="C239" s="21" t="s">
        <v>1381</v>
      </c>
      <c r="D239" s="85" t="str">
        <f>+VLOOKUP(C239,BD!$A$29:$E$877,2,0)</f>
        <v>Volqueta 7 m3</v>
      </c>
      <c r="E239" s="42" t="s">
        <v>1518</v>
      </c>
      <c r="F239" s="209">
        <v>1</v>
      </c>
      <c r="G239" s="142">
        <f>VLOOKUP(C239,BD!$A$29:$E$877,5,0)</f>
        <v>75485.290000000008</v>
      </c>
      <c r="H239" s="193">
        <f>F234+F235</f>
        <v>1.5</v>
      </c>
      <c r="I239" s="156">
        <f>ROUND((F239*G239*H239),0)</f>
        <v>113228</v>
      </c>
      <c r="J239" s="24"/>
    </row>
    <row r="240" spans="1:10" s="38" customFormat="1" ht="13.8" thickBot="1" x14ac:dyDescent="0.35">
      <c r="A240" s="73"/>
      <c r="B240" s="809"/>
      <c r="C240" s="43" t="s">
        <v>1366</v>
      </c>
      <c r="D240" s="87" t="str">
        <f>+VLOOKUP(C240,BD!$A$29:$E$877,2,0)</f>
        <v>Concretadora gasolina 1 o 1 1/2 sacos</v>
      </c>
      <c r="E240" s="45" t="s">
        <v>155</v>
      </c>
      <c r="F240" s="205">
        <v>1</v>
      </c>
      <c r="G240" s="143">
        <f>VLOOKUP(C240,BD!$A$29:$E$877,5,0)</f>
        <v>58850</v>
      </c>
      <c r="H240" s="194">
        <f>1/10</f>
        <v>0.1</v>
      </c>
      <c r="I240" s="227">
        <f>ROUND((F240*G240*H240),0)</f>
        <v>5885</v>
      </c>
      <c r="J240" s="24"/>
    </row>
    <row r="241" spans="1:11" s="10" customFormat="1" ht="15.6" x14ac:dyDescent="0.3">
      <c r="A241" s="24"/>
      <c r="B241" s="46" t="s">
        <v>1523</v>
      </c>
      <c r="C241" s="84"/>
      <c r="D241" s="83" t="s">
        <v>1527</v>
      </c>
      <c r="E241" s="84" t="s">
        <v>1557</v>
      </c>
      <c r="F241" s="200"/>
      <c r="G241" s="146">
        <f>ROUND(SUM(I241:I249),0)</f>
        <v>568922</v>
      </c>
      <c r="H241" s="192"/>
      <c r="I241" s="153"/>
      <c r="J241" s="24"/>
    </row>
    <row r="242" spans="1:11" s="38" customFormat="1" ht="26.4" x14ac:dyDescent="0.3">
      <c r="A242" s="73"/>
      <c r="B242" s="806" t="s">
        <v>183</v>
      </c>
      <c r="C242" s="100" t="s">
        <v>185</v>
      </c>
      <c r="D242" s="85" t="str">
        <f>+VLOOKUP(C242,BD!$A$29:$E$877,2,0)</f>
        <v>Cemento gris saco por 50 kilos, incluye cargue, descargue y transporte</v>
      </c>
      <c r="E242" s="86" t="s">
        <v>187</v>
      </c>
      <c r="F242" s="201">
        <v>7</v>
      </c>
      <c r="G242" s="142">
        <f>VLOOKUP(C242,BD!$A$29:$E$877,5,0)</f>
        <v>24610</v>
      </c>
      <c r="H242" s="193">
        <v>1.03</v>
      </c>
      <c r="I242" s="148">
        <f>ROUND((F242*G242*H242),0)</f>
        <v>177438</v>
      </c>
      <c r="J242" s="24"/>
    </row>
    <row r="243" spans="1:11" s="38" customFormat="1" ht="15.6" x14ac:dyDescent="0.3">
      <c r="A243" s="73"/>
      <c r="B243" s="806"/>
      <c r="C243" s="100" t="s">
        <v>284</v>
      </c>
      <c r="D243" s="85" t="str">
        <f>+VLOOKUP(C243,BD!$A$29:$E$877,2,0)</f>
        <v xml:space="preserve">Arena </v>
      </c>
      <c r="E243" s="86" t="s">
        <v>1559</v>
      </c>
      <c r="F243" s="201">
        <v>0.75</v>
      </c>
      <c r="G243" s="142">
        <f>VLOOKUP(C243,BD!$A$29:$E$877,5,0)</f>
        <v>64200.000000000007</v>
      </c>
      <c r="H243" s="193">
        <v>1.03</v>
      </c>
      <c r="I243" s="148">
        <f>ROUND((F243*G243*H243),0)</f>
        <v>49595</v>
      </c>
      <c r="J243" s="24"/>
    </row>
    <row r="244" spans="1:11" s="38" customFormat="1" ht="15.6" x14ac:dyDescent="0.3">
      <c r="A244" s="73"/>
      <c r="B244" s="806"/>
      <c r="C244" s="100" t="s">
        <v>1168</v>
      </c>
      <c r="D244" s="85" t="str">
        <f>+VLOOKUP(C244,BD!$A$29:$E$877,2,0)</f>
        <v xml:space="preserve">Triturado </v>
      </c>
      <c r="E244" s="86" t="s">
        <v>1559</v>
      </c>
      <c r="F244" s="201">
        <v>1.3</v>
      </c>
      <c r="G244" s="142">
        <f>VLOOKUP(C244,BD!$A$29:$E$877,5,0)</f>
        <v>69550</v>
      </c>
      <c r="H244" s="193">
        <v>1.03</v>
      </c>
      <c r="I244" s="148">
        <f>ROUND((F244*G244*H244),0)</f>
        <v>93127</v>
      </c>
      <c r="J244" s="24"/>
    </row>
    <row r="245" spans="1:11" s="38" customFormat="1" x14ac:dyDescent="0.3">
      <c r="A245" s="73"/>
      <c r="B245" s="806"/>
      <c r="C245" s="100" t="s">
        <v>251</v>
      </c>
      <c r="D245" s="85" t="str">
        <f>+VLOOKUP(C245,BD!$A$29:$E$877,2,0)</f>
        <v xml:space="preserve">Agua </v>
      </c>
      <c r="E245" s="86" t="s">
        <v>253</v>
      </c>
      <c r="F245" s="201">
        <v>180</v>
      </c>
      <c r="G245" s="142">
        <f>VLOOKUP(C245,BD!$A$29:$E$877,5,0)</f>
        <v>12.84</v>
      </c>
      <c r="H245" s="193">
        <v>1.03</v>
      </c>
      <c r="I245" s="148">
        <f>ROUND((F245*G245*H245),0)</f>
        <v>2381</v>
      </c>
      <c r="J245" s="24"/>
    </row>
    <row r="246" spans="1:11" s="38" customFormat="1" x14ac:dyDescent="0.3">
      <c r="A246" s="73"/>
      <c r="B246" s="49" t="s">
        <v>1502</v>
      </c>
      <c r="C246" s="100" t="s">
        <v>172</v>
      </c>
      <c r="D246" s="85" t="s">
        <v>140</v>
      </c>
      <c r="E246" s="86" t="s">
        <v>155</v>
      </c>
      <c r="F246" s="201">
        <v>1</v>
      </c>
      <c r="G246" s="142">
        <f>+VLOOKUP(D246,MO!$B$33:$F$79,5,0)</f>
        <v>519702</v>
      </c>
      <c r="H246" s="193">
        <f>1/8*1.2</f>
        <v>0.15</v>
      </c>
      <c r="I246" s="148">
        <f>ROUND((F246*G246*H246),0)</f>
        <v>77955</v>
      </c>
      <c r="J246" s="24"/>
    </row>
    <row r="247" spans="1:11" s="38" customFormat="1" x14ac:dyDescent="0.3">
      <c r="A247" s="73"/>
      <c r="B247" s="808" t="s">
        <v>1360</v>
      </c>
      <c r="C247" s="100" t="s">
        <v>1364</v>
      </c>
      <c r="D247" s="85" t="s">
        <v>1509</v>
      </c>
      <c r="E247" s="86" t="s">
        <v>1363</v>
      </c>
      <c r="F247" s="201">
        <v>0.1</v>
      </c>
      <c r="G247" s="148">
        <f>I246</f>
        <v>77955</v>
      </c>
      <c r="H247" s="193">
        <v>0</v>
      </c>
      <c r="I247" s="148">
        <f>ROUND((F247*G247),0)</f>
        <v>7796</v>
      </c>
      <c r="J247" s="24"/>
    </row>
    <row r="248" spans="1:11" s="38" customFormat="1" ht="15.6" x14ac:dyDescent="0.3">
      <c r="A248" s="73"/>
      <c r="B248" s="808"/>
      <c r="C248" s="100" t="s">
        <v>1381</v>
      </c>
      <c r="D248" s="85" t="str">
        <f>+VLOOKUP(C248,BD!$A$29:$E$877,2,0)</f>
        <v>Volqueta 7 m3</v>
      </c>
      <c r="E248" s="93" t="s">
        <v>1563</v>
      </c>
      <c r="F248" s="206">
        <v>1</v>
      </c>
      <c r="G248" s="142">
        <f>VLOOKUP(C248,BD!$A$29:$E$877,5,0)</f>
        <v>75485.290000000008</v>
      </c>
      <c r="H248" s="193">
        <f>F243+F244</f>
        <v>2.0499999999999998</v>
      </c>
      <c r="I248" s="148">
        <f>ROUND((F248*G248*H248),0)</f>
        <v>154745</v>
      </c>
      <c r="J248" s="24"/>
    </row>
    <row r="249" spans="1:11" s="38" customFormat="1" ht="13.8" thickBot="1" x14ac:dyDescent="0.35">
      <c r="A249" s="73"/>
      <c r="B249" s="809"/>
      <c r="C249" s="101" t="s">
        <v>1366</v>
      </c>
      <c r="D249" s="87" t="str">
        <f>+VLOOKUP(C249,BD!$A$29:$E$877,2,0)</f>
        <v>Concretadora gasolina 1 o 1 1/2 sacos</v>
      </c>
      <c r="E249" s="88" t="s">
        <v>155</v>
      </c>
      <c r="F249" s="202">
        <v>1</v>
      </c>
      <c r="G249" s="143">
        <f>VLOOKUP(C249,BD!$A$29:$E$877,5,0)</f>
        <v>58850</v>
      </c>
      <c r="H249" s="194">
        <f>1/10</f>
        <v>0.1</v>
      </c>
      <c r="I249" s="226">
        <f>ROUND((F249*G249*H249),0)</f>
        <v>5885</v>
      </c>
      <c r="J249" s="24"/>
    </row>
    <row r="250" spans="1:11" s="170" customFormat="1" ht="26.4" x14ac:dyDescent="0.3">
      <c r="A250" s="58"/>
      <c r="B250" s="16" t="s">
        <v>45</v>
      </c>
      <c r="C250" s="39"/>
      <c r="D250" s="40" t="s">
        <v>46</v>
      </c>
      <c r="E250" s="39" t="s">
        <v>32</v>
      </c>
      <c r="F250" s="210"/>
      <c r="G250" s="149">
        <f>ROUND(SUM(I250:I254),0)</f>
        <v>8522</v>
      </c>
      <c r="H250" s="195"/>
      <c r="I250" s="155"/>
      <c r="J250" s="140"/>
      <c r="K250" s="35"/>
    </row>
    <row r="251" spans="1:11" s="170" customFormat="1" x14ac:dyDescent="0.3">
      <c r="A251" s="58"/>
      <c r="B251" s="806" t="s">
        <v>183</v>
      </c>
      <c r="C251" s="14" t="s">
        <v>1033</v>
      </c>
      <c r="D251" s="85" t="str">
        <f>+VLOOKUP(C251,BD!$A$29:$E$877,2,0)</f>
        <v>Señalizador tubular de 1 m (2 líneas de cinta)</v>
      </c>
      <c r="E251" s="19" t="s">
        <v>26</v>
      </c>
      <c r="F251" s="65">
        <v>0.62</v>
      </c>
      <c r="G251" s="142">
        <f>VLOOKUP(C251,BD!$A$29:$E$877,5,0)</f>
        <v>37450</v>
      </c>
      <c r="H251" s="395">
        <f>1/6</f>
        <v>0.16666666666666666</v>
      </c>
      <c r="I251" s="156">
        <f>ROUND((F251*G251*H251),0)</f>
        <v>3870</v>
      </c>
      <c r="J251" s="13"/>
      <c r="K251" s="35"/>
    </row>
    <row r="252" spans="1:11" s="170" customFormat="1" x14ac:dyDescent="0.3">
      <c r="A252" s="58"/>
      <c r="B252" s="806"/>
      <c r="C252" s="14" t="s">
        <v>1130</v>
      </c>
      <c r="D252" s="85" t="str">
        <f>+VLOOKUP(C252,BD!$A$29:$E$877,2,0)</f>
        <v>Tela de cerramiento a = 2,10 m (rollo por 100 m)</v>
      </c>
      <c r="E252" s="19" t="s">
        <v>39</v>
      </c>
      <c r="F252" s="65">
        <v>2</v>
      </c>
      <c r="G252" s="142">
        <f>VLOOKUP(C252,BD!$A$29:$E$877,5,0)</f>
        <v>1819</v>
      </c>
      <c r="H252" s="395">
        <v>1.1000000000000001</v>
      </c>
      <c r="I252" s="156">
        <f>ROUND((F252*G252*H252),0)</f>
        <v>4002</v>
      </c>
      <c r="J252" s="13"/>
      <c r="K252" s="35"/>
    </row>
    <row r="253" spans="1:11" s="63" customFormat="1" x14ac:dyDescent="0.3">
      <c r="A253" s="74"/>
      <c r="B253" s="49" t="s">
        <v>1502</v>
      </c>
      <c r="C253" s="14" t="s">
        <v>156</v>
      </c>
      <c r="D253" s="15" t="s">
        <v>157</v>
      </c>
      <c r="E253" s="19" t="s">
        <v>155</v>
      </c>
      <c r="F253" s="65">
        <v>1</v>
      </c>
      <c r="G253" s="142">
        <f>+VLOOKUP(D253,MO!$B$33:$F$79,5,0)</f>
        <v>59057</v>
      </c>
      <c r="H253" s="395">
        <f>1/100</f>
        <v>0.01</v>
      </c>
      <c r="I253" s="156">
        <f>ROUND((F253*G253*H253),0)</f>
        <v>591</v>
      </c>
      <c r="J253" s="13"/>
      <c r="K253" s="34"/>
    </row>
    <row r="254" spans="1:11" s="170" customFormat="1" ht="13.8" thickBot="1" x14ac:dyDescent="0.35">
      <c r="A254" s="58"/>
      <c r="B254" s="56" t="s">
        <v>1360</v>
      </c>
      <c r="C254" s="43" t="s">
        <v>1364</v>
      </c>
      <c r="D254" s="44" t="s">
        <v>1509</v>
      </c>
      <c r="E254" s="45" t="s">
        <v>1363</v>
      </c>
      <c r="F254" s="205">
        <v>0.1</v>
      </c>
      <c r="G254" s="150">
        <f>I253</f>
        <v>591</v>
      </c>
      <c r="H254" s="194">
        <v>0</v>
      </c>
      <c r="I254" s="227">
        <f>ROUND((F254*G254),0)</f>
        <v>59</v>
      </c>
      <c r="J254" s="140"/>
      <c r="K254" s="35"/>
    </row>
    <row r="255" spans="1:11" s="170" customFormat="1" ht="39" customHeight="1" x14ac:dyDescent="0.3">
      <c r="A255" s="58"/>
      <c r="B255" s="163" t="s">
        <v>41</v>
      </c>
      <c r="C255" s="53"/>
      <c r="D255" s="54" t="s">
        <v>1723</v>
      </c>
      <c r="E255" s="53" t="s">
        <v>1503</v>
      </c>
      <c r="F255" s="210"/>
      <c r="G255" s="149">
        <f>ROUND(SUM(I255:I259),0)</f>
        <v>143497</v>
      </c>
      <c r="H255" s="195"/>
      <c r="I255" s="157"/>
      <c r="J255" s="13"/>
      <c r="K255" s="35"/>
    </row>
    <row r="256" spans="1:11" s="170" customFormat="1" ht="26.4" x14ac:dyDescent="0.3">
      <c r="A256" s="58"/>
      <c r="B256" s="826" t="s">
        <v>1504</v>
      </c>
      <c r="C256" s="53" t="s">
        <v>1510</v>
      </c>
      <c r="D256" s="15" t="str">
        <f>+VLOOKUP(C256,$B$5:$G$501,3,0)</f>
        <v>Transporte material (corte, sub-base, base, afirmado, Petreos, arenas, etc)</v>
      </c>
      <c r="E256" s="42" t="s">
        <v>1518</v>
      </c>
      <c r="F256" s="208">
        <v>65.599999999999994</v>
      </c>
      <c r="G256" s="151">
        <f>+VLOOKUP(C256,$B$5:$G$501,6,0)</f>
        <v>1887</v>
      </c>
      <c r="H256" s="193">
        <v>0</v>
      </c>
      <c r="I256" s="156">
        <f>ROUND((F256*G256),0)</f>
        <v>123787</v>
      </c>
      <c r="J256" s="13"/>
      <c r="K256" s="35"/>
    </row>
    <row r="257" spans="1:14" s="170" customFormat="1" ht="15.6" x14ac:dyDescent="0.3">
      <c r="A257" s="58"/>
      <c r="B257" s="826"/>
      <c r="C257" s="14" t="s">
        <v>1505</v>
      </c>
      <c r="D257" s="15" t="str">
        <f>+VLOOKUP(C257,$B$5:$G$501,3,0)</f>
        <v>Disposición en botadero</v>
      </c>
      <c r="E257" s="42" t="s">
        <v>1507</v>
      </c>
      <c r="F257" s="65">
        <v>1</v>
      </c>
      <c r="G257" s="151">
        <f>+VLOOKUP(C257,$B$5:$G$501,6,0)</f>
        <v>2500</v>
      </c>
      <c r="H257" s="395">
        <v>1</v>
      </c>
      <c r="I257" s="156">
        <f>ROUND((F257*G257*H257),0)</f>
        <v>2500</v>
      </c>
      <c r="J257" s="13"/>
      <c r="K257" s="35"/>
    </row>
    <row r="258" spans="1:14" s="170" customFormat="1" x14ac:dyDescent="0.3">
      <c r="A258" s="58"/>
      <c r="B258" s="49" t="s">
        <v>1502</v>
      </c>
      <c r="C258" s="14" t="s">
        <v>177</v>
      </c>
      <c r="D258" s="15" t="s">
        <v>143</v>
      </c>
      <c r="E258" s="19" t="s">
        <v>155</v>
      </c>
      <c r="F258" s="65">
        <v>1</v>
      </c>
      <c r="G258" s="142">
        <f>+VLOOKUP(D258,MO!$B$33:$F$79,5,0)</f>
        <v>236228</v>
      </c>
      <c r="H258" s="395">
        <f>1/14</f>
        <v>7.1428571428571425E-2</v>
      </c>
      <c r="I258" s="156">
        <f>ROUND((F258*G258*H258),0)</f>
        <v>16873</v>
      </c>
      <c r="J258" s="13"/>
      <c r="K258" s="35"/>
    </row>
    <row r="259" spans="1:14" s="170" customFormat="1" ht="13.8" thickBot="1" x14ac:dyDescent="0.35">
      <c r="A259" s="58"/>
      <c r="B259" s="228" t="s">
        <v>1360</v>
      </c>
      <c r="C259" s="43" t="s">
        <v>1364</v>
      </c>
      <c r="D259" s="219" t="s">
        <v>1509</v>
      </c>
      <c r="E259" s="45" t="s">
        <v>1363</v>
      </c>
      <c r="F259" s="205">
        <v>0.02</v>
      </c>
      <c r="G259" s="150">
        <f>I258</f>
        <v>16873</v>
      </c>
      <c r="H259" s="194">
        <v>0</v>
      </c>
      <c r="I259" s="227">
        <f>ROUND((F259*G259),0)</f>
        <v>337</v>
      </c>
      <c r="J259" s="13"/>
      <c r="K259" s="35"/>
    </row>
    <row r="260" spans="1:14" s="170" customFormat="1" ht="14.4" customHeight="1" x14ac:dyDescent="0.3">
      <c r="A260" s="58"/>
      <c r="B260" s="337" t="s">
        <v>1709</v>
      </c>
      <c r="C260" s="344"/>
      <c r="D260" s="343" t="s">
        <v>1708</v>
      </c>
      <c r="E260" s="344" t="s">
        <v>32</v>
      </c>
      <c r="F260" s="345"/>
      <c r="G260" s="346">
        <f>ROUND(SUM(I261:I264),0)</f>
        <v>6719</v>
      </c>
      <c r="H260" s="95"/>
      <c r="I260" s="347"/>
      <c r="J260" s="13"/>
      <c r="K260" s="35"/>
    </row>
    <row r="261" spans="1:14" s="170" customFormat="1" x14ac:dyDescent="0.3">
      <c r="A261" s="58"/>
      <c r="B261" s="804" t="s">
        <v>150</v>
      </c>
      <c r="C261" s="188" t="s">
        <v>174</v>
      </c>
      <c r="D261" s="349" t="s">
        <v>135</v>
      </c>
      <c r="E261" s="81" t="s">
        <v>155</v>
      </c>
      <c r="F261" s="51">
        <v>1</v>
      </c>
      <c r="G261" s="142">
        <f>+VLOOKUP(D261,MO!$B$33:$F$79,5,0)</f>
        <v>165360</v>
      </c>
      <c r="H261" s="96">
        <f>1/32</f>
        <v>3.125E-2</v>
      </c>
      <c r="I261" s="350">
        <f>ROUND((F261*G261*H261),0)</f>
        <v>5168</v>
      </c>
      <c r="J261" s="13"/>
      <c r="K261" s="35"/>
    </row>
    <row r="262" spans="1:14" s="170" customFormat="1" x14ac:dyDescent="0.3">
      <c r="A262" s="58"/>
      <c r="B262" s="804"/>
      <c r="C262" s="188" t="s">
        <v>166</v>
      </c>
      <c r="D262" s="349" t="s">
        <v>1512</v>
      </c>
      <c r="E262" s="81" t="s">
        <v>1363</v>
      </c>
      <c r="F262" s="51">
        <v>0.1</v>
      </c>
      <c r="G262" s="351">
        <f>I261</f>
        <v>5168</v>
      </c>
      <c r="H262" s="96">
        <v>0</v>
      </c>
      <c r="I262" s="350">
        <f>ROUND((F262*G262),0)</f>
        <v>517</v>
      </c>
      <c r="J262" s="13"/>
      <c r="K262" s="35"/>
    </row>
    <row r="263" spans="1:14" s="170" customFormat="1" x14ac:dyDescent="0.3">
      <c r="A263" s="58"/>
      <c r="B263" s="811" t="s">
        <v>1360</v>
      </c>
      <c r="C263" s="188" t="s">
        <v>1364</v>
      </c>
      <c r="D263" s="349" t="s">
        <v>1509</v>
      </c>
      <c r="E263" s="81" t="s">
        <v>1363</v>
      </c>
      <c r="F263" s="51">
        <v>0.1</v>
      </c>
      <c r="G263" s="351">
        <f>I261</f>
        <v>5168</v>
      </c>
      <c r="H263" s="96">
        <v>0</v>
      </c>
      <c r="I263" s="350">
        <f>ROUND((F263*G263),0)</f>
        <v>517</v>
      </c>
      <c r="J263" s="13"/>
      <c r="K263" s="35"/>
    </row>
    <row r="264" spans="1:14" s="170" customFormat="1" ht="13.8" thickBot="1" x14ac:dyDescent="0.35">
      <c r="A264" s="58"/>
      <c r="B264" s="812"/>
      <c r="C264" s="358" t="s">
        <v>1420</v>
      </c>
      <c r="D264" s="353" t="s">
        <v>1421</v>
      </c>
      <c r="E264" s="354" t="s">
        <v>1363</v>
      </c>
      <c r="F264" s="355">
        <v>0.1</v>
      </c>
      <c r="G264" s="356">
        <f>I261</f>
        <v>5168</v>
      </c>
      <c r="H264" s="396">
        <v>0</v>
      </c>
      <c r="I264" s="357">
        <f>ROUND((F264*G264),0)</f>
        <v>517</v>
      </c>
      <c r="J264" s="13"/>
      <c r="K264" s="35"/>
    </row>
    <row r="265" spans="1:14" s="170" customFormat="1" x14ac:dyDescent="0.3">
      <c r="A265" s="58"/>
      <c r="B265" s="360" t="s">
        <v>1724</v>
      </c>
      <c r="C265" s="361"/>
      <c r="D265" s="362" t="s">
        <v>1725</v>
      </c>
      <c r="E265" s="344" t="s">
        <v>42</v>
      </c>
      <c r="F265" s="345"/>
      <c r="G265" s="363">
        <f>ROUND(SUM(I265:I268),0)</f>
        <v>28773</v>
      </c>
      <c r="H265" s="95"/>
      <c r="I265" s="347"/>
      <c r="J265" s="13"/>
      <c r="K265" s="35"/>
    </row>
    <row r="266" spans="1:14" s="170" customFormat="1" x14ac:dyDescent="0.3">
      <c r="A266" s="58"/>
      <c r="B266" s="804" t="s">
        <v>1726</v>
      </c>
      <c r="C266" s="348" t="s">
        <v>160</v>
      </c>
      <c r="D266" s="364" t="s">
        <v>137</v>
      </c>
      <c r="E266" s="81" t="s">
        <v>155</v>
      </c>
      <c r="F266" s="51">
        <v>1</v>
      </c>
      <c r="G266" s="142">
        <f>+VLOOKUP(D266,MO!$B$33:$F$79,5,0)</f>
        <v>342531</v>
      </c>
      <c r="H266" s="398">
        <v>7.0000000000000007E-2</v>
      </c>
      <c r="I266" s="350">
        <f>ROUND((F266*G266*H266),0)</f>
        <v>23977</v>
      </c>
      <c r="J266" s="13"/>
      <c r="K266" s="35"/>
    </row>
    <row r="267" spans="1:14" s="170" customFormat="1" x14ac:dyDescent="0.3">
      <c r="A267" s="58"/>
      <c r="B267" s="804"/>
      <c r="C267" s="348" t="s">
        <v>166</v>
      </c>
      <c r="D267" s="364" t="s">
        <v>1512</v>
      </c>
      <c r="E267" s="81" t="s">
        <v>1363</v>
      </c>
      <c r="F267" s="51">
        <v>0.1</v>
      </c>
      <c r="G267" s="365">
        <f>I266</f>
        <v>23977</v>
      </c>
      <c r="H267" s="96">
        <v>0</v>
      </c>
      <c r="I267" s="350">
        <f>ROUND((F267*G267),0)</f>
        <v>2398</v>
      </c>
      <c r="J267" s="13"/>
      <c r="K267" s="35"/>
    </row>
    <row r="268" spans="1:14" s="170" customFormat="1" ht="13.8" thickBot="1" x14ac:dyDescent="0.35">
      <c r="A268" s="58"/>
      <c r="B268" s="366" t="s">
        <v>1360</v>
      </c>
      <c r="C268" s="352" t="s">
        <v>1364</v>
      </c>
      <c r="D268" s="367" t="s">
        <v>1509</v>
      </c>
      <c r="E268" s="354" t="s">
        <v>1363</v>
      </c>
      <c r="F268" s="355">
        <v>0.1</v>
      </c>
      <c r="G268" s="368">
        <f>I266</f>
        <v>23977</v>
      </c>
      <c r="H268" s="396">
        <v>0</v>
      </c>
      <c r="I268" s="357">
        <f>ROUND((F268*G268),0)</f>
        <v>2398</v>
      </c>
      <c r="J268" s="13"/>
      <c r="K268" s="35"/>
    </row>
    <row r="269" spans="1:14" s="170" customFormat="1" ht="15.6" x14ac:dyDescent="0.3">
      <c r="A269" s="58"/>
      <c r="B269" s="16" t="s">
        <v>50</v>
      </c>
      <c r="C269" s="39"/>
      <c r="D269" s="40" t="s">
        <v>51</v>
      </c>
      <c r="E269" s="39" t="s">
        <v>1514</v>
      </c>
      <c r="F269" s="210"/>
      <c r="G269" s="149">
        <f>ROUND(SUM(I269:I272),0)</f>
        <v>51380</v>
      </c>
      <c r="H269" s="195"/>
      <c r="I269" s="155"/>
      <c r="J269" s="13"/>
      <c r="K269" s="35"/>
    </row>
    <row r="270" spans="1:14" s="170" customFormat="1" x14ac:dyDescent="0.3">
      <c r="A270" s="58"/>
      <c r="B270" s="820" t="s">
        <v>1502</v>
      </c>
      <c r="C270" s="14" t="s">
        <v>160</v>
      </c>
      <c r="D270" s="15" t="s">
        <v>137</v>
      </c>
      <c r="E270" s="19" t="s">
        <v>155</v>
      </c>
      <c r="F270" s="65">
        <v>1</v>
      </c>
      <c r="G270" s="142">
        <f>+VLOOKUP(D270,MO!$B$33:$F$79,5,0)</f>
        <v>342531</v>
      </c>
      <c r="H270" s="395">
        <f>1/8</f>
        <v>0.125</v>
      </c>
      <c r="I270" s="156">
        <f>ROUND((F270*G270*H270),0)</f>
        <v>42816</v>
      </c>
      <c r="J270" s="13"/>
      <c r="K270" s="34"/>
      <c r="L270" s="60"/>
      <c r="M270" s="60"/>
      <c r="N270" s="60"/>
    </row>
    <row r="271" spans="1:14" s="170" customFormat="1" x14ac:dyDescent="0.3">
      <c r="A271" s="58"/>
      <c r="B271" s="820"/>
      <c r="C271" s="14" t="s">
        <v>166</v>
      </c>
      <c r="D271" s="15" t="s">
        <v>1512</v>
      </c>
      <c r="E271" s="19" t="s">
        <v>1363</v>
      </c>
      <c r="F271" s="65">
        <v>0.1</v>
      </c>
      <c r="G271" s="151">
        <f>I270</f>
        <v>42816</v>
      </c>
      <c r="H271" s="395">
        <v>0</v>
      </c>
      <c r="I271" s="156">
        <f>ROUND((F271*G271),0)</f>
        <v>4282</v>
      </c>
      <c r="J271" s="13"/>
      <c r="K271" s="35"/>
    </row>
    <row r="272" spans="1:14" s="170" customFormat="1" ht="13.8" thickBot="1" x14ac:dyDescent="0.35">
      <c r="A272" s="58"/>
      <c r="B272" s="56" t="s">
        <v>1360</v>
      </c>
      <c r="C272" s="21" t="s">
        <v>1364</v>
      </c>
      <c r="D272" s="23" t="s">
        <v>1509</v>
      </c>
      <c r="E272" s="50" t="s">
        <v>1363</v>
      </c>
      <c r="F272" s="208">
        <v>0.1</v>
      </c>
      <c r="G272" s="151">
        <f>I270</f>
        <v>42816</v>
      </c>
      <c r="H272" s="193">
        <v>0</v>
      </c>
      <c r="I272" s="156">
        <f>ROUND((F272*G272),0)</f>
        <v>4282</v>
      </c>
      <c r="J272" s="13"/>
      <c r="K272" s="35"/>
    </row>
    <row r="273" spans="1:14" s="435" customFormat="1" ht="15.6" x14ac:dyDescent="0.3">
      <c r="B273" s="463" t="s">
        <v>1794</v>
      </c>
      <c r="C273" s="464"/>
      <c r="D273" s="465" t="s">
        <v>1795</v>
      </c>
      <c r="E273" s="464" t="s">
        <v>1796</v>
      </c>
      <c r="F273" s="466"/>
      <c r="G273" s="467">
        <f>ROUND(SUM(I273:I277),0)</f>
        <v>52236</v>
      </c>
      <c r="H273" s="468"/>
      <c r="I273" s="469"/>
      <c r="J273" s="443"/>
      <c r="K273" s="444"/>
    </row>
    <row r="274" spans="1:14" s="435" customFormat="1" ht="26.4" x14ac:dyDescent="0.3">
      <c r="B274" s="470" t="s">
        <v>150</v>
      </c>
      <c r="C274" s="471" t="s">
        <v>160</v>
      </c>
      <c r="D274" s="472" t="s">
        <v>137</v>
      </c>
      <c r="E274" s="473" t="s">
        <v>155</v>
      </c>
      <c r="F274" s="474">
        <v>1</v>
      </c>
      <c r="G274" s="475">
        <f>+G270</f>
        <v>342531</v>
      </c>
      <c r="H274" s="476">
        <v>0.122</v>
      </c>
      <c r="I274" s="477">
        <f>ROUND((F274*G274*H274),0)</f>
        <v>41789</v>
      </c>
      <c r="J274" s="443"/>
      <c r="K274" s="444">
        <f>1/H274</f>
        <v>8.1967213114754092</v>
      </c>
    </row>
    <row r="275" spans="1:14" s="435" customFormat="1" ht="14.4" x14ac:dyDescent="0.3">
      <c r="B275" s="470"/>
      <c r="C275" s="471" t="s">
        <v>166</v>
      </c>
      <c r="D275" s="472" t="s">
        <v>1512</v>
      </c>
      <c r="E275" s="473" t="s">
        <v>1363</v>
      </c>
      <c r="F275" s="474">
        <v>0.05</v>
      </c>
      <c r="G275" s="475">
        <f>I274</f>
        <v>41789</v>
      </c>
      <c r="H275" s="473">
        <v>0</v>
      </c>
      <c r="I275" s="477">
        <f t="shared" ref="I275:I277" si="13">ROUND((F275*G275),0)</f>
        <v>2089</v>
      </c>
      <c r="J275" s="443"/>
      <c r="K275" s="446"/>
    </row>
    <row r="276" spans="1:14" s="435" customFormat="1" ht="14.4" x14ac:dyDescent="0.3">
      <c r="B276" s="478" t="s">
        <v>1360</v>
      </c>
      <c r="C276" s="471" t="s">
        <v>1364</v>
      </c>
      <c r="D276" s="472" t="s">
        <v>1509</v>
      </c>
      <c r="E276" s="473" t="s">
        <v>1363</v>
      </c>
      <c r="F276" s="474">
        <v>0.1</v>
      </c>
      <c r="G276" s="475">
        <f>I274</f>
        <v>41789</v>
      </c>
      <c r="H276" s="473">
        <v>0</v>
      </c>
      <c r="I276" s="477">
        <f t="shared" si="13"/>
        <v>4179</v>
      </c>
      <c r="J276" s="443"/>
      <c r="K276" s="446"/>
    </row>
    <row r="277" spans="1:14" s="435" customFormat="1" ht="15" thickBot="1" x14ac:dyDescent="0.35">
      <c r="B277" s="479"/>
      <c r="C277" s="480" t="s">
        <v>1396</v>
      </c>
      <c r="D277" s="481" t="s">
        <v>1797</v>
      </c>
      <c r="E277" s="482" t="s">
        <v>1363</v>
      </c>
      <c r="F277" s="483">
        <v>0.1</v>
      </c>
      <c r="G277" s="484">
        <f>I274</f>
        <v>41789</v>
      </c>
      <c r="H277" s="482">
        <v>0</v>
      </c>
      <c r="I277" s="485">
        <f t="shared" si="13"/>
        <v>4179</v>
      </c>
      <c r="J277" s="443"/>
      <c r="K277" s="444"/>
    </row>
    <row r="278" spans="1:14" s="170" customFormat="1" x14ac:dyDescent="0.3">
      <c r="A278" s="58"/>
      <c r="B278" s="455"/>
      <c r="C278" s="21"/>
      <c r="D278" s="23"/>
      <c r="E278" s="50"/>
      <c r="F278" s="208"/>
      <c r="G278" s="151"/>
      <c r="H278" s="193"/>
      <c r="I278" s="156"/>
      <c r="J278" s="13"/>
      <c r="K278" s="35"/>
    </row>
    <row r="279" spans="1:14" s="435" customFormat="1" ht="15.6" x14ac:dyDescent="0.3">
      <c r="B279" s="456" t="s">
        <v>1798</v>
      </c>
      <c r="C279" s="437"/>
      <c r="D279" s="486" t="s">
        <v>1799</v>
      </c>
      <c r="E279" s="437" t="s">
        <v>1503</v>
      </c>
      <c r="F279" s="459"/>
      <c r="G279" s="460">
        <f>ROUND(SUM(I279:I284),0)</f>
        <v>93297</v>
      </c>
      <c r="H279" s="437"/>
      <c r="I279" s="487"/>
      <c r="J279" s="443"/>
      <c r="K279" s="444"/>
    </row>
    <row r="280" spans="1:14" s="435" customFormat="1" ht="26.4" x14ac:dyDescent="0.3">
      <c r="B280" s="462" t="s">
        <v>150</v>
      </c>
      <c r="C280" s="437" t="s">
        <v>160</v>
      </c>
      <c r="D280" s="438" t="s">
        <v>137</v>
      </c>
      <c r="E280" s="439" t="s">
        <v>155</v>
      </c>
      <c r="F280" s="440">
        <v>1</v>
      </c>
      <c r="G280" s="441">
        <f>G274</f>
        <v>342531</v>
      </c>
      <c r="H280" s="439">
        <f>1/5</f>
        <v>0.2</v>
      </c>
      <c r="I280" s="442">
        <f>ROUND((F280*G280*H280),0)</f>
        <v>68506</v>
      </c>
      <c r="J280" s="443"/>
      <c r="K280" s="446"/>
      <c r="L280" s="488"/>
      <c r="M280" s="488"/>
      <c r="N280" s="488"/>
    </row>
    <row r="281" spans="1:14" s="435" customFormat="1" ht="14.4" x14ac:dyDescent="0.3">
      <c r="B281" s="462"/>
      <c r="C281" s="437" t="s">
        <v>166</v>
      </c>
      <c r="D281" s="438" t="s">
        <v>1512</v>
      </c>
      <c r="E281" s="439" t="s">
        <v>1363</v>
      </c>
      <c r="F281" s="440">
        <v>0.05</v>
      </c>
      <c r="G281" s="441">
        <f>I280</f>
        <v>68506</v>
      </c>
      <c r="H281" s="439">
        <v>0</v>
      </c>
      <c r="I281" s="442">
        <f t="shared" ref="I281:I282" si="14">ROUND((F281*G281),0)</f>
        <v>3425</v>
      </c>
      <c r="J281" s="443"/>
      <c r="K281" s="444"/>
    </row>
    <row r="282" spans="1:14" s="435" customFormat="1" ht="14.4" x14ac:dyDescent="0.3">
      <c r="B282" s="448" t="s">
        <v>1360</v>
      </c>
      <c r="C282" s="437" t="s">
        <v>1364</v>
      </c>
      <c r="D282" s="438" t="s">
        <v>1509</v>
      </c>
      <c r="E282" s="439" t="s">
        <v>1363</v>
      </c>
      <c r="F282" s="440">
        <v>0.1</v>
      </c>
      <c r="G282" s="441">
        <f>I280</f>
        <v>68506</v>
      </c>
      <c r="H282" s="439">
        <v>0</v>
      </c>
      <c r="I282" s="442">
        <f t="shared" si="14"/>
        <v>6851</v>
      </c>
      <c r="J282" s="443"/>
      <c r="K282" s="444"/>
    </row>
    <row r="283" spans="1:14" s="435" customFormat="1" ht="14.4" x14ac:dyDescent="0.3">
      <c r="B283" s="448"/>
      <c r="C283" s="437" t="s">
        <v>1394</v>
      </c>
      <c r="D283" s="438" t="s">
        <v>1395</v>
      </c>
      <c r="E283" s="439" t="s">
        <v>155</v>
      </c>
      <c r="F283" s="440">
        <v>1</v>
      </c>
      <c r="G283" s="441">
        <v>38318</v>
      </c>
      <c r="H283" s="439">
        <f>1/5</f>
        <v>0.2</v>
      </c>
      <c r="I283" s="442">
        <f>ROUND((F283*G283*H283),0)</f>
        <v>7664</v>
      </c>
      <c r="J283" s="443"/>
      <c r="K283" s="444"/>
    </row>
    <row r="284" spans="1:14" s="435" customFormat="1" ht="15" thickBot="1" x14ac:dyDescent="0.35">
      <c r="B284" s="448"/>
      <c r="C284" s="449" t="s">
        <v>1396</v>
      </c>
      <c r="D284" s="450" t="s">
        <v>1797</v>
      </c>
      <c r="E284" s="451" t="s">
        <v>1363</v>
      </c>
      <c r="F284" s="452">
        <v>0.1</v>
      </c>
      <c r="G284" s="453">
        <f>I280</f>
        <v>68506</v>
      </c>
      <c r="H284" s="451">
        <v>0</v>
      </c>
      <c r="I284" s="454">
        <f>ROUND((F284*G284),0)</f>
        <v>6851</v>
      </c>
      <c r="J284" s="443"/>
      <c r="K284" s="444"/>
    </row>
    <row r="285" spans="1:14" s="170" customFormat="1" ht="14.25" customHeight="1" x14ac:dyDescent="0.3">
      <c r="A285" s="58"/>
      <c r="B285" s="455"/>
      <c r="C285" s="21"/>
      <c r="D285" s="23"/>
      <c r="E285" s="50"/>
      <c r="F285" s="208"/>
      <c r="G285" s="151"/>
      <c r="H285" s="193"/>
      <c r="I285" s="156"/>
      <c r="J285" s="13"/>
      <c r="K285" s="35"/>
    </row>
    <row r="286" spans="1:14" s="170" customFormat="1" ht="14.25" customHeight="1" x14ac:dyDescent="0.3">
      <c r="A286" s="58"/>
      <c r="B286" s="490" t="s">
        <v>1800</v>
      </c>
      <c r="C286" s="491"/>
      <c r="D286" s="492" t="s">
        <v>1803</v>
      </c>
      <c r="E286" s="491" t="s">
        <v>32</v>
      </c>
      <c r="F286" s="493"/>
      <c r="G286" s="494">
        <f>ROUND(SUM(I287:I290),0)</f>
        <v>69792</v>
      </c>
      <c r="H286" s="495"/>
      <c r="I286" s="496"/>
      <c r="J286" s="13"/>
      <c r="K286" s="35"/>
    </row>
    <row r="287" spans="1:14" s="170" customFormat="1" ht="14.25" customHeight="1" x14ac:dyDescent="0.3">
      <c r="A287" s="58"/>
      <c r="B287" s="447" t="s">
        <v>1502</v>
      </c>
      <c r="C287" s="437" t="s">
        <v>174</v>
      </c>
      <c r="D287" s="438" t="s">
        <v>135</v>
      </c>
      <c r="E287" s="439" t="s">
        <v>155</v>
      </c>
      <c r="F287" s="440">
        <v>1</v>
      </c>
      <c r="G287" s="441">
        <v>165360</v>
      </c>
      <c r="H287" s="439">
        <f>1/4</f>
        <v>0.25</v>
      </c>
      <c r="I287" s="442">
        <f>ROUND((F287*G287*H287),0)</f>
        <v>41340</v>
      </c>
      <c r="J287" s="13"/>
      <c r="K287" s="35"/>
    </row>
    <row r="288" spans="1:14" s="170" customFormat="1" ht="14.25" customHeight="1" x14ac:dyDescent="0.3">
      <c r="A288" s="58"/>
      <c r="B288" s="448" t="s">
        <v>1360</v>
      </c>
      <c r="C288" s="437" t="s">
        <v>1364</v>
      </c>
      <c r="D288" s="438" t="s">
        <v>1509</v>
      </c>
      <c r="E288" s="439" t="s">
        <v>1363</v>
      </c>
      <c r="F288" s="440">
        <v>0.1</v>
      </c>
      <c r="G288" s="441">
        <f>+I287</f>
        <v>41340</v>
      </c>
      <c r="H288" s="439">
        <v>0</v>
      </c>
      <c r="I288" s="442">
        <f t="shared" ref="I288:I290" si="15">ROUND((F288*G288),0)</f>
        <v>4134</v>
      </c>
      <c r="J288" s="13"/>
      <c r="K288" s="35"/>
    </row>
    <row r="289" spans="1:11" s="170" customFormat="1" ht="14.25" customHeight="1" x14ac:dyDescent="0.3">
      <c r="A289" s="58"/>
      <c r="B289" s="448"/>
      <c r="C289" s="437" t="s">
        <v>1394</v>
      </c>
      <c r="D289" s="438" t="s">
        <v>1395</v>
      </c>
      <c r="E289" s="439" t="s">
        <v>155</v>
      </c>
      <c r="F289" s="440">
        <v>1</v>
      </c>
      <c r="G289" s="441">
        <v>71980.3087006032</v>
      </c>
      <c r="H289" s="439">
        <f>1/5</f>
        <v>0.2</v>
      </c>
      <c r="I289" s="442">
        <f>ROUND((F289*G289*H289),0)</f>
        <v>14396</v>
      </c>
      <c r="J289" s="13"/>
      <c r="K289" s="35"/>
    </row>
    <row r="290" spans="1:11" s="170" customFormat="1" ht="14.25" customHeight="1" thickBot="1" x14ac:dyDescent="0.35">
      <c r="A290" s="58"/>
      <c r="B290" s="448"/>
      <c r="C290" s="449" t="s">
        <v>1361</v>
      </c>
      <c r="D290" s="450" t="s">
        <v>1801</v>
      </c>
      <c r="E290" s="451" t="s">
        <v>1363</v>
      </c>
      <c r="F290" s="452">
        <v>0.24</v>
      </c>
      <c r="G290" s="453">
        <f>+I287</f>
        <v>41340</v>
      </c>
      <c r="H290" s="451">
        <v>0</v>
      </c>
      <c r="I290" s="454">
        <f t="shared" si="15"/>
        <v>9922</v>
      </c>
      <c r="J290" s="13"/>
      <c r="K290" s="35"/>
    </row>
    <row r="291" spans="1:11" s="170" customFormat="1" ht="14.25" customHeight="1" x14ac:dyDescent="0.3">
      <c r="A291" s="58"/>
      <c r="B291" s="455"/>
      <c r="C291" s="21"/>
      <c r="D291" s="23"/>
      <c r="E291" s="50"/>
      <c r="F291" s="208"/>
      <c r="G291" s="151"/>
      <c r="H291" s="193"/>
      <c r="I291" s="156"/>
      <c r="J291" s="13"/>
      <c r="K291" s="35"/>
    </row>
    <row r="292" spans="1:11" s="170" customFormat="1" ht="14.25" customHeight="1" thickBot="1" x14ac:dyDescent="0.35">
      <c r="A292" s="58"/>
      <c r="B292" s="455"/>
      <c r="C292" s="21"/>
      <c r="D292" s="23"/>
      <c r="E292" s="50"/>
      <c r="F292" s="208"/>
      <c r="G292" s="151"/>
      <c r="H292" s="193"/>
      <c r="I292" s="156"/>
      <c r="J292" s="13"/>
      <c r="K292" s="35"/>
    </row>
    <row r="293" spans="1:11" s="170" customFormat="1" ht="15.6" x14ac:dyDescent="0.3">
      <c r="A293" s="58"/>
      <c r="B293" s="163" t="s">
        <v>52</v>
      </c>
      <c r="C293" s="62"/>
      <c r="D293" s="77" t="s">
        <v>53</v>
      </c>
      <c r="E293" s="62" t="s">
        <v>1503</v>
      </c>
      <c r="F293" s="211"/>
      <c r="G293" s="152">
        <f>ROUND(SUM(I293:I299),0)</f>
        <v>138903</v>
      </c>
      <c r="H293" s="192"/>
      <c r="I293" s="159"/>
      <c r="J293" s="13"/>
      <c r="K293" s="35"/>
    </row>
    <row r="294" spans="1:11" s="170" customFormat="1" ht="15.6" x14ac:dyDescent="0.3">
      <c r="A294" s="58"/>
      <c r="B294" s="55" t="s">
        <v>183</v>
      </c>
      <c r="C294" s="21" t="s">
        <v>807</v>
      </c>
      <c r="D294" s="85" t="str">
        <f>+VLOOKUP(C294,BD!$A$29:$E$877,2,0)</f>
        <v>Material granular seleccionado</v>
      </c>
      <c r="E294" s="50" t="s">
        <v>1507</v>
      </c>
      <c r="F294" s="208">
        <v>1</v>
      </c>
      <c r="G294" s="142">
        <v>84000</v>
      </c>
      <c r="H294" s="193">
        <v>1.3</v>
      </c>
      <c r="I294" s="156">
        <f>ROUND((F294*G294*H294),0)</f>
        <v>109200</v>
      </c>
      <c r="J294" s="13"/>
      <c r="K294" s="35"/>
    </row>
    <row r="295" spans="1:11" s="170" customFormat="1" x14ac:dyDescent="0.3">
      <c r="A295" s="58"/>
      <c r="B295" s="820" t="s">
        <v>1502</v>
      </c>
      <c r="C295" s="21" t="s">
        <v>160</v>
      </c>
      <c r="D295" s="23" t="s">
        <v>137</v>
      </c>
      <c r="E295" s="50" t="s">
        <v>155</v>
      </c>
      <c r="F295" s="208">
        <v>1</v>
      </c>
      <c r="G295" s="142">
        <f>+VLOOKUP(D295,MO!$B$33:$F$79,5,0)</f>
        <v>342531</v>
      </c>
      <c r="H295" s="193">
        <v>0.05</v>
      </c>
      <c r="I295" s="156">
        <f>ROUND((F295*G295*H295),0)</f>
        <v>17127</v>
      </c>
      <c r="J295" s="13"/>
      <c r="K295" s="35"/>
    </row>
    <row r="296" spans="1:11" s="170" customFormat="1" x14ac:dyDescent="0.3">
      <c r="A296" s="58"/>
      <c r="B296" s="820"/>
      <c r="C296" s="21" t="s">
        <v>166</v>
      </c>
      <c r="D296" s="23" t="s">
        <v>1512</v>
      </c>
      <c r="E296" s="50" t="s">
        <v>1363</v>
      </c>
      <c r="F296" s="208">
        <v>0.1</v>
      </c>
      <c r="G296" s="151">
        <f>I295</f>
        <v>17127</v>
      </c>
      <c r="H296" s="193">
        <v>0</v>
      </c>
      <c r="I296" s="156">
        <f>ROUND((F296*G296),0)</f>
        <v>1713</v>
      </c>
      <c r="J296" s="13"/>
      <c r="K296" s="35"/>
    </row>
    <row r="297" spans="1:11" s="170" customFormat="1" x14ac:dyDescent="0.3">
      <c r="A297" s="58"/>
      <c r="B297" s="808" t="s">
        <v>1360</v>
      </c>
      <c r="C297" s="21" t="s">
        <v>1364</v>
      </c>
      <c r="D297" s="23" t="s">
        <v>1509</v>
      </c>
      <c r="E297" s="50" t="s">
        <v>1363</v>
      </c>
      <c r="F297" s="208">
        <v>0.1</v>
      </c>
      <c r="G297" s="151">
        <f>I295</f>
        <v>17127</v>
      </c>
      <c r="H297" s="193">
        <v>0</v>
      </c>
      <c r="I297" s="156">
        <f>ROUND((F297*G297),0)</f>
        <v>1713</v>
      </c>
      <c r="J297" s="13"/>
      <c r="K297" s="35"/>
    </row>
    <row r="298" spans="1:11" s="170" customFormat="1" x14ac:dyDescent="0.3">
      <c r="A298" s="58"/>
      <c r="B298" s="830"/>
      <c r="C298" s="13" t="s">
        <v>1431</v>
      </c>
      <c r="D298" s="85" t="str">
        <f>+VLOOKUP(C298,BD!$A$29:$E$877,2,0)</f>
        <v>Compactador  manual (canguro)</v>
      </c>
      <c r="E298" s="48" t="s">
        <v>155</v>
      </c>
      <c r="F298" s="209">
        <v>1</v>
      </c>
      <c r="G298" s="142">
        <f>VLOOKUP(C298,BD!$A$29:$E$877,5,0)</f>
        <v>59599</v>
      </c>
      <c r="H298" s="193">
        <f>1/10</f>
        <v>0.1</v>
      </c>
      <c r="I298" s="156">
        <f>ROUND((F298*G298*H298),0)</f>
        <v>5960</v>
      </c>
      <c r="J298" s="13"/>
      <c r="K298" s="35"/>
    </row>
    <row r="299" spans="1:11" s="170" customFormat="1" ht="13.8" thickBot="1" x14ac:dyDescent="0.35">
      <c r="A299" s="58"/>
      <c r="B299" s="230" t="s">
        <v>1530</v>
      </c>
      <c r="C299" s="43" t="s">
        <v>1495</v>
      </c>
      <c r="D299" s="87" t="str">
        <f>+VLOOKUP(C299,BD!$A$29:$E$877,2,0)</f>
        <v>Toma de densidades</v>
      </c>
      <c r="E299" s="45" t="s">
        <v>26</v>
      </c>
      <c r="F299" s="205">
        <f>1/40</f>
        <v>2.5000000000000001E-2</v>
      </c>
      <c r="G299" s="143">
        <f>VLOOKUP(C299,BD!$A$29:$E$877,5,0)</f>
        <v>127617.83</v>
      </c>
      <c r="H299" s="94">
        <v>0</v>
      </c>
      <c r="I299" s="227">
        <f>ROUND((F299*G299),0)</f>
        <v>3190</v>
      </c>
      <c r="J299" s="13"/>
      <c r="K299" s="35"/>
    </row>
    <row r="300" spans="1:11" s="170" customFormat="1" ht="26.4" x14ac:dyDescent="0.3">
      <c r="A300" s="58"/>
      <c r="B300" s="16" t="s">
        <v>54</v>
      </c>
      <c r="C300" s="53"/>
      <c r="D300" s="54" t="s">
        <v>55</v>
      </c>
      <c r="E300" s="53" t="s">
        <v>32</v>
      </c>
      <c r="F300" s="210"/>
      <c r="G300" s="149">
        <f>ROUND(SUM(I300:I303),0)</f>
        <v>10349</v>
      </c>
      <c r="H300" s="195"/>
      <c r="I300" s="157"/>
      <c r="J300" s="13"/>
      <c r="K300" s="35"/>
    </row>
    <row r="301" spans="1:11" s="170" customFormat="1" ht="15.6" x14ac:dyDescent="0.3">
      <c r="A301" s="58"/>
      <c r="B301" s="55" t="s">
        <v>183</v>
      </c>
      <c r="C301" s="14" t="s">
        <v>284</v>
      </c>
      <c r="D301" s="85" t="str">
        <f>+VLOOKUP(C301,BD!$A$29:$E$877,2,0)</f>
        <v xml:space="preserve">Arena </v>
      </c>
      <c r="E301" s="19" t="s">
        <v>1507</v>
      </c>
      <c r="F301" s="65">
        <v>0.06</v>
      </c>
      <c r="G301" s="142">
        <f>VLOOKUP(C301,BD!$A$29:$E$877,5,0)</f>
        <v>64200.000000000007</v>
      </c>
      <c r="H301" s="395">
        <v>0</v>
      </c>
      <c r="I301" s="156">
        <f>ROUND((F301*G301),0)</f>
        <v>3852</v>
      </c>
      <c r="J301" s="13"/>
      <c r="K301" s="35"/>
    </row>
    <row r="302" spans="1:11" s="170" customFormat="1" x14ac:dyDescent="0.3">
      <c r="A302" s="58"/>
      <c r="B302" s="49" t="s">
        <v>1502</v>
      </c>
      <c r="C302" s="14" t="s">
        <v>156</v>
      </c>
      <c r="D302" s="15" t="s">
        <v>157</v>
      </c>
      <c r="E302" s="19" t="s">
        <v>155</v>
      </c>
      <c r="F302" s="65">
        <v>1</v>
      </c>
      <c r="G302" s="142">
        <f>+VLOOKUP(D302,MO!$B$33:$F$79,5,0)</f>
        <v>59057</v>
      </c>
      <c r="H302" s="395">
        <f>1/10</f>
        <v>0.1</v>
      </c>
      <c r="I302" s="156">
        <f>ROUND((F302*G302*H302),0)</f>
        <v>5906</v>
      </c>
      <c r="J302" s="13"/>
      <c r="K302" s="35"/>
    </row>
    <row r="303" spans="1:11" s="170" customFormat="1" ht="13.8" thickBot="1" x14ac:dyDescent="0.35">
      <c r="A303" s="58"/>
      <c r="B303" s="228" t="s">
        <v>1360</v>
      </c>
      <c r="C303" s="43" t="s">
        <v>1364</v>
      </c>
      <c r="D303" s="44" t="s">
        <v>1509</v>
      </c>
      <c r="E303" s="45" t="s">
        <v>1363</v>
      </c>
      <c r="F303" s="205">
        <v>0.1</v>
      </c>
      <c r="G303" s="150">
        <f>I302</f>
        <v>5906</v>
      </c>
      <c r="H303" s="194">
        <v>0</v>
      </c>
      <c r="I303" s="227">
        <f>ROUND((F303*G303),0)</f>
        <v>591</v>
      </c>
      <c r="J303" s="13"/>
      <c r="K303" s="35"/>
    </row>
    <row r="304" spans="1:11" s="170" customFormat="1" x14ac:dyDescent="0.3">
      <c r="A304" s="58"/>
      <c r="B304" s="497" t="s">
        <v>74</v>
      </c>
      <c r="C304" s="46"/>
      <c r="D304" s="78" t="s">
        <v>9</v>
      </c>
      <c r="E304" s="46" t="s">
        <v>32</v>
      </c>
      <c r="F304" s="211"/>
      <c r="G304" s="152">
        <f>ROUND(SUM(I305:I308),0)</f>
        <v>26423</v>
      </c>
      <c r="H304" s="192"/>
      <c r="I304" s="540"/>
      <c r="J304" s="13"/>
      <c r="K304" s="35"/>
    </row>
    <row r="305" spans="1:11" s="170" customFormat="1" x14ac:dyDescent="0.3">
      <c r="A305" s="58"/>
      <c r="B305" s="805" t="s">
        <v>183</v>
      </c>
      <c r="C305" s="21" t="s">
        <v>1214</v>
      </c>
      <c r="D305" s="85" t="str">
        <f>+VLOOKUP(C305,BD!$A$29:$E$877,2,0)</f>
        <v>Tubería PVC acueducto unión platino de 3" rde 21</v>
      </c>
      <c r="E305" s="50" t="s">
        <v>32</v>
      </c>
      <c r="F305" s="208">
        <v>1</v>
      </c>
      <c r="G305" s="142">
        <f>VLOOKUP(C305,BD!$A$29:$E$877,5,0)</f>
        <v>18688.620000000003</v>
      </c>
      <c r="H305" s="193">
        <v>1.05</v>
      </c>
      <c r="I305" s="541">
        <f>ROUND((F305*G305*H305),0)</f>
        <v>19623</v>
      </c>
      <c r="J305" s="13"/>
      <c r="K305" s="35"/>
    </row>
    <row r="306" spans="1:11" s="170" customFormat="1" x14ac:dyDescent="0.3">
      <c r="A306" s="58"/>
      <c r="B306" s="805"/>
      <c r="C306" s="21" t="s">
        <v>196</v>
      </c>
      <c r="D306" s="85" t="str">
        <f>+VLOOKUP(C306,BD!$A$29:$E$877,2,0)</f>
        <v>Accesorios PVC presión</v>
      </c>
      <c r="E306" s="50" t="s">
        <v>190</v>
      </c>
      <c r="F306" s="208">
        <v>0.05</v>
      </c>
      <c r="G306" s="142">
        <f>VLOOKUP(C306,BD!$A$29:$E$877,5,0)</f>
        <v>1284</v>
      </c>
      <c r="H306" s="193">
        <v>0</v>
      </c>
      <c r="I306" s="541">
        <f>ROUND((F306*G306),0)</f>
        <v>64</v>
      </c>
      <c r="J306" s="13"/>
      <c r="K306" s="35"/>
    </row>
    <row r="307" spans="1:11" s="170" customFormat="1" x14ac:dyDescent="0.3">
      <c r="A307" s="58"/>
      <c r="B307" s="405" t="s">
        <v>1502</v>
      </c>
      <c r="C307" s="21" t="s">
        <v>174</v>
      </c>
      <c r="D307" s="23" t="s">
        <v>135</v>
      </c>
      <c r="E307" s="50" t="s">
        <v>155</v>
      </c>
      <c r="F307" s="208">
        <v>1</v>
      </c>
      <c r="G307" s="142">
        <f>+VLOOKUP(D307,MO!$B$33:$F$79,5,0)</f>
        <v>165360</v>
      </c>
      <c r="H307" s="193">
        <f>1/27</f>
        <v>3.7037037037037035E-2</v>
      </c>
      <c r="I307" s="541">
        <f>ROUND((F307*G307*H307),0)</f>
        <v>6124</v>
      </c>
      <c r="J307" s="13"/>
      <c r="K307" s="35"/>
    </row>
    <row r="308" spans="1:11" s="170" customFormat="1" ht="13.8" thickBot="1" x14ac:dyDescent="0.35">
      <c r="A308" s="58"/>
      <c r="B308" s="407" t="s">
        <v>1360</v>
      </c>
      <c r="C308" s="218" t="s">
        <v>1364</v>
      </c>
      <c r="D308" s="219" t="s">
        <v>1509</v>
      </c>
      <c r="E308" s="220" t="s">
        <v>1363</v>
      </c>
      <c r="F308" s="221">
        <v>0.1</v>
      </c>
      <c r="G308" s="542">
        <f>I307</f>
        <v>6124</v>
      </c>
      <c r="H308" s="379">
        <v>0</v>
      </c>
      <c r="I308" s="543">
        <f>ROUND((F308*G308),0)</f>
        <v>612</v>
      </c>
      <c r="J308" s="13"/>
      <c r="K308" s="34"/>
    </row>
    <row r="309" spans="1:11" s="170" customFormat="1" x14ac:dyDescent="0.3">
      <c r="A309" s="58"/>
      <c r="B309" s="456" t="s">
        <v>1815</v>
      </c>
      <c r="C309" s="457"/>
      <c r="D309" s="458" t="str">
        <f>+Presupuesto_OFICIAL!C51</f>
        <v>Retiro accesorios acueducto (valvulas, hidrantes, otros)</v>
      </c>
      <c r="E309" s="457" t="s">
        <v>26</v>
      </c>
      <c r="F309" s="459"/>
      <c r="G309" s="460">
        <f>ROUND(SUM(I309:I312),0)</f>
        <v>57049</v>
      </c>
      <c r="H309" s="437"/>
      <c r="I309" s="461"/>
      <c r="J309" s="13"/>
      <c r="K309" s="34"/>
    </row>
    <row r="310" spans="1:11" s="170" customFormat="1" ht="26.4" x14ac:dyDescent="0.3">
      <c r="A310" s="58"/>
      <c r="B310" s="462" t="s">
        <v>150</v>
      </c>
      <c r="C310" s="495" t="s">
        <v>153</v>
      </c>
      <c r="D310" s="544" t="str">
        <f>+MO!B49</f>
        <v>Cuadrilla E 1 Of + 1 Ay (jornal + prestaciones)</v>
      </c>
      <c r="E310" s="545" t="s">
        <v>155</v>
      </c>
      <c r="F310" s="546">
        <v>1</v>
      </c>
      <c r="G310" s="547">
        <f>+MO!F49</f>
        <v>165360</v>
      </c>
      <c r="H310" s="545">
        <v>0.3</v>
      </c>
      <c r="I310" s="548">
        <f>ROUND((F310*G310*H310),0)</f>
        <v>49608</v>
      </c>
      <c r="J310" s="13"/>
      <c r="K310" s="34"/>
    </row>
    <row r="311" spans="1:11" s="170" customFormat="1" x14ac:dyDescent="0.3">
      <c r="A311" s="58"/>
      <c r="B311" s="462"/>
      <c r="C311" s="549" t="s">
        <v>166</v>
      </c>
      <c r="D311" s="550" t="s">
        <v>1512</v>
      </c>
      <c r="E311" s="551" t="s">
        <v>1363</v>
      </c>
      <c r="F311" s="552">
        <v>0.05</v>
      </c>
      <c r="G311" s="553">
        <f>+I310</f>
        <v>49608</v>
      </c>
      <c r="H311" s="551">
        <v>0</v>
      </c>
      <c r="I311" s="554">
        <f t="shared" ref="I311:I312" si="16">ROUND((F311*G311),0)</f>
        <v>2480</v>
      </c>
      <c r="J311" s="13"/>
      <c r="K311" s="34"/>
    </row>
    <row r="312" spans="1:11" s="170" customFormat="1" ht="13.8" thickBot="1" x14ac:dyDescent="0.35">
      <c r="A312" s="58"/>
      <c r="B312" s="448" t="s">
        <v>1360</v>
      </c>
      <c r="C312" s="495" t="s">
        <v>1364</v>
      </c>
      <c r="D312" s="544" t="s">
        <v>1509</v>
      </c>
      <c r="E312" s="545" t="s">
        <v>1363</v>
      </c>
      <c r="F312" s="546">
        <v>0.1</v>
      </c>
      <c r="G312" s="547">
        <f>+I310</f>
        <v>49608</v>
      </c>
      <c r="H312" s="545">
        <v>0</v>
      </c>
      <c r="I312" s="548">
        <f t="shared" si="16"/>
        <v>4961</v>
      </c>
      <c r="J312" s="13"/>
      <c r="K312" s="34"/>
    </row>
    <row r="313" spans="1:11" s="170" customFormat="1" x14ac:dyDescent="0.3">
      <c r="A313" s="58"/>
      <c r="B313" s="497" t="s">
        <v>75</v>
      </c>
      <c r="C313" s="46"/>
      <c r="D313" s="78" t="s">
        <v>10</v>
      </c>
      <c r="E313" s="46" t="s">
        <v>26</v>
      </c>
      <c r="F313" s="211"/>
      <c r="G313" s="152">
        <f>ROUND(SUM(I314:I315),0)</f>
        <v>47869</v>
      </c>
      <c r="H313" s="192"/>
      <c r="I313" s="540"/>
      <c r="J313" s="13"/>
      <c r="K313" s="35"/>
    </row>
    <row r="314" spans="1:11" s="170" customFormat="1" x14ac:dyDescent="0.3">
      <c r="A314" s="58"/>
      <c r="B314" s="555" t="s">
        <v>183</v>
      </c>
      <c r="C314" s="21" t="s">
        <v>1306</v>
      </c>
      <c r="D314" s="85" t="str">
        <f>+VLOOKUP(C314,BD!$A$29:$E$877,2,0)</f>
        <v>Unión de reparación de 3"</v>
      </c>
      <c r="E314" s="50" t="s">
        <v>26</v>
      </c>
      <c r="F314" s="208">
        <v>1</v>
      </c>
      <c r="G314" s="142">
        <f>VLOOKUP(C314,BD!$A$29:$E$877,5,0)</f>
        <v>39600.700000000004</v>
      </c>
      <c r="H314" s="193">
        <v>0</v>
      </c>
      <c r="I314" s="541">
        <f>ROUND((F314*G314),0)</f>
        <v>39601</v>
      </c>
      <c r="J314" s="13"/>
      <c r="K314" s="35"/>
    </row>
    <row r="315" spans="1:11" s="170" customFormat="1" ht="13.8" thickBot="1" x14ac:dyDescent="0.35">
      <c r="A315" s="58"/>
      <c r="B315" s="556" t="s">
        <v>1502</v>
      </c>
      <c r="C315" s="218" t="s">
        <v>174</v>
      </c>
      <c r="D315" s="219" t="s">
        <v>135</v>
      </c>
      <c r="E315" s="220" t="s">
        <v>155</v>
      </c>
      <c r="F315" s="221">
        <v>1</v>
      </c>
      <c r="G315" s="222">
        <f>+VLOOKUP(D315,MO!$B$33:$F$79,5,0)</f>
        <v>165360</v>
      </c>
      <c r="H315" s="379">
        <f>1/20</f>
        <v>0.05</v>
      </c>
      <c r="I315" s="543">
        <f>ROUND((F315*G315*H315),0)</f>
        <v>8268</v>
      </c>
      <c r="J315" s="13"/>
      <c r="K315" s="35"/>
    </row>
    <row r="316" spans="1:11" s="170" customFormat="1" ht="26.4" x14ac:dyDescent="0.3">
      <c r="A316" s="58"/>
      <c r="B316" s="68" t="s">
        <v>72</v>
      </c>
      <c r="C316" s="39"/>
      <c r="D316" s="40" t="s">
        <v>15</v>
      </c>
      <c r="E316" s="39" t="s">
        <v>26</v>
      </c>
      <c r="F316" s="210"/>
      <c r="G316" s="149">
        <f>ROUND(SUM(I317:I325),0)</f>
        <v>82810</v>
      </c>
      <c r="H316" s="195"/>
      <c r="I316" s="155"/>
      <c r="J316" s="13"/>
      <c r="K316" s="34"/>
    </row>
    <row r="317" spans="1:11" s="170" customFormat="1" x14ac:dyDescent="0.3">
      <c r="A317" s="58"/>
      <c r="B317" s="806" t="s">
        <v>183</v>
      </c>
      <c r="C317" s="14" t="s">
        <v>223</v>
      </c>
      <c r="D317" s="85" t="str">
        <f>+VLOOKUP(C317,BD!$A$29:$E$877,2,0)</f>
        <v>Adaptador macho PF + UAD 1/2"</v>
      </c>
      <c r="E317" s="19" t="s">
        <v>26</v>
      </c>
      <c r="F317" s="65">
        <v>2</v>
      </c>
      <c r="G317" s="142">
        <f>VLOOKUP(C317,BD!$A$29:$E$877,5,0)</f>
        <v>2889</v>
      </c>
      <c r="H317" s="395">
        <v>0</v>
      </c>
      <c r="I317" s="156">
        <f>ROUND((F317*G317),0)</f>
        <v>5778</v>
      </c>
      <c r="J317" s="13"/>
      <c r="K317" s="35"/>
    </row>
    <row r="318" spans="1:11" s="170" customFormat="1" x14ac:dyDescent="0.3">
      <c r="A318" s="58"/>
      <c r="B318" s="806"/>
      <c r="C318" s="14" t="s">
        <v>1208</v>
      </c>
      <c r="D318" s="85" t="str">
        <f>+VLOOKUP(C318,BD!$A$29:$E$877,2,0)</f>
        <v>Tubería PF + UAD 1/2" (manguera)</v>
      </c>
      <c r="E318" s="19" t="s">
        <v>32</v>
      </c>
      <c r="F318" s="65">
        <v>3</v>
      </c>
      <c r="G318" s="142">
        <f>VLOOKUP(C318,BD!$A$29:$E$877,5,0)</f>
        <v>2193.5</v>
      </c>
      <c r="H318" s="395">
        <v>1.05</v>
      </c>
      <c r="I318" s="156">
        <f>ROUND((F318*G318),0)</f>
        <v>6581</v>
      </c>
      <c r="J318" s="13"/>
      <c r="K318" s="35"/>
    </row>
    <row r="319" spans="1:11" s="170" customFormat="1" x14ac:dyDescent="0.3">
      <c r="A319" s="58"/>
      <c r="B319" s="806"/>
      <c r="C319" s="14" t="s">
        <v>459</v>
      </c>
      <c r="D319" s="85" t="str">
        <f>+VLOOKUP(C319,BD!$A$29:$E$877,2,0)</f>
        <v>Collar de derivación unión platino de 3" x 1/2"</v>
      </c>
      <c r="E319" s="19" t="s">
        <v>26</v>
      </c>
      <c r="F319" s="65">
        <v>1</v>
      </c>
      <c r="G319" s="142">
        <f>VLOOKUP(C319,BD!$A$29:$E$877,5,0)</f>
        <v>17149.960000000003</v>
      </c>
      <c r="H319" s="395">
        <v>0</v>
      </c>
      <c r="I319" s="156">
        <f>ROUND((F319*G319),0)</f>
        <v>17150</v>
      </c>
      <c r="J319" s="13"/>
      <c r="K319" s="35"/>
    </row>
    <row r="320" spans="1:11" s="170" customFormat="1" x14ac:dyDescent="0.3">
      <c r="A320" s="58"/>
      <c r="B320" s="806"/>
      <c r="C320" s="14" t="s">
        <v>745</v>
      </c>
      <c r="D320" s="85" t="str">
        <f>+VLOOKUP(C320,BD!$A$29:$E$877,2,0)</f>
        <v>Limpiador removedor PVC 1/4</v>
      </c>
      <c r="E320" s="19" t="s">
        <v>26</v>
      </c>
      <c r="F320" s="65">
        <v>2.4E-2</v>
      </c>
      <c r="G320" s="142">
        <f>VLOOKUP(C320,BD!$A$29:$E$877,5,0)</f>
        <v>43809.01</v>
      </c>
      <c r="H320" s="395">
        <v>1.03</v>
      </c>
      <c r="I320" s="156">
        <f>ROUND((F320*G320*H320),0)</f>
        <v>1083</v>
      </c>
      <c r="J320" s="13"/>
      <c r="K320" s="35"/>
    </row>
    <row r="321" spans="1:14" s="170" customFormat="1" x14ac:dyDescent="0.3">
      <c r="A321" s="58"/>
      <c r="B321" s="806"/>
      <c r="C321" s="14" t="s">
        <v>1061</v>
      </c>
      <c r="D321" s="85" t="str">
        <f>+VLOOKUP(C321,BD!$A$29:$E$877,2,0)</f>
        <v>Soldadura liquida para PVC 1/4</v>
      </c>
      <c r="E321" s="19" t="s">
        <v>26</v>
      </c>
      <c r="F321" s="65">
        <v>2.4E-2</v>
      </c>
      <c r="G321" s="142">
        <f>VLOOKUP(C321,BD!$A$29:$E$877,5,0)</f>
        <v>82604</v>
      </c>
      <c r="H321" s="395">
        <v>1.03</v>
      </c>
      <c r="I321" s="156">
        <f>ROUND((F321*G321*H321),0)</f>
        <v>2042</v>
      </c>
      <c r="J321" s="13"/>
      <c r="K321" s="34"/>
    </row>
    <row r="322" spans="1:14" s="170" customFormat="1" x14ac:dyDescent="0.3">
      <c r="A322" s="58"/>
      <c r="B322" s="806"/>
      <c r="C322" s="14" t="s">
        <v>1004</v>
      </c>
      <c r="D322" s="85" t="str">
        <f>+VLOOKUP(C322,BD!$A$29:$E$877,2,0)</f>
        <v>Registro de incorporación de 1/2"</v>
      </c>
      <c r="E322" s="19" t="s">
        <v>26</v>
      </c>
      <c r="F322" s="65">
        <v>1</v>
      </c>
      <c r="G322" s="142">
        <f>VLOOKUP(C322,BD!$A$29:$E$877,5,0)</f>
        <v>27392</v>
      </c>
      <c r="H322" s="395">
        <v>0</v>
      </c>
      <c r="I322" s="156">
        <f>ROUND((F322*G322),0)</f>
        <v>27392</v>
      </c>
      <c r="J322" s="13"/>
      <c r="K322" s="35"/>
    </row>
    <row r="323" spans="1:14" s="170" customFormat="1" x14ac:dyDescent="0.3">
      <c r="A323" s="58"/>
      <c r="B323" s="806"/>
      <c r="C323" s="14" t="s">
        <v>442</v>
      </c>
      <c r="D323" s="85" t="str">
        <f>+VLOOKUP(C323,BD!$A$29:$E$877,2,0)</f>
        <v>Cinta de teflón 10 m</v>
      </c>
      <c r="E323" s="19" t="s">
        <v>26</v>
      </c>
      <c r="F323" s="65">
        <v>1</v>
      </c>
      <c r="G323" s="142">
        <f>VLOOKUP(C323,BD!$A$29:$E$877,5,0)</f>
        <v>2354</v>
      </c>
      <c r="H323" s="395">
        <f>1/50</f>
        <v>0.02</v>
      </c>
      <c r="I323" s="156">
        <f>ROUND((F323*G323*H323),0)</f>
        <v>47</v>
      </c>
      <c r="J323" s="13"/>
      <c r="K323" s="35"/>
    </row>
    <row r="324" spans="1:14" s="170" customFormat="1" x14ac:dyDescent="0.3">
      <c r="A324" s="58"/>
      <c r="B324" s="49" t="s">
        <v>1502</v>
      </c>
      <c r="C324" s="14" t="s">
        <v>174</v>
      </c>
      <c r="D324" s="15" t="s">
        <v>135</v>
      </c>
      <c r="E324" s="19" t="s">
        <v>155</v>
      </c>
      <c r="F324" s="65">
        <v>1</v>
      </c>
      <c r="G324" s="142">
        <f>+VLOOKUP(D324,MO!$B$33:$F$79,5,0)</f>
        <v>165360</v>
      </c>
      <c r="H324" s="395">
        <f>1/8</f>
        <v>0.125</v>
      </c>
      <c r="I324" s="156">
        <f>ROUND((F324*G324*H324),0)</f>
        <v>20670</v>
      </c>
      <c r="J324" s="13"/>
      <c r="K324" s="35"/>
    </row>
    <row r="325" spans="1:14" s="170" customFormat="1" ht="13.8" thickBot="1" x14ac:dyDescent="0.35">
      <c r="A325" s="58"/>
      <c r="B325" s="56" t="s">
        <v>1360</v>
      </c>
      <c r="C325" s="43" t="s">
        <v>1364</v>
      </c>
      <c r="D325" s="44" t="s">
        <v>1509</v>
      </c>
      <c r="E325" s="45" t="s">
        <v>1363</v>
      </c>
      <c r="F325" s="205">
        <v>0.1</v>
      </c>
      <c r="G325" s="150">
        <f>I324</f>
        <v>20670</v>
      </c>
      <c r="H325" s="194">
        <v>0</v>
      </c>
      <c r="I325" s="227">
        <f>ROUND((F325*G325),0)</f>
        <v>2067</v>
      </c>
      <c r="J325" s="13"/>
      <c r="K325" s="35"/>
    </row>
    <row r="326" spans="1:14" s="170" customFormat="1" ht="26.4" x14ac:dyDescent="0.3">
      <c r="A326" s="58"/>
      <c r="B326" s="68" t="s">
        <v>78</v>
      </c>
      <c r="C326" s="39"/>
      <c r="D326" s="40" t="s">
        <v>16</v>
      </c>
      <c r="E326" s="39" t="s">
        <v>26</v>
      </c>
      <c r="F326" s="204"/>
      <c r="G326" s="149">
        <f>ROUND(SUM(I327:I329),0)</f>
        <v>129007</v>
      </c>
      <c r="H326" s="195"/>
      <c r="I326" s="155"/>
      <c r="J326" s="13"/>
      <c r="K326" s="35"/>
    </row>
    <row r="327" spans="1:14" s="170" customFormat="1" x14ac:dyDescent="0.3">
      <c r="A327" s="58"/>
      <c r="B327" s="55" t="s">
        <v>183</v>
      </c>
      <c r="C327" s="41" t="s">
        <v>1113</v>
      </c>
      <c r="D327" s="85" t="str">
        <f>+VLOOKUP(C327,BD!$A$29:$E$877,2,0)</f>
        <v>Caja de protección de medidor con tapa en polipropileno</v>
      </c>
      <c r="E327" s="19" t="s">
        <v>26</v>
      </c>
      <c r="F327" s="209">
        <v>1</v>
      </c>
      <c r="G327" s="142">
        <f>VLOOKUP(C327,BD!$A$29:$E$877,5,0)</f>
        <v>85600</v>
      </c>
      <c r="H327" s="99">
        <v>0</v>
      </c>
      <c r="I327" s="156">
        <f>ROUND((F327*G327),0)</f>
        <v>85600</v>
      </c>
      <c r="J327" s="13"/>
      <c r="K327" s="35"/>
    </row>
    <row r="328" spans="1:14" s="170" customFormat="1" x14ac:dyDescent="0.3">
      <c r="A328" s="58"/>
      <c r="B328" s="49" t="s">
        <v>1502</v>
      </c>
      <c r="C328" s="41" t="s">
        <v>174</v>
      </c>
      <c r="D328" s="23" t="s">
        <v>135</v>
      </c>
      <c r="E328" s="50" t="s">
        <v>155</v>
      </c>
      <c r="F328" s="209">
        <v>3.5</v>
      </c>
      <c r="G328" s="142">
        <f>+VLOOKUP(D328,MO!$B$33:$F$79,5,0)</f>
        <v>165360</v>
      </c>
      <c r="H328" s="99">
        <f>1/20</f>
        <v>0.05</v>
      </c>
      <c r="I328" s="156">
        <f>ROUND((F328*G328*H328),0)</f>
        <v>28938</v>
      </c>
      <c r="J328" s="13"/>
      <c r="K328" s="35"/>
    </row>
    <row r="329" spans="1:14" s="170" customFormat="1" ht="13.8" thickBot="1" x14ac:dyDescent="0.35">
      <c r="A329" s="58"/>
      <c r="B329" s="228" t="s">
        <v>1360</v>
      </c>
      <c r="C329" s="64" t="s">
        <v>1364</v>
      </c>
      <c r="D329" s="44" t="s">
        <v>1509</v>
      </c>
      <c r="E329" s="45" t="s">
        <v>1363</v>
      </c>
      <c r="F329" s="212">
        <v>0.5</v>
      </c>
      <c r="G329" s="150">
        <f>I328</f>
        <v>28938</v>
      </c>
      <c r="H329" s="94">
        <v>0</v>
      </c>
      <c r="I329" s="227">
        <f>ROUND((F329*G329),0)</f>
        <v>14469</v>
      </c>
      <c r="J329" s="13"/>
      <c r="K329" s="35"/>
    </row>
    <row r="330" spans="1:14" s="12" customFormat="1" x14ac:dyDescent="0.3">
      <c r="A330" s="17"/>
      <c r="B330" s="66" t="s">
        <v>1532</v>
      </c>
      <c r="C330" s="39"/>
      <c r="D330" s="40" t="s">
        <v>11</v>
      </c>
      <c r="E330" s="39" t="s">
        <v>26</v>
      </c>
      <c r="F330" s="204"/>
      <c r="G330" s="149">
        <f>ROUND(SUM(I331:I336),0)</f>
        <v>702167</v>
      </c>
      <c r="H330" s="195"/>
      <c r="I330" s="155"/>
      <c r="J330" s="33"/>
      <c r="K330" s="35"/>
    </row>
    <row r="331" spans="1:14" s="12" customFormat="1" x14ac:dyDescent="0.3">
      <c r="A331" s="17"/>
      <c r="B331" s="806" t="s">
        <v>183</v>
      </c>
      <c r="C331" s="41" t="s">
        <v>1556</v>
      </c>
      <c r="D331" s="85" t="str">
        <f>+VLOOKUP(C331,BD!$A$29:$E$877,2,0)</f>
        <v>Válvula de compuerta  Ø=3" J.H. E.L.</v>
      </c>
      <c r="E331" s="19" t="s">
        <v>26</v>
      </c>
      <c r="F331" s="209">
        <v>1</v>
      </c>
      <c r="G331" s="142">
        <f>VLOOKUP(C331,BD!$A$29:$E$877,5,0)</f>
        <v>620600</v>
      </c>
      <c r="H331" s="99">
        <v>0</v>
      </c>
      <c r="I331" s="156">
        <f>ROUND((F331*G331),0)</f>
        <v>620600</v>
      </c>
      <c r="J331" s="33"/>
      <c r="K331" s="35"/>
    </row>
    <row r="332" spans="1:14" s="12" customFormat="1" x14ac:dyDescent="0.3">
      <c r="A332" s="17"/>
      <c r="B332" s="806"/>
      <c r="C332" s="14" t="s">
        <v>745</v>
      </c>
      <c r="D332" s="85" t="str">
        <f>+VLOOKUP(C332,BD!$A$29:$E$877,2,0)</f>
        <v>Limpiador removedor PVC 1/4</v>
      </c>
      <c r="E332" s="19" t="s">
        <v>26</v>
      </c>
      <c r="F332" s="65">
        <v>0.02</v>
      </c>
      <c r="G332" s="142">
        <f>VLOOKUP(C332,BD!$A$29:$E$877,5,0)</f>
        <v>43809.01</v>
      </c>
      <c r="H332" s="395">
        <v>1.03</v>
      </c>
      <c r="I332" s="156">
        <f>ROUND((F332*G332*H332),0)</f>
        <v>902</v>
      </c>
      <c r="J332" s="33"/>
      <c r="K332" s="34"/>
      <c r="L332" s="57"/>
      <c r="M332" s="57"/>
      <c r="N332" s="57"/>
    </row>
    <row r="333" spans="1:14" s="12" customFormat="1" x14ac:dyDescent="0.3">
      <c r="A333" s="17"/>
      <c r="B333" s="806"/>
      <c r="C333" s="14" t="s">
        <v>1061</v>
      </c>
      <c r="D333" s="85" t="str">
        <f>+VLOOKUP(C333,BD!$A$29:$E$877,2,0)</f>
        <v>Soldadura liquida para PVC 1/4</v>
      </c>
      <c r="E333" s="19" t="s">
        <v>26</v>
      </c>
      <c r="F333" s="65">
        <v>0.02</v>
      </c>
      <c r="G333" s="142">
        <f>VLOOKUP(C333,BD!$A$29:$E$877,5,0)</f>
        <v>82604</v>
      </c>
      <c r="H333" s="395">
        <v>1.03</v>
      </c>
      <c r="I333" s="156">
        <f>ROUND((F333*G333*H333),0)</f>
        <v>1702</v>
      </c>
      <c r="J333" s="33"/>
      <c r="K333" s="35"/>
    </row>
    <row r="334" spans="1:14" s="12" customFormat="1" x14ac:dyDescent="0.3">
      <c r="A334" s="17"/>
      <c r="B334" s="806"/>
      <c r="C334" s="14" t="s">
        <v>1320</v>
      </c>
      <c r="D334" s="85" t="str">
        <f>+VLOOKUP(C334,BD!$A$29:$E$877,2,0)</f>
        <v>Universal PVC 2"</v>
      </c>
      <c r="E334" s="19" t="s">
        <v>26</v>
      </c>
      <c r="F334" s="65">
        <v>2</v>
      </c>
      <c r="G334" s="142">
        <f>VLOOKUP(C334,BD!$A$29:$E$877,5,0)</f>
        <v>25359</v>
      </c>
      <c r="H334" s="395">
        <v>0</v>
      </c>
      <c r="I334" s="156">
        <f>ROUND((F334*G334),0)</f>
        <v>50718</v>
      </c>
      <c r="J334" s="33"/>
      <c r="K334" s="35"/>
    </row>
    <row r="335" spans="1:14" s="12" customFormat="1" x14ac:dyDescent="0.3">
      <c r="A335" s="17"/>
      <c r="B335" s="49" t="s">
        <v>1502</v>
      </c>
      <c r="C335" s="41" t="s">
        <v>153</v>
      </c>
      <c r="D335" s="15" t="s">
        <v>154</v>
      </c>
      <c r="E335" s="19" t="s">
        <v>155</v>
      </c>
      <c r="F335" s="209">
        <v>1</v>
      </c>
      <c r="G335" s="151">
        <v>102708</v>
      </c>
      <c r="H335" s="99">
        <f>1/4</f>
        <v>0.25</v>
      </c>
      <c r="I335" s="156">
        <f>ROUND((F335*G335*H335),0)</f>
        <v>25677</v>
      </c>
      <c r="J335" s="33"/>
      <c r="K335" s="35"/>
    </row>
    <row r="336" spans="1:14" s="57" customFormat="1" ht="13.8" thickBot="1" x14ac:dyDescent="0.35">
      <c r="A336" s="231"/>
      <c r="B336" s="56" t="s">
        <v>1360</v>
      </c>
      <c r="C336" s="64" t="s">
        <v>1364</v>
      </c>
      <c r="D336" s="44" t="s">
        <v>1509</v>
      </c>
      <c r="E336" s="45" t="s">
        <v>1363</v>
      </c>
      <c r="F336" s="212">
        <v>0.1</v>
      </c>
      <c r="G336" s="150">
        <f>I335</f>
        <v>25677</v>
      </c>
      <c r="H336" s="94">
        <v>0</v>
      </c>
      <c r="I336" s="227">
        <f>ROUND((F336*G336),0)</f>
        <v>2568</v>
      </c>
      <c r="J336" s="33"/>
      <c r="K336" s="35"/>
      <c r="L336" s="12"/>
      <c r="M336" s="12"/>
      <c r="N336" s="12"/>
    </row>
    <row r="337" spans="1:14" s="170" customFormat="1" ht="39.6" x14ac:dyDescent="0.3">
      <c r="A337" s="58"/>
      <c r="B337" s="16" t="s">
        <v>1571</v>
      </c>
      <c r="C337" s="39"/>
      <c r="D337" s="40" t="s">
        <v>1568</v>
      </c>
      <c r="E337" s="39" t="s">
        <v>26</v>
      </c>
      <c r="F337" s="204"/>
      <c r="G337" s="149">
        <f>ROUND(SUM(I337:I347),0)</f>
        <v>619920</v>
      </c>
      <c r="H337" s="195"/>
      <c r="I337" s="155"/>
      <c r="J337" s="13"/>
      <c r="K337" s="36"/>
      <c r="L337" s="178"/>
      <c r="M337" s="178"/>
      <c r="N337" s="178"/>
    </row>
    <row r="338" spans="1:14" s="170" customFormat="1" x14ac:dyDescent="0.3">
      <c r="A338" s="58"/>
      <c r="B338" s="806" t="s">
        <v>183</v>
      </c>
      <c r="C338" s="14" t="s">
        <v>1555</v>
      </c>
      <c r="D338" s="85" t="str">
        <f>+VLOOKUP(C338,BD!$A$29:$E$877,2,0)</f>
        <v>Tapa válvula tipo común 21 x 21 cm</v>
      </c>
      <c r="E338" s="19" t="s">
        <v>26</v>
      </c>
      <c r="F338" s="65">
        <v>1</v>
      </c>
      <c r="G338" s="142">
        <f>VLOOKUP(C338,BD!$A$29:$E$877,5,0)</f>
        <v>78110</v>
      </c>
      <c r="H338" s="395">
        <v>1.05</v>
      </c>
      <c r="I338" s="156">
        <f>ROUND((F338*G338*H338),0)</f>
        <v>82016</v>
      </c>
      <c r="J338" s="13"/>
      <c r="K338" s="35"/>
    </row>
    <row r="339" spans="1:14" s="170" customFormat="1" x14ac:dyDescent="0.3">
      <c r="A339" s="58"/>
      <c r="B339" s="806"/>
      <c r="C339" s="14" t="s">
        <v>747</v>
      </c>
      <c r="D339" s="85" t="str">
        <f>+VLOOKUP(C339,BD!$A$29:$E$877,2,0)</f>
        <v>Listón sajo de 5 x 3 cm x 2,5 m (varilla)</v>
      </c>
      <c r="E339" s="19" t="s">
        <v>32</v>
      </c>
      <c r="F339" s="65">
        <v>3</v>
      </c>
      <c r="G339" s="142">
        <f>VLOOKUP(C339,BD!$A$29:$E$877,5,0)</f>
        <v>2675</v>
      </c>
      <c r="H339" s="395">
        <f>1/2</f>
        <v>0.5</v>
      </c>
      <c r="I339" s="156">
        <f>ROUND((F339*G339*H339),0)</f>
        <v>4013</v>
      </c>
      <c r="J339" s="13"/>
      <c r="K339" s="35"/>
    </row>
    <row r="340" spans="1:14" s="170" customFormat="1" x14ac:dyDescent="0.3">
      <c r="A340" s="58"/>
      <c r="B340" s="806"/>
      <c r="C340" s="14" t="s">
        <v>992</v>
      </c>
      <c r="D340" s="85" t="str">
        <f>+VLOOKUP(C340,BD!$A$29:$E$877,2,0)</f>
        <v>Puntilla (promedio)</v>
      </c>
      <c r="E340" s="19" t="s">
        <v>383</v>
      </c>
      <c r="F340" s="65">
        <v>0.8</v>
      </c>
      <c r="G340" s="142">
        <f>VLOOKUP(C340,BD!$A$29:$E$877,5,0)</f>
        <v>2675</v>
      </c>
      <c r="H340" s="395">
        <v>0</v>
      </c>
      <c r="I340" s="156">
        <f>ROUND((F340*G340),0)</f>
        <v>2140</v>
      </c>
      <c r="J340" s="162"/>
      <c r="K340" s="35"/>
    </row>
    <row r="341" spans="1:14" s="170" customFormat="1" x14ac:dyDescent="0.3">
      <c r="A341" s="58"/>
      <c r="B341" s="806"/>
      <c r="C341" s="14" t="s">
        <v>216</v>
      </c>
      <c r="D341" s="85" t="str">
        <f>+VLOOKUP(C341,BD!$A$29:$E$877,2,0)</f>
        <v>ACPM</v>
      </c>
      <c r="E341" s="19" t="s">
        <v>218</v>
      </c>
      <c r="F341" s="65">
        <v>0.2</v>
      </c>
      <c r="G341" s="142">
        <f>VLOOKUP(C341,BD!$A$29:$E$877,5,0)</f>
        <v>9547.61</v>
      </c>
      <c r="H341" s="395">
        <v>1.05</v>
      </c>
      <c r="I341" s="156">
        <f>ROUND((F341*G341*H341),0)</f>
        <v>2005</v>
      </c>
      <c r="J341" s="13"/>
      <c r="K341" s="35"/>
    </row>
    <row r="342" spans="1:14" s="170" customFormat="1" x14ac:dyDescent="0.3">
      <c r="A342" s="58"/>
      <c r="B342" s="806"/>
      <c r="C342" s="14" t="s">
        <v>1071</v>
      </c>
      <c r="D342" s="85" t="str">
        <f>+VLOOKUP(C342,BD!$A$29:$E$877,2,0)</f>
        <v>Tabla para formaleta de 1" x 10" x 2,9 m</v>
      </c>
      <c r="E342" s="19" t="s">
        <v>32</v>
      </c>
      <c r="F342" s="65">
        <v>9</v>
      </c>
      <c r="G342" s="142">
        <f>VLOOKUP(C342,BD!$A$29:$E$877,5,0)</f>
        <v>4280</v>
      </c>
      <c r="H342" s="395">
        <f>1/2</f>
        <v>0.5</v>
      </c>
      <c r="I342" s="156">
        <f>ROUND((F342*G342*H342),0)</f>
        <v>19260</v>
      </c>
      <c r="J342" s="13"/>
      <c r="K342" s="35"/>
    </row>
    <row r="343" spans="1:14" s="178" customFormat="1" ht="15.6" x14ac:dyDescent="0.3">
      <c r="A343" s="179"/>
      <c r="B343" s="826" t="s">
        <v>1504</v>
      </c>
      <c r="C343" s="14" t="s">
        <v>1525</v>
      </c>
      <c r="D343" s="15" t="str">
        <f>+VLOOKUP(C343,$B$5:$G$501,3,0)</f>
        <v>Concreto de 17,2 Mpa (2500 psi) (producción)</v>
      </c>
      <c r="E343" s="19" t="s">
        <v>1507</v>
      </c>
      <c r="F343" s="65">
        <v>0.1</v>
      </c>
      <c r="G343" s="151">
        <f>+VLOOKUP(C343,$B$5:$G$501,6,0)</f>
        <v>487087</v>
      </c>
      <c r="H343" s="395">
        <v>1.05</v>
      </c>
      <c r="I343" s="156">
        <f>ROUND((F343*G343*H343),0)</f>
        <v>51144</v>
      </c>
      <c r="J343" s="20"/>
      <c r="K343" s="35"/>
      <c r="L343" s="170"/>
      <c r="M343" s="170"/>
      <c r="N343" s="170"/>
    </row>
    <row r="344" spans="1:14" s="170" customFormat="1" ht="15.6" x14ac:dyDescent="0.3">
      <c r="A344" s="58"/>
      <c r="B344" s="826"/>
      <c r="C344" s="14" t="s">
        <v>1523</v>
      </c>
      <c r="D344" s="15" t="str">
        <f>+VLOOKUP(C344,$B$5:$G$501,3,0)</f>
        <v>Concreto de 20,7 Mpa (3000 psi) (producción)</v>
      </c>
      <c r="E344" s="19" t="s">
        <v>1507</v>
      </c>
      <c r="F344" s="65">
        <v>0.5</v>
      </c>
      <c r="G344" s="151">
        <f>+VLOOKUP(C344,$B$5:$G$501,6,0)</f>
        <v>568922</v>
      </c>
      <c r="H344" s="395">
        <v>1.05</v>
      </c>
      <c r="I344" s="156">
        <f>ROUND((F344*G344*H344),0)</f>
        <v>298684</v>
      </c>
      <c r="J344" s="13"/>
      <c r="K344" s="35"/>
    </row>
    <row r="345" spans="1:14" s="170" customFormat="1" x14ac:dyDescent="0.3">
      <c r="A345" s="58"/>
      <c r="B345" s="826"/>
      <c r="C345" s="14" t="s">
        <v>84</v>
      </c>
      <c r="D345" s="15" t="str">
        <f>+VLOOKUP(C345,$B$5:$G$501,3,0)</f>
        <v>Acero Fy = 60.000 psi d&gt;1/4"</v>
      </c>
      <c r="E345" s="19" t="s">
        <v>25</v>
      </c>
      <c r="F345" s="65">
        <v>10</v>
      </c>
      <c r="G345" s="151">
        <f>+VLOOKUP(C345,$B$5:$G$501,6,0)</f>
        <v>6971</v>
      </c>
      <c r="H345" s="395">
        <v>0</v>
      </c>
      <c r="I345" s="156">
        <f>ROUND((F345*G345),0)</f>
        <v>69710</v>
      </c>
      <c r="J345" s="13"/>
      <c r="K345" s="35"/>
    </row>
    <row r="346" spans="1:14" s="170" customFormat="1" x14ac:dyDescent="0.3">
      <c r="A346" s="58"/>
      <c r="B346" s="49" t="s">
        <v>1502</v>
      </c>
      <c r="C346" s="14" t="s">
        <v>174</v>
      </c>
      <c r="D346" s="15" t="s">
        <v>135</v>
      </c>
      <c r="E346" s="19" t="s">
        <v>155</v>
      </c>
      <c r="F346" s="65">
        <v>1</v>
      </c>
      <c r="G346" s="142">
        <f>+VLOOKUP(D346,MO!$B$33:$F$79,5,0)</f>
        <v>165360</v>
      </c>
      <c r="H346" s="395">
        <f>1/2</f>
        <v>0.5</v>
      </c>
      <c r="I346" s="156">
        <f>ROUND((F346*G346*H346),0)</f>
        <v>82680</v>
      </c>
      <c r="J346" s="13"/>
      <c r="K346" s="35"/>
    </row>
    <row r="347" spans="1:14" s="170" customFormat="1" ht="13.8" thickBot="1" x14ac:dyDescent="0.35">
      <c r="A347" s="58"/>
      <c r="B347" s="56" t="s">
        <v>1360</v>
      </c>
      <c r="C347" s="43" t="s">
        <v>1364</v>
      </c>
      <c r="D347" s="44" t="s">
        <v>1509</v>
      </c>
      <c r="E347" s="45" t="s">
        <v>1363</v>
      </c>
      <c r="F347" s="205">
        <v>0.1</v>
      </c>
      <c r="G347" s="150">
        <f>I346</f>
        <v>82680</v>
      </c>
      <c r="H347" s="194">
        <v>0</v>
      </c>
      <c r="I347" s="227">
        <f>ROUND((F347*G347),0)</f>
        <v>8268</v>
      </c>
      <c r="J347" s="13"/>
      <c r="K347" s="35"/>
    </row>
    <row r="348" spans="1:14" s="170" customFormat="1" ht="26.4" x14ac:dyDescent="0.3">
      <c r="A348" s="58"/>
      <c r="B348" s="66" t="s">
        <v>76</v>
      </c>
      <c r="C348" s="39"/>
      <c r="D348" s="40" t="s">
        <v>77</v>
      </c>
      <c r="E348" s="39" t="s">
        <v>26</v>
      </c>
      <c r="F348" s="204"/>
      <c r="G348" s="149">
        <f>ROUND(SUM(I349:I354),0)</f>
        <v>3884502</v>
      </c>
      <c r="H348" s="195"/>
      <c r="I348" s="155"/>
      <c r="J348" s="13"/>
      <c r="K348" s="35"/>
    </row>
    <row r="349" spans="1:14" s="170" customFormat="1" ht="26.4" x14ac:dyDescent="0.3">
      <c r="A349" s="58"/>
      <c r="B349" s="806" t="s">
        <v>183</v>
      </c>
      <c r="C349" s="41" t="s">
        <v>637</v>
      </c>
      <c r="D349" s="85" t="str">
        <f>+VLOOKUP(C349,BD!$A$29:$E$877,2,0)</f>
        <v>Hidrante tipo Milán de 3" extremo brida, incluye kit de nivelación</v>
      </c>
      <c r="E349" s="19" t="s">
        <v>26</v>
      </c>
      <c r="F349" s="209">
        <v>1</v>
      </c>
      <c r="G349" s="142">
        <f>VLOOKUP(C349,BD!$A$29:$E$877,5,0)</f>
        <v>2996000</v>
      </c>
      <c r="H349" s="99">
        <v>0</v>
      </c>
      <c r="I349" s="156">
        <f>ROUND((F349*G349),0)</f>
        <v>2996000</v>
      </c>
      <c r="J349" s="13"/>
      <c r="K349" s="34"/>
    </row>
    <row r="350" spans="1:14" s="170" customFormat="1" ht="26.4" x14ac:dyDescent="0.3">
      <c r="A350" s="58"/>
      <c r="B350" s="806"/>
      <c r="C350" s="41" t="s">
        <v>1326</v>
      </c>
      <c r="D350" s="85" t="str">
        <f>+VLOOKUP(C350,BD!$A$29:$E$877,2,0)</f>
        <v>Válvula de 3" sello de bronce extremo liso o junta hidráulica PVC</v>
      </c>
      <c r="E350" s="19" t="s">
        <v>26</v>
      </c>
      <c r="F350" s="209">
        <v>1</v>
      </c>
      <c r="G350" s="142">
        <f>VLOOKUP(C350,BD!$A$29:$E$877,5,0)</f>
        <v>620600</v>
      </c>
      <c r="H350" s="99">
        <v>0</v>
      </c>
      <c r="I350" s="156">
        <f>ROUND((F350*G350),0)</f>
        <v>620600</v>
      </c>
      <c r="J350" s="13"/>
      <c r="K350" s="35"/>
    </row>
    <row r="351" spans="1:14" s="170" customFormat="1" x14ac:dyDescent="0.3">
      <c r="A351" s="58"/>
      <c r="B351" s="806"/>
      <c r="C351" s="41" t="s">
        <v>1214</v>
      </c>
      <c r="D351" s="85" t="str">
        <f>+VLOOKUP(C351,BD!$A$29:$E$877,2,0)</f>
        <v>Tubería PVC acueducto unión platino de 3" rde 21</v>
      </c>
      <c r="E351" s="19" t="s">
        <v>32</v>
      </c>
      <c r="F351" s="209">
        <v>1</v>
      </c>
      <c r="G351" s="142">
        <f>VLOOKUP(C351,BD!$A$29:$E$877,5,0)</f>
        <v>18688.620000000003</v>
      </c>
      <c r="H351" s="99">
        <v>1.05</v>
      </c>
      <c r="I351" s="156">
        <f>ROUND((F351*G351),0)</f>
        <v>18689</v>
      </c>
      <c r="J351" s="13"/>
      <c r="K351" s="35"/>
    </row>
    <row r="352" spans="1:14" s="170" customFormat="1" x14ac:dyDescent="0.3">
      <c r="A352" s="58"/>
      <c r="B352" s="806"/>
      <c r="C352" s="14" t="s">
        <v>442</v>
      </c>
      <c r="D352" s="85" t="str">
        <f>+VLOOKUP(C352,BD!$A$29:$E$877,2,0)</f>
        <v>Cinta de teflón 10 m</v>
      </c>
      <c r="E352" s="19" t="s">
        <v>26</v>
      </c>
      <c r="F352" s="209">
        <v>1</v>
      </c>
      <c r="G352" s="142">
        <f>VLOOKUP(C352,BD!$A$29:$E$877,5,0)</f>
        <v>2354</v>
      </c>
      <c r="H352" s="99">
        <f>1</f>
        <v>1</v>
      </c>
      <c r="I352" s="156">
        <f>ROUND((F352*G352),0)</f>
        <v>2354</v>
      </c>
      <c r="J352" s="13"/>
      <c r="K352" s="35"/>
    </row>
    <row r="353" spans="1:14" s="170" customFormat="1" x14ac:dyDescent="0.3">
      <c r="A353" s="58"/>
      <c r="B353" s="49" t="s">
        <v>1502</v>
      </c>
      <c r="C353" s="41" t="s">
        <v>176</v>
      </c>
      <c r="D353" s="15" t="s">
        <v>136</v>
      </c>
      <c r="E353" s="19" t="s">
        <v>155</v>
      </c>
      <c r="F353" s="209">
        <v>1</v>
      </c>
      <c r="G353" s="142">
        <f>+VLOOKUP(D353,MO!$B$33:$F$79,5,0)</f>
        <v>224417</v>
      </c>
      <c r="H353" s="99">
        <f>1</f>
        <v>1</v>
      </c>
      <c r="I353" s="156">
        <f>ROUND((F353*G353*H353),0)</f>
        <v>224417</v>
      </c>
      <c r="J353" s="13"/>
      <c r="K353" s="35"/>
    </row>
    <row r="354" spans="1:14" s="170" customFormat="1" ht="13.8" thickBot="1" x14ac:dyDescent="0.35">
      <c r="A354" s="58"/>
      <c r="B354" s="56" t="s">
        <v>1360</v>
      </c>
      <c r="C354" s="64" t="s">
        <v>1364</v>
      </c>
      <c r="D354" s="44" t="s">
        <v>1509</v>
      </c>
      <c r="E354" s="45" t="s">
        <v>1363</v>
      </c>
      <c r="F354" s="212">
        <v>0.1</v>
      </c>
      <c r="G354" s="150">
        <f>I353</f>
        <v>224417</v>
      </c>
      <c r="H354" s="94">
        <v>0</v>
      </c>
      <c r="I354" s="227">
        <f>ROUND((F354*G354),0)</f>
        <v>22442</v>
      </c>
      <c r="J354" s="13"/>
      <c r="K354" s="34"/>
    </row>
    <row r="355" spans="1:14" s="12" customFormat="1" x14ac:dyDescent="0.3">
      <c r="A355" s="17"/>
      <c r="B355" s="66" t="s">
        <v>1572</v>
      </c>
      <c r="C355" s="39"/>
      <c r="D355" s="40" t="s">
        <v>12</v>
      </c>
      <c r="E355" s="39" t="s">
        <v>26</v>
      </c>
      <c r="F355" s="204"/>
      <c r="G355" s="149">
        <f>ROUND(SUM(I356:I360),0)</f>
        <v>152832</v>
      </c>
      <c r="H355" s="195"/>
      <c r="I355" s="155"/>
      <c r="J355" s="33"/>
      <c r="K355" s="35"/>
    </row>
    <row r="356" spans="1:14" s="12" customFormat="1" x14ac:dyDescent="0.3">
      <c r="A356" s="17"/>
      <c r="B356" s="806" t="s">
        <v>183</v>
      </c>
      <c r="C356" s="41" t="s">
        <v>1554</v>
      </c>
      <c r="D356" s="85" t="str">
        <f>+VLOOKUP(C356,BD!$A$29:$E$877,2,0)</f>
        <v>Codo en HD Ø= 3" x 90°  J.H o E.L</v>
      </c>
      <c r="E356" s="19" t="s">
        <v>26</v>
      </c>
      <c r="F356" s="209">
        <v>1</v>
      </c>
      <c r="G356" s="142">
        <f>VLOOKUP(C356,BD!$A$29:$E$877,5,0)</f>
        <v>149800</v>
      </c>
      <c r="H356" s="99">
        <v>0</v>
      </c>
      <c r="I356" s="156">
        <f>ROUND((F356*G356),0)</f>
        <v>149800</v>
      </c>
      <c r="J356" s="33"/>
      <c r="K356" s="35"/>
    </row>
    <row r="357" spans="1:14" s="12" customFormat="1" x14ac:dyDescent="0.3">
      <c r="A357" s="17"/>
      <c r="B357" s="806"/>
      <c r="C357" s="14" t="s">
        <v>745</v>
      </c>
      <c r="D357" s="85" t="str">
        <f>+VLOOKUP(C357,BD!$A$29:$E$877,2,0)</f>
        <v>Limpiador removedor PVC 1/4</v>
      </c>
      <c r="E357" s="19" t="s">
        <v>26</v>
      </c>
      <c r="F357" s="65">
        <v>0.02</v>
      </c>
      <c r="G357" s="142">
        <f>VLOOKUP(C357,BD!$A$29:$E$877,5,0)</f>
        <v>43809.01</v>
      </c>
      <c r="H357" s="395">
        <v>1.03</v>
      </c>
      <c r="I357" s="156">
        <f>ROUND((F357*G357*H357),0)</f>
        <v>902</v>
      </c>
      <c r="J357" s="33"/>
      <c r="K357" s="34"/>
      <c r="L357" s="57"/>
      <c r="M357" s="57"/>
      <c r="N357" s="57"/>
    </row>
    <row r="358" spans="1:14" s="12" customFormat="1" x14ac:dyDescent="0.3">
      <c r="A358" s="17"/>
      <c r="B358" s="806"/>
      <c r="C358" s="14" t="s">
        <v>1061</v>
      </c>
      <c r="D358" s="85" t="str">
        <f>+VLOOKUP(C358,BD!$A$29:$E$877,2,0)</f>
        <v>Soldadura liquida para PVC 1/4</v>
      </c>
      <c r="E358" s="19" t="s">
        <v>26</v>
      </c>
      <c r="F358" s="65">
        <v>0.02</v>
      </c>
      <c r="G358" s="142">
        <f>VLOOKUP(C358,BD!$A$29:$E$877,5,0)</f>
        <v>82604</v>
      </c>
      <c r="H358" s="395">
        <v>1.03</v>
      </c>
      <c r="I358" s="156">
        <f>ROUND((F358*G358*H358),0)</f>
        <v>1702</v>
      </c>
      <c r="J358" s="33"/>
      <c r="K358" s="35"/>
    </row>
    <row r="359" spans="1:14" s="12" customFormat="1" x14ac:dyDescent="0.3">
      <c r="A359" s="17"/>
      <c r="B359" s="49" t="s">
        <v>1502</v>
      </c>
      <c r="C359" s="41" t="s">
        <v>153</v>
      </c>
      <c r="D359" s="15" t="s">
        <v>154</v>
      </c>
      <c r="E359" s="19" t="s">
        <v>155</v>
      </c>
      <c r="F359" s="209">
        <v>1</v>
      </c>
      <c r="G359" s="151">
        <v>1554.3</v>
      </c>
      <c r="H359" s="99">
        <f>1/4</f>
        <v>0.25</v>
      </c>
      <c r="I359" s="156">
        <f>ROUND((F359*G359*H359),0)</f>
        <v>389</v>
      </c>
      <c r="J359" s="33"/>
      <c r="K359" s="35"/>
    </row>
    <row r="360" spans="1:14" s="57" customFormat="1" ht="13.8" thickBot="1" x14ac:dyDescent="0.35">
      <c r="A360" s="231"/>
      <c r="B360" s="56" t="s">
        <v>1360</v>
      </c>
      <c r="C360" s="64" t="s">
        <v>1364</v>
      </c>
      <c r="D360" s="44" t="s">
        <v>1509</v>
      </c>
      <c r="E360" s="45" t="s">
        <v>1363</v>
      </c>
      <c r="F360" s="212">
        <v>0.1</v>
      </c>
      <c r="G360" s="150">
        <f>I359</f>
        <v>389</v>
      </c>
      <c r="H360" s="94">
        <v>0</v>
      </c>
      <c r="I360" s="227">
        <f>ROUND((F360*G360),0)</f>
        <v>39</v>
      </c>
      <c r="J360" s="33"/>
      <c r="K360" s="35"/>
      <c r="L360" s="12"/>
      <c r="M360" s="12"/>
      <c r="N360" s="12"/>
    </row>
    <row r="361" spans="1:14" s="12" customFormat="1" x14ac:dyDescent="0.3">
      <c r="A361" s="17"/>
      <c r="B361" s="66" t="s">
        <v>1573</v>
      </c>
      <c r="C361" s="39"/>
      <c r="D361" s="40" t="s">
        <v>13</v>
      </c>
      <c r="E361" s="39" t="s">
        <v>26</v>
      </c>
      <c r="F361" s="204"/>
      <c r="G361" s="149">
        <f>ROUND(SUM(I362:I366),0)</f>
        <v>242279</v>
      </c>
      <c r="H361" s="195"/>
      <c r="I361" s="155"/>
      <c r="J361" s="33"/>
      <c r="K361" s="35"/>
    </row>
    <row r="362" spans="1:14" s="12" customFormat="1" x14ac:dyDescent="0.3">
      <c r="A362" s="17"/>
      <c r="B362" s="806" t="s">
        <v>183</v>
      </c>
      <c r="C362" s="41" t="s">
        <v>1553</v>
      </c>
      <c r="D362" s="85" t="str">
        <f>+VLOOKUP(C362,BD!$A$29:$E$877,2,0)</f>
        <v>Tee en HD Ø= 3" x  3"  J.H o E.L</v>
      </c>
      <c r="E362" s="19" t="s">
        <v>26</v>
      </c>
      <c r="F362" s="209">
        <v>1</v>
      </c>
      <c r="G362" s="142">
        <f>VLOOKUP(C362,BD!$A$29:$E$877,5,0)</f>
        <v>235400</v>
      </c>
      <c r="H362" s="99">
        <v>0</v>
      </c>
      <c r="I362" s="156">
        <f>ROUND((F362*G362),0)</f>
        <v>235400</v>
      </c>
      <c r="J362" s="33"/>
      <c r="K362" s="35"/>
    </row>
    <row r="363" spans="1:14" s="12" customFormat="1" x14ac:dyDescent="0.3">
      <c r="A363" s="17"/>
      <c r="B363" s="806"/>
      <c r="C363" s="14" t="s">
        <v>745</v>
      </c>
      <c r="D363" s="85" t="str">
        <f>+VLOOKUP(C363,BD!$A$29:$E$877,2,0)</f>
        <v>Limpiador removedor PVC 1/4</v>
      </c>
      <c r="E363" s="19" t="s">
        <v>26</v>
      </c>
      <c r="F363" s="65">
        <v>0.02</v>
      </c>
      <c r="G363" s="142">
        <f>VLOOKUP(C363,BD!$A$29:$E$877,5,0)</f>
        <v>43809.01</v>
      </c>
      <c r="H363" s="395">
        <v>1.03</v>
      </c>
      <c r="I363" s="156">
        <f>ROUND((F363*G363*H363),0)</f>
        <v>902</v>
      </c>
      <c r="J363" s="33"/>
      <c r="K363" s="34"/>
      <c r="L363" s="57"/>
      <c r="M363" s="57"/>
      <c r="N363" s="57"/>
    </row>
    <row r="364" spans="1:14" s="12" customFormat="1" x14ac:dyDescent="0.3">
      <c r="A364" s="17"/>
      <c r="B364" s="806"/>
      <c r="C364" s="14" t="s">
        <v>1061</v>
      </c>
      <c r="D364" s="85" t="str">
        <f>+VLOOKUP(C364,BD!$A$29:$E$877,2,0)</f>
        <v>Soldadura liquida para PVC 1/4</v>
      </c>
      <c r="E364" s="19" t="s">
        <v>26</v>
      </c>
      <c r="F364" s="65">
        <v>0.02</v>
      </c>
      <c r="G364" s="142">
        <f>VLOOKUP(C364,BD!$A$29:$E$877,5,0)</f>
        <v>82604</v>
      </c>
      <c r="H364" s="395">
        <v>1.03</v>
      </c>
      <c r="I364" s="156">
        <f>ROUND((F364*G364*H364),0)</f>
        <v>1702</v>
      </c>
      <c r="J364" s="33"/>
      <c r="K364" s="35"/>
    </row>
    <row r="365" spans="1:14" s="12" customFormat="1" x14ac:dyDescent="0.3">
      <c r="A365" s="17"/>
      <c r="B365" s="49" t="s">
        <v>1502</v>
      </c>
      <c r="C365" s="41" t="s">
        <v>153</v>
      </c>
      <c r="D365" s="15" t="s">
        <v>154</v>
      </c>
      <c r="E365" s="19" t="s">
        <v>155</v>
      </c>
      <c r="F365" s="209">
        <v>1</v>
      </c>
      <c r="G365" s="151">
        <v>15543</v>
      </c>
      <c r="H365" s="99">
        <f>1/4</f>
        <v>0.25</v>
      </c>
      <c r="I365" s="156">
        <f>ROUND((F365*G365*H365),0)</f>
        <v>3886</v>
      </c>
      <c r="J365" s="33"/>
      <c r="K365" s="35"/>
    </row>
    <row r="366" spans="1:14" s="57" customFormat="1" ht="13.8" thickBot="1" x14ac:dyDescent="0.35">
      <c r="A366" s="231"/>
      <c r="B366" s="56" t="s">
        <v>1360</v>
      </c>
      <c r="C366" s="64" t="s">
        <v>1364</v>
      </c>
      <c r="D366" s="44" t="s">
        <v>1509</v>
      </c>
      <c r="E366" s="45" t="s">
        <v>1363</v>
      </c>
      <c r="F366" s="212">
        <v>0.1</v>
      </c>
      <c r="G366" s="150">
        <f>I365</f>
        <v>3886</v>
      </c>
      <c r="H366" s="94">
        <v>0</v>
      </c>
      <c r="I366" s="227">
        <f>ROUND((F366*G366),0)</f>
        <v>389</v>
      </c>
      <c r="J366" s="33"/>
      <c r="K366" s="35"/>
      <c r="L366" s="12"/>
      <c r="M366" s="12"/>
      <c r="N366" s="12"/>
    </row>
    <row r="367" spans="1:14" s="12" customFormat="1" x14ac:dyDescent="0.3">
      <c r="A367" s="17"/>
      <c r="B367" s="66" t="s">
        <v>1574</v>
      </c>
      <c r="C367" s="39"/>
      <c r="D367" s="40" t="s">
        <v>14</v>
      </c>
      <c r="E367" s="39" t="s">
        <v>26</v>
      </c>
      <c r="F367" s="204"/>
      <c r="G367" s="149">
        <f>ROUND(SUM(I368:I372),0)</f>
        <v>159685</v>
      </c>
      <c r="H367" s="195"/>
      <c r="I367" s="155"/>
      <c r="J367" s="33"/>
      <c r="K367" s="35"/>
    </row>
    <row r="368" spans="1:14" s="12" customFormat="1" x14ac:dyDescent="0.3">
      <c r="A368" s="17"/>
      <c r="B368" s="806" t="s">
        <v>183</v>
      </c>
      <c r="C368" s="41" t="s">
        <v>1552</v>
      </c>
      <c r="D368" s="85" t="str">
        <f>+VLOOKUP(C368,BD!$A$29:$E$877,2,0)</f>
        <v>Unión universal en HD R1 Ø=3"</v>
      </c>
      <c r="E368" s="19" t="s">
        <v>26</v>
      </c>
      <c r="F368" s="209">
        <v>1</v>
      </c>
      <c r="G368" s="142">
        <f>VLOOKUP(C368,BD!$A$29:$E$877,5,0)</f>
        <v>139100</v>
      </c>
      <c r="H368" s="99">
        <v>0</v>
      </c>
      <c r="I368" s="156">
        <f>ROUND((F368*G368),0)</f>
        <v>139100</v>
      </c>
      <c r="J368" s="33"/>
      <c r="K368" s="35"/>
    </row>
    <row r="369" spans="1:14" s="12" customFormat="1" x14ac:dyDescent="0.3">
      <c r="A369" s="17"/>
      <c r="B369" s="806"/>
      <c r="C369" s="14" t="s">
        <v>745</v>
      </c>
      <c r="D369" s="85" t="str">
        <f>+VLOOKUP(C369,BD!$A$29:$E$877,2,0)</f>
        <v>Limpiador removedor PVC 1/4</v>
      </c>
      <c r="E369" s="19" t="s">
        <v>26</v>
      </c>
      <c r="F369" s="65">
        <v>0.02</v>
      </c>
      <c r="G369" s="142">
        <f>VLOOKUP(C369,BD!$A$29:$E$877,5,0)</f>
        <v>43809.01</v>
      </c>
      <c r="H369" s="395">
        <v>1.03</v>
      </c>
      <c r="I369" s="156">
        <f>ROUND((F369*G369*H369),0)</f>
        <v>902</v>
      </c>
      <c r="J369" s="33"/>
      <c r="K369" s="34"/>
      <c r="L369" s="57"/>
      <c r="M369" s="57"/>
      <c r="N369" s="57"/>
    </row>
    <row r="370" spans="1:14" s="12" customFormat="1" x14ac:dyDescent="0.3">
      <c r="A370" s="17"/>
      <c r="B370" s="806"/>
      <c r="C370" s="14" t="s">
        <v>1061</v>
      </c>
      <c r="D370" s="85" t="str">
        <f>+VLOOKUP(C370,BD!$A$29:$E$877,2,0)</f>
        <v>Soldadura liquida para PVC 1/4</v>
      </c>
      <c r="E370" s="19" t="s">
        <v>26</v>
      </c>
      <c r="F370" s="65">
        <v>0.02</v>
      </c>
      <c r="G370" s="142">
        <f>VLOOKUP(C370,BD!$A$29:$E$877,5,0)</f>
        <v>82604</v>
      </c>
      <c r="H370" s="395">
        <v>1.03</v>
      </c>
      <c r="I370" s="156">
        <f>ROUND((F370*G370*H370),0)</f>
        <v>1702</v>
      </c>
      <c r="J370" s="33"/>
      <c r="K370" s="35"/>
    </row>
    <row r="371" spans="1:14" s="12" customFormat="1" x14ac:dyDescent="0.3">
      <c r="A371" s="17"/>
      <c r="B371" s="49" t="s">
        <v>1502</v>
      </c>
      <c r="C371" s="41" t="s">
        <v>153</v>
      </c>
      <c r="D371" s="15" t="s">
        <v>154</v>
      </c>
      <c r="E371" s="19" t="s">
        <v>155</v>
      </c>
      <c r="F371" s="209">
        <v>1</v>
      </c>
      <c r="G371" s="151">
        <v>65384.22</v>
      </c>
      <c r="H371" s="99">
        <f>1/4</f>
        <v>0.25</v>
      </c>
      <c r="I371" s="156">
        <f>ROUND((F371*G371*H371),0)</f>
        <v>16346</v>
      </c>
      <c r="J371" s="33"/>
      <c r="K371" s="35"/>
    </row>
    <row r="372" spans="1:14" s="57" customFormat="1" ht="13.8" thickBot="1" x14ac:dyDescent="0.35">
      <c r="A372" s="231"/>
      <c r="B372" s="56" t="s">
        <v>1360</v>
      </c>
      <c r="C372" s="64" t="s">
        <v>1364</v>
      </c>
      <c r="D372" s="44" t="s">
        <v>1509</v>
      </c>
      <c r="E372" s="45" t="s">
        <v>1363</v>
      </c>
      <c r="F372" s="212">
        <v>0.1</v>
      </c>
      <c r="G372" s="150">
        <f>I371</f>
        <v>16346</v>
      </c>
      <c r="H372" s="94">
        <v>0</v>
      </c>
      <c r="I372" s="227">
        <f>ROUND((F372*G372),0)</f>
        <v>1635</v>
      </c>
      <c r="J372" s="33"/>
      <c r="K372" s="35"/>
      <c r="L372" s="12"/>
      <c r="M372" s="12"/>
      <c r="N372" s="12"/>
    </row>
    <row r="373" spans="1:14" ht="26.4" x14ac:dyDescent="0.3">
      <c r="B373" s="68" t="s">
        <v>1575</v>
      </c>
      <c r="C373" s="84"/>
      <c r="D373" s="83" t="s">
        <v>1569</v>
      </c>
      <c r="E373" s="39" t="s">
        <v>1514</v>
      </c>
      <c r="F373" s="203"/>
      <c r="G373" s="141">
        <f>ROUND(SUM(I373:I381),0)</f>
        <v>724172</v>
      </c>
      <c r="H373" s="192"/>
      <c r="I373" s="153"/>
      <c r="J373" s="24"/>
      <c r="K373" s="35"/>
    </row>
    <row r="374" spans="1:14" x14ac:dyDescent="0.3">
      <c r="B374" s="806" t="s">
        <v>183</v>
      </c>
      <c r="C374" s="100" t="s">
        <v>1071</v>
      </c>
      <c r="D374" s="85" t="str">
        <f>+VLOOKUP(C374,BD!$A$29:$E$877,2,0)</f>
        <v>Tabla para formaleta de 1" x 10" x 2,9 m</v>
      </c>
      <c r="E374" s="86" t="s">
        <v>32</v>
      </c>
      <c r="F374" s="201">
        <v>15</v>
      </c>
      <c r="G374" s="142">
        <f>VLOOKUP(C374,BD!$A$29:$E$877,5,0)</f>
        <v>4280</v>
      </c>
      <c r="H374" s="193">
        <f>1/3</f>
        <v>0.33333333333333331</v>
      </c>
      <c r="I374" s="148">
        <f>ROUND((F374*G374*H374),0)</f>
        <v>21400</v>
      </c>
      <c r="J374" s="24"/>
      <c r="K374" s="35"/>
    </row>
    <row r="375" spans="1:14" x14ac:dyDescent="0.3">
      <c r="B375" s="806"/>
      <c r="C375" s="100" t="s">
        <v>992</v>
      </c>
      <c r="D375" s="85" t="str">
        <f>+VLOOKUP(C375,BD!$A$29:$E$877,2,0)</f>
        <v>Puntilla (promedio)</v>
      </c>
      <c r="E375" s="86" t="s">
        <v>383</v>
      </c>
      <c r="F375" s="201">
        <v>1.5</v>
      </c>
      <c r="G375" s="142">
        <f>VLOOKUP(C375,BD!$A$29:$E$877,5,0)</f>
        <v>2675</v>
      </c>
      <c r="H375" s="193">
        <v>0</v>
      </c>
      <c r="I375" s="148">
        <f>ROUND((F375*G375),0)</f>
        <v>4013</v>
      </c>
      <c r="J375" s="24"/>
      <c r="K375" s="35"/>
    </row>
    <row r="376" spans="1:14" s="24" customFormat="1" x14ac:dyDescent="0.3">
      <c r="A376" s="102"/>
      <c r="B376" s="806"/>
      <c r="C376" s="100" t="s">
        <v>1332</v>
      </c>
      <c r="D376" s="85" t="str">
        <f>+VLOOKUP(C376,BD!$A$29:$E$877,2,0)</f>
        <v xml:space="preserve">Varillón de sajo 3x3 </v>
      </c>
      <c r="E376" s="86" t="s">
        <v>32</v>
      </c>
      <c r="F376" s="201">
        <v>1</v>
      </c>
      <c r="G376" s="142">
        <f>VLOOKUP(C376,BD!$A$29:$E$877,5,0)</f>
        <v>2675</v>
      </c>
      <c r="H376" s="193">
        <f>1/3</f>
        <v>0.33333333333333331</v>
      </c>
      <c r="I376" s="148">
        <f>ROUND((F376*G376*H376),0)</f>
        <v>892</v>
      </c>
      <c r="K376" s="34"/>
    </row>
    <row r="377" spans="1:14" x14ac:dyDescent="0.3">
      <c r="A377" s="48"/>
      <c r="B377" s="806"/>
      <c r="C377" s="100" t="s">
        <v>216</v>
      </c>
      <c r="D377" s="85" t="str">
        <f>+VLOOKUP(C377,BD!$A$29:$E$877,2,0)</f>
        <v>ACPM</v>
      </c>
      <c r="E377" s="86" t="s">
        <v>218</v>
      </c>
      <c r="F377" s="201">
        <v>0.5</v>
      </c>
      <c r="G377" s="142">
        <f>VLOOKUP(C377,BD!$A$29:$E$877,5,0)</f>
        <v>9547.61</v>
      </c>
      <c r="H377" s="193">
        <v>1.05</v>
      </c>
      <c r="I377" s="148">
        <f>ROUND((F377*G377*H377),0)</f>
        <v>5012</v>
      </c>
      <c r="J377" s="24"/>
      <c r="K377" s="35"/>
    </row>
    <row r="378" spans="1:14" ht="15.6" x14ac:dyDescent="0.3">
      <c r="B378" s="810" t="s">
        <v>1504</v>
      </c>
      <c r="C378" s="100" t="s">
        <v>1523</v>
      </c>
      <c r="D378" s="15" t="str">
        <f>+VLOOKUP(C378,$B$5:$G$501,3,0)</f>
        <v>Concreto de 20,7 Mpa (3000 psi) (producción)</v>
      </c>
      <c r="E378" s="86" t="s">
        <v>1559</v>
      </c>
      <c r="F378" s="201">
        <v>1</v>
      </c>
      <c r="G378" s="151">
        <f>+VLOOKUP(C378,$B$5:$G$501,6,0)</f>
        <v>568922</v>
      </c>
      <c r="H378" s="193">
        <v>1.05</v>
      </c>
      <c r="I378" s="148">
        <f>ROUND((F378*G378*H378),0)</f>
        <v>597368</v>
      </c>
      <c r="J378" s="24"/>
      <c r="K378" s="35"/>
    </row>
    <row r="379" spans="1:14" x14ac:dyDescent="0.3">
      <c r="B379" s="810"/>
      <c r="C379" s="100" t="s">
        <v>84</v>
      </c>
      <c r="D379" s="15" t="str">
        <f>+VLOOKUP(C379,$B$5:$G$501,3,0)</f>
        <v>Acero Fy = 60.000 psi d&gt;1/4"</v>
      </c>
      <c r="E379" s="86" t="s">
        <v>25</v>
      </c>
      <c r="F379" s="201">
        <v>5</v>
      </c>
      <c r="G379" s="151">
        <f>+VLOOKUP(C379,$B$5:$G$501,6,0)</f>
        <v>6971</v>
      </c>
      <c r="H379" s="193">
        <v>0</v>
      </c>
      <c r="I379" s="148">
        <f>ROUND((F379*G379),0)</f>
        <v>34855</v>
      </c>
      <c r="J379" s="24"/>
      <c r="K379" s="35"/>
    </row>
    <row r="380" spans="1:14" x14ac:dyDescent="0.3">
      <c r="B380" s="49" t="s">
        <v>1502</v>
      </c>
      <c r="C380" s="100" t="s">
        <v>174</v>
      </c>
      <c r="D380" s="85" t="s">
        <v>135</v>
      </c>
      <c r="E380" s="86" t="s">
        <v>155</v>
      </c>
      <c r="F380" s="201">
        <v>0.2</v>
      </c>
      <c r="G380" s="142">
        <f>+VLOOKUP(D380,MO!$B$33:$F$79,5,0)</f>
        <v>165360</v>
      </c>
      <c r="H380" s="193">
        <f>1/0.6</f>
        <v>1.6666666666666667</v>
      </c>
      <c r="I380" s="148">
        <f>ROUND((F380*G380*H380),0)</f>
        <v>55120</v>
      </c>
      <c r="J380" s="24"/>
      <c r="K380" s="35"/>
    </row>
    <row r="381" spans="1:14" ht="13.8" thickBot="1" x14ac:dyDescent="0.35">
      <c r="B381" s="228" t="s">
        <v>1360</v>
      </c>
      <c r="C381" s="101" t="s">
        <v>1364</v>
      </c>
      <c r="D381" s="87" t="s">
        <v>1509</v>
      </c>
      <c r="E381" s="88" t="s">
        <v>1363</v>
      </c>
      <c r="F381" s="202">
        <v>0.1</v>
      </c>
      <c r="G381" s="143">
        <f>I380</f>
        <v>55120</v>
      </c>
      <c r="H381" s="194">
        <v>0</v>
      </c>
      <c r="I381" s="226">
        <f>ROUND((F381*G381),0)</f>
        <v>5512</v>
      </c>
      <c r="J381" s="24"/>
      <c r="K381" s="35"/>
    </row>
    <row r="382" spans="1:14" s="170" customFormat="1" x14ac:dyDescent="0.3">
      <c r="A382" s="58"/>
      <c r="B382" s="68" t="s">
        <v>80</v>
      </c>
      <c r="C382" s="39"/>
      <c r="D382" s="40" t="s">
        <v>1750</v>
      </c>
      <c r="E382" s="39" t="s">
        <v>32</v>
      </c>
      <c r="F382" s="204"/>
      <c r="G382" s="149">
        <f>ROUND(SUM(I383:I386),0)</f>
        <v>34250</v>
      </c>
      <c r="H382" s="195"/>
      <c r="I382" s="155"/>
      <c r="J382" s="13"/>
      <c r="K382" s="35"/>
    </row>
    <row r="383" spans="1:14" s="170" customFormat="1" ht="26.4" x14ac:dyDescent="0.3">
      <c r="A383" s="58"/>
      <c r="B383" s="806" t="s">
        <v>183</v>
      </c>
      <c r="C383" s="14" t="s">
        <v>1242</v>
      </c>
      <c r="D383" s="85" t="str">
        <f>+VLOOKUP(C383,BD!$A$29:$E$877,2,0)</f>
        <v>Tubería PVC de alcantarillado de pared estructural d =  6", exterior corrugado</v>
      </c>
      <c r="E383" s="19" t="s">
        <v>32</v>
      </c>
      <c r="F383" s="65">
        <v>1</v>
      </c>
      <c r="G383" s="142">
        <f>VLOOKUP(C383,BD!$A$29:$E$877,5,0)</f>
        <v>25145</v>
      </c>
      <c r="H383" s="395">
        <v>1.05</v>
      </c>
      <c r="I383" s="156">
        <f>ROUND((F383*G383*H383),0)</f>
        <v>26402</v>
      </c>
      <c r="J383" s="13"/>
      <c r="K383" s="35"/>
    </row>
    <row r="384" spans="1:14" s="170" customFormat="1" x14ac:dyDescent="0.3">
      <c r="A384" s="58"/>
      <c r="B384" s="806"/>
      <c r="C384" s="14" t="s">
        <v>1334</v>
      </c>
      <c r="D384" s="85" t="str">
        <f>+VLOOKUP(C384,BD!$A$29:$E$877,2,0)</f>
        <v>Vaselina</v>
      </c>
      <c r="E384" s="19" t="s">
        <v>383</v>
      </c>
      <c r="F384" s="65">
        <v>0.08</v>
      </c>
      <c r="G384" s="142">
        <f>VLOOKUP(C384,BD!$A$29:$E$877,5,0)</f>
        <v>6955</v>
      </c>
      <c r="H384" s="395">
        <v>1.03</v>
      </c>
      <c r="I384" s="156">
        <f>ROUND((F384*G384*H384),0)</f>
        <v>573</v>
      </c>
      <c r="J384" s="13"/>
      <c r="K384" s="35"/>
    </row>
    <row r="385" spans="1:11" s="170" customFormat="1" x14ac:dyDescent="0.3">
      <c r="A385" s="58"/>
      <c r="B385" s="49" t="s">
        <v>1502</v>
      </c>
      <c r="C385" s="14" t="s">
        <v>174</v>
      </c>
      <c r="D385" s="15" t="s">
        <v>135</v>
      </c>
      <c r="E385" s="19" t="s">
        <v>155</v>
      </c>
      <c r="F385" s="65">
        <v>1</v>
      </c>
      <c r="G385" s="142">
        <f>+VLOOKUP(D385,MO!$B$33:$F$79,5,0)</f>
        <v>165360</v>
      </c>
      <c r="H385" s="395">
        <f>1/25</f>
        <v>0.04</v>
      </c>
      <c r="I385" s="156">
        <f>ROUND((F385*G385*H385),0)</f>
        <v>6614</v>
      </c>
      <c r="J385" s="13"/>
      <c r="K385" s="35"/>
    </row>
    <row r="386" spans="1:11" s="170" customFormat="1" ht="13.8" thickBot="1" x14ac:dyDescent="0.35">
      <c r="A386" s="58"/>
      <c r="B386" s="228" t="s">
        <v>1360</v>
      </c>
      <c r="C386" s="43" t="s">
        <v>1364</v>
      </c>
      <c r="D386" s="44" t="s">
        <v>1509</v>
      </c>
      <c r="E386" s="45" t="s">
        <v>1363</v>
      </c>
      <c r="F386" s="205">
        <v>0.1</v>
      </c>
      <c r="G386" s="150">
        <f>I385</f>
        <v>6614</v>
      </c>
      <c r="H386" s="194">
        <v>0</v>
      </c>
      <c r="I386" s="227">
        <f>ROUND((F386*G386),0)</f>
        <v>661</v>
      </c>
      <c r="J386" s="13"/>
      <c r="K386" s="35"/>
    </row>
    <row r="387" spans="1:11" s="170" customFormat="1" x14ac:dyDescent="0.3">
      <c r="A387" s="58"/>
      <c r="B387" s="66" t="s">
        <v>81</v>
      </c>
      <c r="C387" s="39"/>
      <c r="D387" s="40" t="s">
        <v>1</v>
      </c>
      <c r="E387" s="39" t="s">
        <v>32</v>
      </c>
      <c r="F387" s="204"/>
      <c r="G387" s="149">
        <f>ROUND(SUM(I388:I391),0)</f>
        <v>66627</v>
      </c>
      <c r="H387" s="195"/>
      <c r="I387" s="155"/>
      <c r="J387" s="13"/>
      <c r="K387" s="35"/>
    </row>
    <row r="388" spans="1:11" s="170" customFormat="1" ht="26.4" x14ac:dyDescent="0.3">
      <c r="A388" s="58"/>
      <c r="B388" s="806" t="s">
        <v>183</v>
      </c>
      <c r="C388" s="14" t="s">
        <v>1246</v>
      </c>
      <c r="D388" s="85" t="str">
        <f>+VLOOKUP(C388,BD!$A$29:$E$877,2,0)</f>
        <v>Tubería PVC de alcantarillado de pared estructural d =  10", exterior corrugado</v>
      </c>
      <c r="E388" s="19" t="s">
        <v>32</v>
      </c>
      <c r="F388" s="65">
        <v>1</v>
      </c>
      <c r="G388" s="142">
        <f>VLOOKUP(C388,BD!$A$29:$E$877,5,0)</f>
        <v>50290</v>
      </c>
      <c r="H388" s="395">
        <v>1.05</v>
      </c>
      <c r="I388" s="156">
        <f>ROUND((F388*G388*H388),0)</f>
        <v>52805</v>
      </c>
      <c r="J388" s="13"/>
      <c r="K388" s="35"/>
    </row>
    <row r="389" spans="1:11" s="170" customFormat="1" x14ac:dyDescent="0.3">
      <c r="A389" s="58"/>
      <c r="B389" s="806"/>
      <c r="C389" s="14" t="s">
        <v>1334</v>
      </c>
      <c r="D389" s="85" t="str">
        <f>+VLOOKUP(C389,BD!$A$29:$E$877,2,0)</f>
        <v>Vaselina</v>
      </c>
      <c r="E389" s="19" t="s">
        <v>383</v>
      </c>
      <c r="F389" s="65">
        <v>1.4999999999999999E-2</v>
      </c>
      <c r="G389" s="142">
        <f>VLOOKUP(C389,BD!$A$29:$E$877,5,0)</f>
        <v>6955</v>
      </c>
      <c r="H389" s="395">
        <v>1.03</v>
      </c>
      <c r="I389" s="156">
        <f>ROUND((F389*G389*H389),0)</f>
        <v>107</v>
      </c>
      <c r="J389" s="13"/>
      <c r="K389" s="35"/>
    </row>
    <row r="390" spans="1:11" s="170" customFormat="1" x14ac:dyDescent="0.3">
      <c r="A390" s="58"/>
      <c r="B390" s="49" t="s">
        <v>1502</v>
      </c>
      <c r="C390" s="14" t="s">
        <v>176</v>
      </c>
      <c r="D390" s="15" t="s">
        <v>136</v>
      </c>
      <c r="E390" s="19" t="s">
        <v>155</v>
      </c>
      <c r="F390" s="65">
        <v>1</v>
      </c>
      <c r="G390" s="142">
        <f>+VLOOKUP(D390,MO!$B$33:$F$79,5,0)</f>
        <v>224417</v>
      </c>
      <c r="H390" s="395">
        <f>1/18</f>
        <v>5.5555555555555552E-2</v>
      </c>
      <c r="I390" s="156">
        <f>ROUND((F390*G390*H390),0)</f>
        <v>12468</v>
      </c>
      <c r="J390" s="13"/>
      <c r="K390" s="35"/>
    </row>
    <row r="391" spans="1:11" s="170" customFormat="1" ht="13.8" thickBot="1" x14ac:dyDescent="0.35">
      <c r="A391" s="58"/>
      <c r="B391" s="228" t="s">
        <v>1360</v>
      </c>
      <c r="C391" s="43" t="s">
        <v>1364</v>
      </c>
      <c r="D391" s="44" t="s">
        <v>1509</v>
      </c>
      <c r="E391" s="45" t="s">
        <v>1363</v>
      </c>
      <c r="F391" s="205">
        <v>0.1</v>
      </c>
      <c r="G391" s="150">
        <f>I390</f>
        <v>12468</v>
      </c>
      <c r="H391" s="194">
        <v>0</v>
      </c>
      <c r="I391" s="227">
        <f>ROUND((F391*G391),0)</f>
        <v>1247</v>
      </c>
      <c r="J391" s="13"/>
      <c r="K391" s="35"/>
    </row>
    <row r="392" spans="1:11" s="170" customFormat="1" ht="26.4" x14ac:dyDescent="0.3">
      <c r="A392" s="58"/>
      <c r="B392" s="66" t="s">
        <v>1840</v>
      </c>
      <c r="C392" s="39"/>
      <c r="D392" s="40" t="s">
        <v>1251</v>
      </c>
      <c r="E392" s="39" t="s">
        <v>32</v>
      </c>
      <c r="F392" s="204"/>
      <c r="G392" s="149">
        <f>ROUND(SUM(I393:I396),0)</f>
        <v>163940</v>
      </c>
      <c r="H392" s="195"/>
      <c r="I392" s="155"/>
      <c r="J392" s="13"/>
      <c r="K392" s="34"/>
    </row>
    <row r="393" spans="1:11" s="170" customFormat="1" ht="26.4" x14ac:dyDescent="0.3">
      <c r="A393" s="58"/>
      <c r="B393" s="806" t="s">
        <v>183</v>
      </c>
      <c r="C393" s="14" t="s">
        <v>1248</v>
      </c>
      <c r="D393" s="85" t="s">
        <v>1251</v>
      </c>
      <c r="E393" s="19" t="s">
        <v>32</v>
      </c>
      <c r="F393" s="65">
        <v>1</v>
      </c>
      <c r="G393" s="142">
        <v>132469.6926564</v>
      </c>
      <c r="H393" s="395">
        <v>1.05</v>
      </c>
      <c r="I393" s="156">
        <f>ROUND((F393*G393*H393),0)</f>
        <v>139093</v>
      </c>
      <c r="J393" s="13"/>
      <c r="K393" s="35"/>
    </row>
    <row r="394" spans="1:11" s="170" customFormat="1" x14ac:dyDescent="0.3">
      <c r="A394" s="58"/>
      <c r="B394" s="806"/>
      <c r="C394" s="14" t="s">
        <v>1334</v>
      </c>
      <c r="D394" s="85" t="str">
        <f>+VLOOKUP(C394,BD!$A$29:$E$877,2,0)</f>
        <v>Vaselina</v>
      </c>
      <c r="E394" s="19" t="s">
        <v>383</v>
      </c>
      <c r="F394" s="65">
        <v>2.1999999999999999E-2</v>
      </c>
      <c r="G394" s="142">
        <v>7116.1405146000006</v>
      </c>
      <c r="H394" s="395">
        <v>1.03</v>
      </c>
      <c r="I394" s="156">
        <f>ROUND((F394*G394*H394),0)</f>
        <v>161</v>
      </c>
      <c r="J394" s="13"/>
      <c r="K394" s="35"/>
    </row>
    <row r="395" spans="1:11" s="170" customFormat="1" x14ac:dyDescent="0.3">
      <c r="A395" s="58"/>
      <c r="B395" s="49" t="s">
        <v>1502</v>
      </c>
      <c r="C395" s="14" t="s">
        <v>176</v>
      </c>
      <c r="D395" s="15" t="s">
        <v>136</v>
      </c>
      <c r="E395" s="19" t="s">
        <v>155</v>
      </c>
      <c r="F395" s="65">
        <v>1</v>
      </c>
      <c r="G395" s="142">
        <v>224417</v>
      </c>
      <c r="H395" s="395">
        <v>0.1</v>
      </c>
      <c r="I395" s="156">
        <f>ROUND((F395*G395*H395),0)</f>
        <v>22442</v>
      </c>
      <c r="J395" s="13"/>
      <c r="K395" s="34"/>
    </row>
    <row r="396" spans="1:11" s="170" customFormat="1" ht="13.8" thickBot="1" x14ac:dyDescent="0.35">
      <c r="A396" s="58"/>
      <c r="B396" s="56" t="s">
        <v>1360</v>
      </c>
      <c r="C396" s="43" t="s">
        <v>1364</v>
      </c>
      <c r="D396" s="44" t="s">
        <v>1509</v>
      </c>
      <c r="E396" s="45" t="s">
        <v>1363</v>
      </c>
      <c r="F396" s="205">
        <v>0.1</v>
      </c>
      <c r="G396" s="150">
        <f>+I395</f>
        <v>22442</v>
      </c>
      <c r="H396" s="194">
        <v>0</v>
      </c>
      <c r="I396" s="227">
        <f>ROUND((F396*G396),0)</f>
        <v>2244</v>
      </c>
      <c r="J396" s="13"/>
      <c r="K396" s="35"/>
    </row>
    <row r="397" spans="1:11" s="170" customFormat="1" x14ac:dyDescent="0.3">
      <c r="A397" s="58"/>
      <c r="B397" s="68" t="s">
        <v>82</v>
      </c>
      <c r="C397" s="39"/>
      <c r="D397" s="40" t="s">
        <v>1839</v>
      </c>
      <c r="E397" s="39" t="s">
        <v>26</v>
      </c>
      <c r="F397" s="210"/>
      <c r="G397" s="149">
        <f>ROUND(SUM(I398:I404),0)</f>
        <v>288846</v>
      </c>
      <c r="H397" s="195"/>
      <c r="I397" s="155"/>
      <c r="J397" s="13"/>
      <c r="K397" s="35"/>
    </row>
    <row r="398" spans="1:11" s="170" customFormat="1" x14ac:dyDescent="0.3">
      <c r="A398" s="58"/>
      <c r="B398" s="806" t="s">
        <v>183</v>
      </c>
      <c r="C398" s="11" t="s">
        <v>1047</v>
      </c>
      <c r="D398" s="634" t="s">
        <v>1839</v>
      </c>
      <c r="E398" s="19" t="s">
        <v>26</v>
      </c>
      <c r="F398" s="65">
        <v>1</v>
      </c>
      <c r="G398" s="142">
        <f>VLOOKUP(C398,BD!$A$29:$E$877,5,0)</f>
        <v>236552.39</v>
      </c>
      <c r="H398" s="395">
        <v>1.05</v>
      </c>
      <c r="I398" s="156">
        <f>ROUND((F398*G398*H398),0)</f>
        <v>248380</v>
      </c>
      <c r="J398" s="13"/>
      <c r="K398" s="35"/>
    </row>
    <row r="399" spans="1:11" s="170" customFormat="1" x14ac:dyDescent="0.3">
      <c r="A399" s="58"/>
      <c r="B399" s="806"/>
      <c r="C399" s="14" t="s">
        <v>745</v>
      </c>
      <c r="D399" s="85" t="str">
        <f>+VLOOKUP(C399,BD!$A$29:$E$877,2,0)</f>
        <v>Limpiador removedor PVC 1/4</v>
      </c>
      <c r="E399" s="19" t="s">
        <v>26</v>
      </c>
      <c r="F399" s="65">
        <v>0.1</v>
      </c>
      <c r="G399" s="142">
        <f>VLOOKUP(C399,BD!$A$29:$E$877,5,0)</f>
        <v>43809.01</v>
      </c>
      <c r="H399" s="395">
        <v>1.03</v>
      </c>
      <c r="I399" s="156">
        <f>ROUND((F399*G399*H399),0)</f>
        <v>4512</v>
      </c>
      <c r="J399" s="13"/>
      <c r="K399" s="35"/>
    </row>
    <row r="400" spans="1:11" s="170" customFormat="1" x14ac:dyDescent="0.3">
      <c r="A400" s="58"/>
      <c r="B400" s="806"/>
      <c r="C400" s="14" t="s">
        <v>241</v>
      </c>
      <c r="D400" s="85" t="str">
        <f>+VLOOKUP(C400,BD!$A$29:$E$877,2,0)</f>
        <v>Adhesivo para tubería de pared estructural 310 ml</v>
      </c>
      <c r="E400" s="19" t="s">
        <v>26</v>
      </c>
      <c r="F400" s="65">
        <v>0.2</v>
      </c>
      <c r="G400" s="142">
        <f>VLOOKUP(C400,BD!$A$29:$E$877,5,0)</f>
        <v>53500</v>
      </c>
      <c r="H400" s="395">
        <v>1.03</v>
      </c>
      <c r="I400" s="156">
        <f>ROUND((F400*G400*H400),0)</f>
        <v>11021</v>
      </c>
      <c r="J400" s="13"/>
      <c r="K400" s="35"/>
    </row>
    <row r="401" spans="1:11" s="170" customFormat="1" x14ac:dyDescent="0.3">
      <c r="A401" s="58"/>
      <c r="B401" s="806"/>
      <c r="C401" s="14" t="s">
        <v>256</v>
      </c>
      <c r="D401" s="85" t="str">
        <f>+VLOOKUP(C401,BD!$A$29:$E$877,2,0)</f>
        <v xml:space="preserve">Alambre galvanizado C 12 </v>
      </c>
      <c r="E401" s="19" t="s">
        <v>25</v>
      </c>
      <c r="F401" s="65">
        <v>0.01</v>
      </c>
      <c r="G401" s="142">
        <f>VLOOKUP(C401,BD!$A$29:$E$877,5,0)</f>
        <v>5350</v>
      </c>
      <c r="H401" s="395">
        <v>0</v>
      </c>
      <c r="I401" s="156">
        <f>F401*G401</f>
        <v>53.5</v>
      </c>
      <c r="J401" s="13"/>
      <c r="K401" s="35"/>
    </row>
    <row r="402" spans="1:11" s="170" customFormat="1" x14ac:dyDescent="0.3">
      <c r="A402" s="58"/>
      <c r="B402" s="806"/>
      <c r="C402" s="14" t="s">
        <v>1334</v>
      </c>
      <c r="D402" s="85" t="str">
        <f>+VLOOKUP(C402,BD!$A$29:$E$877,2,0)</f>
        <v>Vaselina</v>
      </c>
      <c r="E402" s="19" t="s">
        <v>383</v>
      </c>
      <c r="F402" s="65">
        <v>2.7E-2</v>
      </c>
      <c r="G402" s="142">
        <f>VLOOKUP(C402,BD!$A$29:$E$877,5,0)</f>
        <v>6955</v>
      </c>
      <c r="H402" s="395">
        <v>1.03</v>
      </c>
      <c r="I402" s="156">
        <f>ROUND((F402*G402*H402),0)</f>
        <v>193</v>
      </c>
      <c r="J402" s="13"/>
      <c r="K402" s="35"/>
    </row>
    <row r="403" spans="1:11" s="170" customFormat="1" x14ac:dyDescent="0.3">
      <c r="A403" s="58"/>
      <c r="B403" s="49" t="s">
        <v>1502</v>
      </c>
      <c r="C403" s="14" t="s">
        <v>176</v>
      </c>
      <c r="D403" s="15" t="s">
        <v>136</v>
      </c>
      <c r="E403" s="19" t="s">
        <v>155</v>
      </c>
      <c r="F403" s="65">
        <v>1</v>
      </c>
      <c r="G403" s="142">
        <f>+VLOOKUP(D403,MO!$B$33:$F$79,5,0)</f>
        <v>224417</v>
      </c>
      <c r="H403" s="395">
        <f>1/10</f>
        <v>0.1</v>
      </c>
      <c r="I403" s="156">
        <f>ROUND((F403*G403*H403),0)</f>
        <v>22442</v>
      </c>
      <c r="J403" s="13"/>
      <c r="K403" s="35"/>
    </row>
    <row r="404" spans="1:11" s="170" customFormat="1" ht="13.8" thickBot="1" x14ac:dyDescent="0.35">
      <c r="A404" s="58"/>
      <c r="B404" s="228" t="s">
        <v>1360</v>
      </c>
      <c r="C404" s="43" t="s">
        <v>1364</v>
      </c>
      <c r="D404" s="44" t="s">
        <v>1509</v>
      </c>
      <c r="E404" s="45" t="s">
        <v>1363</v>
      </c>
      <c r="F404" s="205">
        <v>0.1</v>
      </c>
      <c r="G404" s="150">
        <f>I403</f>
        <v>22442</v>
      </c>
      <c r="H404" s="194">
        <v>0</v>
      </c>
      <c r="I404" s="227">
        <f>ROUND((F404*G404),0)</f>
        <v>2244</v>
      </c>
      <c r="J404" s="13"/>
      <c r="K404" s="35"/>
    </row>
    <row r="405" spans="1:11" ht="27" customHeight="1" x14ac:dyDescent="0.3">
      <c r="B405" s="68" t="s">
        <v>1576</v>
      </c>
      <c r="C405" s="84"/>
      <c r="D405" s="83" t="s">
        <v>7</v>
      </c>
      <c r="E405" s="39" t="s">
        <v>1514</v>
      </c>
      <c r="F405" s="203"/>
      <c r="G405" s="141">
        <f>ROUND(SUM(I405:I412),0)</f>
        <v>113749</v>
      </c>
      <c r="H405" s="192"/>
      <c r="I405" s="153"/>
      <c r="J405" s="24"/>
      <c r="K405" s="35"/>
    </row>
    <row r="406" spans="1:11" x14ac:dyDescent="0.3">
      <c r="B406" s="806" t="s">
        <v>183</v>
      </c>
      <c r="C406" s="100" t="s">
        <v>1071</v>
      </c>
      <c r="D406" s="85" t="str">
        <f>+VLOOKUP(C406,BD!$A$29:$E$877,2,0)</f>
        <v>Tabla para formaleta de 1" x 10" x 2,9 m</v>
      </c>
      <c r="E406" s="86" t="s">
        <v>32</v>
      </c>
      <c r="F406" s="201">
        <v>2</v>
      </c>
      <c r="G406" s="142">
        <f>VLOOKUP(C406,BD!$A$29:$E$877,5,0)</f>
        <v>4280</v>
      </c>
      <c r="H406" s="193">
        <f>1/3</f>
        <v>0.33333333333333331</v>
      </c>
      <c r="I406" s="148">
        <f>ROUND((F406*G406*H406),0)</f>
        <v>2853</v>
      </c>
      <c r="J406" s="24"/>
      <c r="K406" s="35"/>
    </row>
    <row r="407" spans="1:11" x14ac:dyDescent="0.3">
      <c r="B407" s="806"/>
      <c r="C407" s="100" t="s">
        <v>992</v>
      </c>
      <c r="D407" s="85" t="str">
        <f>+VLOOKUP(C407,BD!$A$29:$E$877,2,0)</f>
        <v>Puntilla (promedio)</v>
      </c>
      <c r="E407" s="86" t="s">
        <v>383</v>
      </c>
      <c r="F407" s="201">
        <v>1.5</v>
      </c>
      <c r="G407" s="142">
        <f>VLOOKUP(C407,BD!$A$29:$E$877,5,0)</f>
        <v>2675</v>
      </c>
      <c r="H407" s="193">
        <v>0</v>
      </c>
      <c r="I407" s="148">
        <f>ROUND((F407*G407),0)</f>
        <v>4013</v>
      </c>
      <c r="J407" s="24"/>
      <c r="K407" s="35"/>
    </row>
    <row r="408" spans="1:11" s="24" customFormat="1" x14ac:dyDescent="0.3">
      <c r="A408" s="102"/>
      <c r="B408" s="806"/>
      <c r="C408" s="100" t="s">
        <v>1332</v>
      </c>
      <c r="D408" s="85" t="str">
        <f>+VLOOKUP(C408,BD!$A$29:$E$877,2,0)</f>
        <v xml:space="preserve">Varillón de sajo 3x3 </v>
      </c>
      <c r="E408" s="86" t="s">
        <v>32</v>
      </c>
      <c r="F408" s="201">
        <v>0.5</v>
      </c>
      <c r="G408" s="142">
        <f>VLOOKUP(C408,BD!$A$29:$E$877,5,0)</f>
        <v>2675</v>
      </c>
      <c r="H408" s="193">
        <f>1/3</f>
        <v>0.33333333333333331</v>
      </c>
      <c r="I408" s="148">
        <f>ROUND((F408*G408*H408),0)</f>
        <v>446</v>
      </c>
      <c r="K408" s="34"/>
    </row>
    <row r="409" spans="1:11" x14ac:dyDescent="0.3">
      <c r="A409" s="48"/>
      <c r="B409" s="806"/>
      <c r="C409" s="100" t="s">
        <v>216</v>
      </c>
      <c r="D409" s="85" t="str">
        <f>+VLOOKUP(C409,BD!$A$29:$E$877,2,0)</f>
        <v>ACPM</v>
      </c>
      <c r="E409" s="86" t="s">
        <v>218</v>
      </c>
      <c r="F409" s="201">
        <v>0.1</v>
      </c>
      <c r="G409" s="142">
        <f>VLOOKUP(C409,BD!$A$29:$E$877,5,0)</f>
        <v>9547.61</v>
      </c>
      <c r="H409" s="193">
        <v>1.05</v>
      </c>
      <c r="I409" s="148">
        <f>ROUND((F409*G409*H409),0)</f>
        <v>1002</v>
      </c>
      <c r="J409" s="24"/>
      <c r="K409" s="35"/>
    </row>
    <row r="410" spans="1:11" ht="15.6" x14ac:dyDescent="0.3">
      <c r="B410" s="67" t="s">
        <v>1504</v>
      </c>
      <c r="C410" s="100" t="s">
        <v>1523</v>
      </c>
      <c r="D410" s="15" t="str">
        <f>+VLOOKUP(C410,$B$5:$G$501,3,0)</f>
        <v>Concreto de 20,7 Mpa (3000 psi) (producción)</v>
      </c>
      <c r="E410" s="86" t="s">
        <v>1559</v>
      </c>
      <c r="F410" s="201">
        <v>7.4999999999999997E-2</v>
      </c>
      <c r="G410" s="151">
        <f>+VLOOKUP(C410,$B$5:$G$501,6,0)</f>
        <v>568922</v>
      </c>
      <c r="H410" s="193">
        <v>1.05</v>
      </c>
      <c r="I410" s="148">
        <f>ROUND((F410*G410*H410),0)</f>
        <v>44803</v>
      </c>
      <c r="J410" s="24"/>
      <c r="K410" s="35"/>
    </row>
    <row r="411" spans="1:11" x14ac:dyDescent="0.3">
      <c r="B411" s="49" t="s">
        <v>1502</v>
      </c>
      <c r="C411" s="100" t="s">
        <v>174</v>
      </c>
      <c r="D411" s="85" t="s">
        <v>135</v>
      </c>
      <c r="E411" s="86" t="s">
        <v>155</v>
      </c>
      <c r="F411" s="201">
        <v>0.2</v>
      </c>
      <c r="G411" s="142">
        <f>+VLOOKUP(D411,MO!$B$33:$F$79,5,0)</f>
        <v>165360</v>
      </c>
      <c r="H411" s="193">
        <f>1/0.6</f>
        <v>1.6666666666666667</v>
      </c>
      <c r="I411" s="148">
        <f>ROUND((F411*G411*H411),0)</f>
        <v>55120</v>
      </c>
      <c r="J411" s="24"/>
      <c r="K411" s="35"/>
    </row>
    <row r="412" spans="1:11" ht="13.8" thickBot="1" x14ac:dyDescent="0.35">
      <c r="B412" s="228" t="s">
        <v>1360</v>
      </c>
      <c r="C412" s="376" t="s">
        <v>1364</v>
      </c>
      <c r="D412" s="223" t="s">
        <v>1509</v>
      </c>
      <c r="E412" s="377" t="s">
        <v>1363</v>
      </c>
      <c r="F412" s="202">
        <v>0.1</v>
      </c>
      <c r="G412" s="143">
        <f>I411</f>
        <v>55120</v>
      </c>
      <c r="H412" s="194">
        <v>0</v>
      </c>
      <c r="I412" s="226">
        <f>ROUND((F412*G412),0)</f>
        <v>5512</v>
      </c>
      <c r="J412" s="24"/>
      <c r="K412" s="35"/>
    </row>
    <row r="413" spans="1:11" x14ac:dyDescent="0.3">
      <c r="A413" s="335"/>
      <c r="B413" s="337" t="s">
        <v>1710</v>
      </c>
      <c r="C413" s="344"/>
      <c r="D413" s="362" t="s">
        <v>1711</v>
      </c>
      <c r="E413" s="344" t="s">
        <v>32</v>
      </c>
      <c r="F413" s="345"/>
      <c r="G413" s="346">
        <f>ROUND(SUM(I414:I420),0)</f>
        <v>214973</v>
      </c>
      <c r="H413" s="95"/>
      <c r="I413" s="347"/>
      <c r="J413" s="24"/>
      <c r="K413" s="35"/>
    </row>
    <row r="414" spans="1:11" x14ac:dyDescent="0.3">
      <c r="A414" s="335"/>
      <c r="B414" s="807" t="s">
        <v>1728</v>
      </c>
      <c r="C414" s="188" t="s">
        <v>499</v>
      </c>
      <c r="D414" s="364" t="s">
        <v>1731</v>
      </c>
      <c r="E414" s="81" t="s">
        <v>32</v>
      </c>
      <c r="F414" s="51">
        <v>0.27</v>
      </c>
      <c r="G414" s="142">
        <f>VLOOKUP(C414,BD!$A$29:$E$877,5,0)</f>
        <v>252520.00000000003</v>
      </c>
      <c r="H414" s="96">
        <v>1</v>
      </c>
      <c r="I414" s="350">
        <f>ROUND((F414*G414),0)</f>
        <v>68180</v>
      </c>
      <c r="J414" s="24"/>
      <c r="K414" s="35"/>
    </row>
    <row r="415" spans="1:11" ht="26.4" x14ac:dyDescent="0.3">
      <c r="A415" s="335"/>
      <c r="B415" s="807"/>
      <c r="C415" s="188" t="s">
        <v>972</v>
      </c>
      <c r="D415" s="364" t="s">
        <v>1732</v>
      </c>
      <c r="E415" s="81" t="s">
        <v>26</v>
      </c>
      <c r="F415" s="51">
        <v>0.25</v>
      </c>
      <c r="G415" s="142">
        <f>VLOOKUP(C415,BD!$A$29:$E$877,5,0)</f>
        <v>214000</v>
      </c>
      <c r="H415" s="96">
        <v>1</v>
      </c>
      <c r="I415" s="350">
        <f>ROUND((F415*G415),0)</f>
        <v>53500</v>
      </c>
      <c r="J415" s="24"/>
      <c r="K415" s="35"/>
    </row>
    <row r="416" spans="1:11" ht="26.4" x14ac:dyDescent="0.3">
      <c r="A416" s="335"/>
      <c r="B416" s="807"/>
      <c r="C416" s="188" t="s">
        <v>268</v>
      </c>
      <c r="D416" s="364" t="s">
        <v>1733</v>
      </c>
      <c r="E416" s="81" t="s">
        <v>26</v>
      </c>
      <c r="F416" s="51">
        <v>0.27</v>
      </c>
      <c r="G416" s="142">
        <f>VLOOKUP(C416,BD!$A$29:$E$877,5,0)</f>
        <v>20124.560000000001</v>
      </c>
      <c r="H416" s="96">
        <v>1</v>
      </c>
      <c r="I416" s="350">
        <f>ROUND((F416*G416),0)</f>
        <v>5434</v>
      </c>
      <c r="J416" s="24"/>
      <c r="K416" s="35"/>
    </row>
    <row r="417" spans="1:11" x14ac:dyDescent="0.3">
      <c r="A417" s="335"/>
      <c r="B417" s="807"/>
      <c r="C417" s="188" t="s">
        <v>297</v>
      </c>
      <c r="D417" s="364" t="s">
        <v>362</v>
      </c>
      <c r="E417" s="81" t="s">
        <v>26</v>
      </c>
      <c r="F417" s="51">
        <v>1</v>
      </c>
      <c r="G417" s="142">
        <f>VLOOKUP(C417,BD!$A$29:$E$877,5,0)</f>
        <v>50183</v>
      </c>
      <c r="H417" s="96">
        <v>1</v>
      </c>
      <c r="I417" s="350">
        <f>ROUND((F417*G417),0)</f>
        <v>50183</v>
      </c>
      <c r="J417" s="24"/>
      <c r="K417" s="35"/>
    </row>
    <row r="418" spans="1:11" x14ac:dyDescent="0.3">
      <c r="A418" s="335"/>
      <c r="B418" s="382" t="s">
        <v>1504</v>
      </c>
      <c r="C418" s="188" t="s">
        <v>1525</v>
      </c>
      <c r="D418" s="364" t="s">
        <v>1734</v>
      </c>
      <c r="E418" s="81" t="s">
        <v>42</v>
      </c>
      <c r="F418" s="51">
        <v>1.4E-2</v>
      </c>
      <c r="G418" s="151">
        <f>+VLOOKUP(C418,$B$5:$G$501,6,0)</f>
        <v>487087</v>
      </c>
      <c r="H418" s="96">
        <v>1</v>
      </c>
      <c r="I418" s="350">
        <f>ROUND((F418*G418),0)</f>
        <v>6819</v>
      </c>
      <c r="J418" s="24"/>
      <c r="K418" s="35"/>
    </row>
    <row r="419" spans="1:11" x14ac:dyDescent="0.3">
      <c r="A419" s="335"/>
      <c r="B419" s="383" t="s">
        <v>1502</v>
      </c>
      <c r="C419" s="188" t="s">
        <v>176</v>
      </c>
      <c r="D419" s="364" t="s">
        <v>136</v>
      </c>
      <c r="E419" s="81" t="s">
        <v>155</v>
      </c>
      <c r="F419" s="51">
        <v>1</v>
      </c>
      <c r="G419" s="142">
        <f>+VLOOKUP(D419,MO!$B$33:$F$79,5,0)</f>
        <v>224417</v>
      </c>
      <c r="H419" s="96">
        <f>1/8</f>
        <v>0.125</v>
      </c>
      <c r="I419" s="350">
        <f>ROUND((F419*G419*H419),0)</f>
        <v>28052</v>
      </c>
      <c r="J419" s="24"/>
      <c r="K419" s="35"/>
    </row>
    <row r="420" spans="1:11" ht="13.8" thickBot="1" x14ac:dyDescent="0.35">
      <c r="A420" s="335"/>
      <c r="B420" s="366"/>
      <c r="C420" s="358" t="s">
        <v>1364</v>
      </c>
      <c r="D420" s="367" t="s">
        <v>1509</v>
      </c>
      <c r="E420" s="354" t="s">
        <v>1363</v>
      </c>
      <c r="F420" s="355">
        <v>0.1</v>
      </c>
      <c r="G420" s="356">
        <f>I419</f>
        <v>28052</v>
      </c>
      <c r="H420" s="396">
        <v>0</v>
      </c>
      <c r="I420" s="357">
        <f>ROUND((F420*G420),0)</f>
        <v>2805</v>
      </c>
      <c r="J420" s="24"/>
      <c r="K420" s="35"/>
    </row>
    <row r="421" spans="1:11" x14ac:dyDescent="0.3">
      <c r="A421" s="335"/>
      <c r="B421" s="337" t="s">
        <v>1712</v>
      </c>
      <c r="C421" s="344"/>
      <c r="D421" s="362" t="s">
        <v>1713</v>
      </c>
      <c r="E421" s="344" t="s">
        <v>26</v>
      </c>
      <c r="F421" s="345"/>
      <c r="G421" s="346">
        <f>ROUND(SUM(I422:I426),0)</f>
        <v>451477</v>
      </c>
      <c r="H421" s="95"/>
      <c r="I421" s="347"/>
      <c r="J421" s="24"/>
      <c r="K421" s="35"/>
    </row>
    <row r="422" spans="1:11" x14ac:dyDescent="0.3">
      <c r="A422" s="335"/>
      <c r="B422" s="807" t="s">
        <v>1728</v>
      </c>
      <c r="C422" s="188" t="s">
        <v>1031</v>
      </c>
      <c r="D422" s="364" t="s">
        <v>1736</v>
      </c>
      <c r="E422" s="81" t="s">
        <v>26</v>
      </c>
      <c r="F422" s="51">
        <v>1</v>
      </c>
      <c r="G422" s="142">
        <f>VLOOKUP(C422,BD!$A$29:$E$877,5,0)</f>
        <v>335284.5</v>
      </c>
      <c r="H422" s="96">
        <v>0</v>
      </c>
      <c r="I422" s="350">
        <f>ROUND((F422*G422),0)</f>
        <v>335285</v>
      </c>
      <c r="J422" s="24"/>
      <c r="K422" s="35"/>
    </row>
    <row r="423" spans="1:11" x14ac:dyDescent="0.3">
      <c r="A423" s="335"/>
      <c r="B423" s="807"/>
      <c r="C423" s="188" t="s">
        <v>970</v>
      </c>
      <c r="D423" s="364" t="s">
        <v>1735</v>
      </c>
      <c r="E423" s="81" t="s">
        <v>26</v>
      </c>
      <c r="F423" s="51">
        <v>1</v>
      </c>
      <c r="G423" s="142">
        <f>VLOOKUP(C423,BD!$A$29:$E$877,5,0)</f>
        <v>66004.02</v>
      </c>
      <c r="H423" s="96">
        <v>0</v>
      </c>
      <c r="I423" s="350">
        <f>ROUND((F423*G423),0)</f>
        <v>66004</v>
      </c>
      <c r="J423" s="24"/>
      <c r="K423" s="35"/>
    </row>
    <row r="424" spans="1:11" x14ac:dyDescent="0.3">
      <c r="A424" s="335"/>
      <c r="B424" s="382" t="s">
        <v>1504</v>
      </c>
      <c r="C424" s="188" t="s">
        <v>1525</v>
      </c>
      <c r="D424" s="364" t="s">
        <v>1734</v>
      </c>
      <c r="E424" s="81" t="s">
        <v>42</v>
      </c>
      <c r="F424" s="51">
        <v>2.7E-2</v>
      </c>
      <c r="G424" s="151">
        <f>+VLOOKUP(C424,$B$5:$G$501,6,0)</f>
        <v>487087</v>
      </c>
      <c r="H424" s="96">
        <v>1.05</v>
      </c>
      <c r="I424" s="350">
        <f>ROUND((F424*G424*H424),0)</f>
        <v>13809</v>
      </c>
      <c r="J424" s="24"/>
      <c r="K424" s="35"/>
    </row>
    <row r="425" spans="1:11" x14ac:dyDescent="0.3">
      <c r="A425" s="335"/>
      <c r="B425" s="383" t="s">
        <v>1502</v>
      </c>
      <c r="C425" s="188" t="s">
        <v>174</v>
      </c>
      <c r="D425" s="364" t="s">
        <v>135</v>
      </c>
      <c r="E425" s="81" t="s">
        <v>155</v>
      </c>
      <c r="F425" s="51">
        <v>1</v>
      </c>
      <c r="G425" s="142">
        <f>+VLOOKUP(D425,MO!$B$33:$F$79,5,0)</f>
        <v>165360</v>
      </c>
      <c r="H425" s="96">
        <f>1/5</f>
        <v>0.2</v>
      </c>
      <c r="I425" s="350">
        <f>ROUND((F425*G425*H425),0)</f>
        <v>33072</v>
      </c>
      <c r="J425" s="24"/>
      <c r="K425" s="35"/>
    </row>
    <row r="426" spans="1:11" ht="13.8" thickBot="1" x14ac:dyDescent="0.35">
      <c r="A426" s="335"/>
      <c r="B426" s="366"/>
      <c r="C426" s="358" t="s">
        <v>1364</v>
      </c>
      <c r="D426" s="367" t="s">
        <v>1509</v>
      </c>
      <c r="E426" s="354" t="s">
        <v>1363</v>
      </c>
      <c r="F426" s="355">
        <v>0.1</v>
      </c>
      <c r="G426" s="356">
        <f>I425</f>
        <v>33072</v>
      </c>
      <c r="H426" s="396">
        <v>0</v>
      </c>
      <c r="I426" s="357">
        <f>ROUND((F426*G426),0)</f>
        <v>3307</v>
      </c>
      <c r="J426" s="24"/>
      <c r="K426" s="35"/>
    </row>
    <row r="427" spans="1:11" x14ac:dyDescent="0.3">
      <c r="A427" s="335"/>
      <c r="B427" s="337" t="s">
        <v>1714</v>
      </c>
      <c r="C427" s="344"/>
      <c r="D427" s="362" t="s">
        <v>1715</v>
      </c>
      <c r="E427" s="344" t="s">
        <v>32</v>
      </c>
      <c r="F427" s="388"/>
      <c r="G427" s="346">
        <f>ROUND(SUM(I428:I433),0)</f>
        <v>2315</v>
      </c>
      <c r="H427" s="95"/>
      <c r="I427" s="347"/>
      <c r="J427" s="24"/>
      <c r="K427" s="35"/>
    </row>
    <row r="428" spans="1:11" x14ac:dyDescent="0.3">
      <c r="A428" s="335"/>
      <c r="B428" s="807" t="s">
        <v>1728</v>
      </c>
      <c r="C428" s="188" t="s">
        <v>823</v>
      </c>
      <c r="D428" s="364" t="s">
        <v>1737</v>
      </c>
      <c r="E428" s="81" t="s">
        <v>25</v>
      </c>
      <c r="F428" s="51">
        <v>0.05</v>
      </c>
      <c r="G428" s="142">
        <f>VLOOKUP(C428,BD!$A$29:$E$877,5,0)</f>
        <v>5864.67</v>
      </c>
      <c r="H428" s="96">
        <v>1</v>
      </c>
      <c r="I428" s="350">
        <f>ROUND((F428*G428*H428),0)</f>
        <v>293</v>
      </c>
      <c r="J428" s="24"/>
      <c r="K428" s="35"/>
    </row>
    <row r="429" spans="1:11" x14ac:dyDescent="0.3">
      <c r="A429" s="335"/>
      <c r="B429" s="807"/>
      <c r="C429" s="188" t="s">
        <v>913</v>
      </c>
      <c r="D429" s="364" t="s">
        <v>1738</v>
      </c>
      <c r="E429" s="81" t="s">
        <v>218</v>
      </c>
      <c r="F429" s="51">
        <v>1</v>
      </c>
      <c r="G429" s="142">
        <f>VLOOKUP(C429,BD!$A$29:$E$877,5,0)</f>
        <v>93839</v>
      </c>
      <c r="H429" s="399">
        <v>1.4999999999999999E-2</v>
      </c>
      <c r="I429" s="350">
        <f>ROUND((F429*G429*H429),0)</f>
        <v>1408</v>
      </c>
      <c r="J429" s="24"/>
      <c r="K429" s="35"/>
    </row>
    <row r="430" spans="1:11" x14ac:dyDescent="0.3">
      <c r="A430" s="335"/>
      <c r="B430" s="384"/>
      <c r="C430" s="188" t="s">
        <v>514</v>
      </c>
      <c r="D430" s="364" t="s">
        <v>1739</v>
      </c>
      <c r="E430" s="81" t="s">
        <v>513</v>
      </c>
      <c r="F430" s="51">
        <v>1</v>
      </c>
      <c r="G430" s="142">
        <f>VLOOKUP(C430,BD!$A$29:$E$877,5,0)</f>
        <v>31019.300000000003</v>
      </c>
      <c r="H430" s="399">
        <v>5.0000000000000001E-3</v>
      </c>
      <c r="I430" s="350">
        <f>ROUND((F430*G430*H430),0)</f>
        <v>155</v>
      </c>
      <c r="J430" s="24"/>
      <c r="K430" s="35"/>
    </row>
    <row r="431" spans="1:11" x14ac:dyDescent="0.3">
      <c r="A431" s="335"/>
      <c r="B431" s="383" t="s">
        <v>1502</v>
      </c>
      <c r="C431" s="188" t="s">
        <v>177</v>
      </c>
      <c r="D431" s="364" t="s">
        <v>143</v>
      </c>
      <c r="E431" s="81" t="s">
        <v>155</v>
      </c>
      <c r="F431" s="51">
        <v>1</v>
      </c>
      <c r="G431" s="142">
        <f>+VLOOKUP(D431,MO!$B$33:$F$79,5,0)</f>
        <v>236228</v>
      </c>
      <c r="H431" s="399">
        <f>1/1500</f>
        <v>6.6666666666666664E-4</v>
      </c>
      <c r="I431" s="350">
        <f>ROUND((F431*G431*H431),0)</f>
        <v>157</v>
      </c>
      <c r="J431" s="24"/>
      <c r="K431" s="35"/>
    </row>
    <row r="432" spans="1:11" x14ac:dyDescent="0.3">
      <c r="A432" s="335"/>
      <c r="B432" s="811" t="s">
        <v>1360</v>
      </c>
      <c r="C432" s="393" t="s">
        <v>1427</v>
      </c>
      <c r="D432" s="82" t="s">
        <v>1740</v>
      </c>
      <c r="E432" s="386" t="s">
        <v>155</v>
      </c>
      <c r="F432" s="387">
        <v>1</v>
      </c>
      <c r="G432" s="142">
        <f>VLOOKUP(C432,BD!$A$29:$E$877,5,0)</f>
        <v>600192.96000000008</v>
      </c>
      <c r="H432" s="399">
        <f>1/2100</f>
        <v>4.7619047619047619E-4</v>
      </c>
      <c r="I432" s="350">
        <f>ROUND((F432*G432*H432),0)</f>
        <v>286</v>
      </c>
      <c r="J432" s="24"/>
      <c r="K432" s="35"/>
    </row>
    <row r="433" spans="1:11" ht="13.8" thickBot="1" x14ac:dyDescent="0.35">
      <c r="A433" s="335"/>
      <c r="B433" s="812"/>
      <c r="C433" s="358" t="s">
        <v>1364</v>
      </c>
      <c r="D433" s="367" t="s">
        <v>1509</v>
      </c>
      <c r="E433" s="354" t="s">
        <v>1363</v>
      </c>
      <c r="F433" s="355">
        <v>0.1</v>
      </c>
      <c r="G433" s="356">
        <f>I431</f>
        <v>157</v>
      </c>
      <c r="H433" s="396">
        <v>0</v>
      </c>
      <c r="I433" s="357">
        <f>ROUND((F433*G433),0)</f>
        <v>16</v>
      </c>
      <c r="J433" s="24"/>
      <c r="K433" s="35"/>
    </row>
    <row r="434" spans="1:11" x14ac:dyDescent="0.3">
      <c r="A434" s="335"/>
      <c r="B434" s="337" t="s">
        <v>1716</v>
      </c>
      <c r="C434" s="344"/>
      <c r="D434" s="362" t="s">
        <v>1717</v>
      </c>
      <c r="E434" s="344" t="s">
        <v>39</v>
      </c>
      <c r="F434" s="388"/>
      <c r="G434" s="346">
        <f>ROUND(SUM(I435:I440),0)</f>
        <v>25205</v>
      </c>
      <c r="H434" s="95"/>
      <c r="I434" s="347"/>
      <c r="J434" s="24"/>
      <c r="K434" s="35"/>
    </row>
    <row r="435" spans="1:11" x14ac:dyDescent="0.3">
      <c r="A435" s="335"/>
      <c r="B435" s="807" t="s">
        <v>1728</v>
      </c>
      <c r="C435" s="188" t="s">
        <v>823</v>
      </c>
      <c r="D435" s="364" t="s">
        <v>1737</v>
      </c>
      <c r="E435" s="81" t="s">
        <v>25</v>
      </c>
      <c r="F435" s="51">
        <v>0.5</v>
      </c>
      <c r="G435" s="351">
        <f>G428</f>
        <v>5864.67</v>
      </c>
      <c r="H435" s="96">
        <v>1</v>
      </c>
      <c r="I435" s="350">
        <f>ROUND((F435*G435*H435),0)</f>
        <v>2932</v>
      </c>
      <c r="J435" s="24"/>
      <c r="K435" s="35"/>
    </row>
    <row r="436" spans="1:11" x14ac:dyDescent="0.3">
      <c r="A436" s="335"/>
      <c r="B436" s="807"/>
      <c r="C436" s="188" t="s">
        <v>913</v>
      </c>
      <c r="D436" s="364" t="s">
        <v>1738</v>
      </c>
      <c r="E436" s="81" t="s">
        <v>218</v>
      </c>
      <c r="F436" s="51">
        <v>1</v>
      </c>
      <c r="G436" s="351">
        <f>G429</f>
        <v>93839</v>
      </c>
      <c r="H436" s="96">
        <v>0.12</v>
      </c>
      <c r="I436" s="350">
        <f>ROUND((F436*G436*H436),0)</f>
        <v>11261</v>
      </c>
      <c r="J436" s="24"/>
      <c r="K436" s="35"/>
    </row>
    <row r="437" spans="1:11" x14ac:dyDescent="0.3">
      <c r="A437" s="335"/>
      <c r="B437" s="807"/>
      <c r="C437" s="188" t="s">
        <v>514</v>
      </c>
      <c r="D437" s="364" t="s">
        <v>1739</v>
      </c>
      <c r="E437" s="81" t="s">
        <v>513</v>
      </c>
      <c r="F437" s="51">
        <v>1</v>
      </c>
      <c r="G437" s="142">
        <f>VLOOKUP(C437,BD!$A$29:$E$877,5,0)</f>
        <v>31019.300000000003</v>
      </c>
      <c r="H437" s="96">
        <v>0.05</v>
      </c>
      <c r="I437" s="350">
        <f>ROUND((F437*G437*H437),0)</f>
        <v>1551</v>
      </c>
      <c r="J437" s="24"/>
      <c r="K437" s="35"/>
    </row>
    <row r="438" spans="1:11" x14ac:dyDescent="0.3">
      <c r="A438" s="335"/>
      <c r="B438" s="807"/>
      <c r="C438" s="188"/>
      <c r="D438" s="364" t="s">
        <v>1741</v>
      </c>
      <c r="E438" s="81" t="s">
        <v>26</v>
      </c>
      <c r="F438" s="51">
        <v>1</v>
      </c>
      <c r="G438" s="351">
        <v>8000</v>
      </c>
      <c r="H438" s="96">
        <f t="shared" ref="H438" si="17">1/10</f>
        <v>0.1</v>
      </c>
      <c r="I438" s="350">
        <f t="shared" ref="I438" si="18">H438*G438*F438</f>
        <v>800</v>
      </c>
      <c r="J438" s="24"/>
      <c r="K438" s="35"/>
    </row>
    <row r="439" spans="1:11" x14ac:dyDescent="0.3">
      <c r="A439" s="335"/>
      <c r="B439" s="383" t="s">
        <v>1502</v>
      </c>
      <c r="C439" s="188" t="s">
        <v>177</v>
      </c>
      <c r="D439" s="364" t="s">
        <v>143</v>
      </c>
      <c r="E439" s="81" t="s">
        <v>155</v>
      </c>
      <c r="F439" s="51">
        <v>1</v>
      </c>
      <c r="G439" s="142">
        <f>+VLOOKUP(D439,MO!$B$33:$F$79,5,0)</f>
        <v>236228</v>
      </c>
      <c r="H439" s="96">
        <f>1/30</f>
        <v>3.3333333333333333E-2</v>
      </c>
      <c r="I439" s="350">
        <f>ROUND((F439*G439*H439),0)</f>
        <v>7874</v>
      </c>
      <c r="J439" s="24"/>
      <c r="K439" s="35"/>
    </row>
    <row r="440" spans="1:11" ht="13.8" thickBot="1" x14ac:dyDescent="0.35">
      <c r="A440" s="335"/>
      <c r="B440" s="366"/>
      <c r="C440" s="358" t="s">
        <v>1364</v>
      </c>
      <c r="D440" s="367" t="s">
        <v>1509</v>
      </c>
      <c r="E440" s="354" t="s">
        <v>1363</v>
      </c>
      <c r="F440" s="355">
        <v>0.1</v>
      </c>
      <c r="G440" s="356">
        <f>I439</f>
        <v>7874</v>
      </c>
      <c r="H440" s="396">
        <v>0</v>
      </c>
      <c r="I440" s="357">
        <f>ROUND((F440*G440),0)</f>
        <v>787</v>
      </c>
      <c r="J440" s="24"/>
      <c r="K440" s="35"/>
    </row>
    <row r="441" spans="1:11" x14ac:dyDescent="0.3">
      <c r="A441" s="335"/>
      <c r="B441" s="337" t="s">
        <v>1718</v>
      </c>
      <c r="C441" s="344"/>
      <c r="D441" s="362" t="s">
        <v>1719</v>
      </c>
      <c r="E441" s="344" t="s">
        <v>1720</v>
      </c>
      <c r="F441" s="388"/>
      <c r="G441" s="346">
        <f>ROUND(SUM(I442:I444),0)</f>
        <v>64050</v>
      </c>
      <c r="H441" s="95"/>
      <c r="I441" s="347"/>
      <c r="J441" s="24"/>
      <c r="K441" s="35"/>
    </row>
    <row r="442" spans="1:11" x14ac:dyDescent="0.3">
      <c r="A442" s="335"/>
      <c r="B442" s="384" t="s">
        <v>1728</v>
      </c>
      <c r="C442" s="393" t="s">
        <v>871</v>
      </c>
      <c r="D442" s="364" t="s">
        <v>1743</v>
      </c>
      <c r="E442" s="81" t="s">
        <v>26</v>
      </c>
      <c r="F442" s="51">
        <v>8.3333333333333332E-3</v>
      </c>
      <c r="G442" s="142">
        <f>VLOOKUP(C442,BD!$A$29:$E$877,5,0)</f>
        <v>32100.000000000004</v>
      </c>
      <c r="H442" s="96">
        <v>1</v>
      </c>
      <c r="I442" s="350">
        <f>ROUND((F442*G442*H442),0)</f>
        <v>268</v>
      </c>
      <c r="J442" s="24"/>
      <c r="K442" s="35"/>
    </row>
    <row r="443" spans="1:11" x14ac:dyDescent="0.3">
      <c r="A443" s="335"/>
      <c r="B443" s="383" t="s">
        <v>1502</v>
      </c>
      <c r="C443" s="188" t="s">
        <v>156</v>
      </c>
      <c r="D443" s="364" t="s">
        <v>157</v>
      </c>
      <c r="E443" s="81" t="s">
        <v>155</v>
      </c>
      <c r="F443" s="51">
        <v>1</v>
      </c>
      <c r="G443" s="142">
        <f>+VLOOKUP(D443,MO!$B$33:$F$79,5,0)</f>
        <v>59057</v>
      </c>
      <c r="H443" s="96">
        <v>0</v>
      </c>
      <c r="I443" s="350">
        <f>ROUND((F443*G443),0)</f>
        <v>59057</v>
      </c>
      <c r="J443" s="24"/>
      <c r="K443" s="35"/>
    </row>
    <row r="444" spans="1:11" ht="13.8" thickBot="1" x14ac:dyDescent="0.35">
      <c r="A444" s="335"/>
      <c r="B444" s="366" t="s">
        <v>1360</v>
      </c>
      <c r="C444" s="358" t="s">
        <v>1364</v>
      </c>
      <c r="D444" s="367" t="s">
        <v>1509</v>
      </c>
      <c r="E444" s="354" t="s">
        <v>1363</v>
      </c>
      <c r="F444" s="355">
        <v>0.08</v>
      </c>
      <c r="G444" s="356">
        <f>I443</f>
        <v>59057</v>
      </c>
      <c r="H444" s="396">
        <v>0</v>
      </c>
      <c r="I444" s="357">
        <f>ROUND((F444*G444),0)</f>
        <v>4725</v>
      </c>
      <c r="J444" s="24"/>
      <c r="K444" s="35"/>
    </row>
    <row r="445" spans="1:11" ht="26.4" x14ac:dyDescent="0.3">
      <c r="A445" s="335"/>
      <c r="B445" s="385" t="s">
        <v>1721</v>
      </c>
      <c r="C445" s="394"/>
      <c r="D445" s="370" t="s">
        <v>1722</v>
      </c>
      <c r="E445" s="389" t="s">
        <v>26</v>
      </c>
      <c r="F445" s="390"/>
      <c r="G445" s="346">
        <f>ROUND(SUM(I446:I449),0)</f>
        <v>10719</v>
      </c>
      <c r="H445" s="400"/>
      <c r="I445" s="391"/>
      <c r="J445" s="24"/>
      <c r="K445" s="35"/>
    </row>
    <row r="446" spans="1:11" x14ac:dyDescent="0.3">
      <c r="A446" s="335"/>
      <c r="B446" s="807" t="s">
        <v>1728</v>
      </c>
      <c r="C446" s="393" t="s">
        <v>1101</v>
      </c>
      <c r="D446" s="392" t="s">
        <v>1102</v>
      </c>
      <c r="E446" s="81" t="s">
        <v>26</v>
      </c>
      <c r="F446" s="51">
        <v>1</v>
      </c>
      <c r="G446" s="142">
        <f>VLOOKUP(C446,BD!$A$29:$E$877,5,0)</f>
        <v>6434.9800000000005</v>
      </c>
      <c r="H446" s="96">
        <v>0</v>
      </c>
      <c r="I446" s="350">
        <f>ROUND((F446*G446),0)</f>
        <v>6435</v>
      </c>
      <c r="J446" s="24"/>
      <c r="K446" s="35"/>
    </row>
    <row r="447" spans="1:11" x14ac:dyDescent="0.3">
      <c r="A447" s="335"/>
      <c r="B447" s="807"/>
      <c r="C447" s="393" t="s">
        <v>237</v>
      </c>
      <c r="D447" s="82" t="s">
        <v>1742</v>
      </c>
      <c r="E447" s="81" t="s">
        <v>25</v>
      </c>
      <c r="F447" s="51">
        <v>0.05</v>
      </c>
      <c r="G447" s="142">
        <f>VLOOKUP(C447,BD!$A$29:$E$877,5,0)</f>
        <v>75698.22</v>
      </c>
      <c r="H447" s="96">
        <v>1.05</v>
      </c>
      <c r="I447" s="350">
        <f>ROUND((F447*G447*H447),0)</f>
        <v>3974</v>
      </c>
      <c r="J447" s="24"/>
      <c r="K447" s="35"/>
    </row>
    <row r="448" spans="1:11" x14ac:dyDescent="0.3">
      <c r="A448" s="335"/>
      <c r="B448" s="383" t="s">
        <v>1502</v>
      </c>
      <c r="C448" s="188" t="s">
        <v>156</v>
      </c>
      <c r="D448" s="364" t="s">
        <v>157</v>
      </c>
      <c r="E448" s="81" t="s">
        <v>155</v>
      </c>
      <c r="F448" s="51">
        <v>1</v>
      </c>
      <c r="G448" s="142">
        <f>+VLOOKUP(D448,MO!$B$33:$F$79,5,0)</f>
        <v>59057</v>
      </c>
      <c r="H448" s="401">
        <f>1/200</f>
        <v>5.0000000000000001E-3</v>
      </c>
      <c r="I448" s="350">
        <f>ROUND((F448*G448*H448),0)</f>
        <v>295</v>
      </c>
      <c r="J448" s="24"/>
      <c r="K448" s="35"/>
    </row>
    <row r="449" spans="1:11" x14ac:dyDescent="0.3">
      <c r="A449" s="335"/>
      <c r="B449" s="406"/>
      <c r="C449" s="188" t="s">
        <v>1364</v>
      </c>
      <c r="D449" s="364" t="s">
        <v>1509</v>
      </c>
      <c r="E449" s="81" t="s">
        <v>1363</v>
      </c>
      <c r="F449" s="51">
        <v>0.05</v>
      </c>
      <c r="G449" s="351">
        <f>I448</f>
        <v>295</v>
      </c>
      <c r="H449" s="96">
        <v>0</v>
      </c>
      <c r="I449" s="350">
        <f>ROUND((F449*G449),0)</f>
        <v>15</v>
      </c>
      <c r="J449" s="24"/>
      <c r="K449" s="35"/>
    </row>
    <row r="450" spans="1:11" s="225" customFormat="1" ht="13.8" thickBot="1" x14ac:dyDescent="0.35">
      <c r="A450" s="408"/>
      <c r="B450" s="13"/>
      <c r="D450" s="579"/>
      <c r="E450" s="408"/>
      <c r="F450" s="199"/>
      <c r="G450" s="149"/>
      <c r="H450" s="580"/>
      <c r="I450" s="154"/>
    </row>
    <row r="451" spans="1:11" ht="26.4" x14ac:dyDescent="0.3">
      <c r="A451" s="409"/>
      <c r="B451" s="582" t="s">
        <v>1577</v>
      </c>
      <c r="C451" s="583"/>
      <c r="D451" s="584" t="s">
        <v>1582</v>
      </c>
      <c r="E451" s="585" t="s">
        <v>171</v>
      </c>
      <c r="F451" s="586"/>
      <c r="G451" s="587">
        <f>ROUND(SUM(I451:I456),0)</f>
        <v>650529</v>
      </c>
      <c r="H451" s="588"/>
      <c r="I451" s="589"/>
    </row>
    <row r="452" spans="1:11" x14ac:dyDescent="0.3">
      <c r="A452" s="409"/>
      <c r="B452" s="823" t="s">
        <v>183</v>
      </c>
      <c r="C452" s="590" t="s">
        <v>1820</v>
      </c>
      <c r="D452" s="424" t="s">
        <v>1821</v>
      </c>
      <c r="E452" s="120" t="s">
        <v>26</v>
      </c>
      <c r="F452" s="591">
        <v>8</v>
      </c>
      <c r="G452" s="427">
        <v>12000</v>
      </c>
      <c r="H452" s="428">
        <v>1</v>
      </c>
      <c r="I452" s="430">
        <f>ROUND((F452*G452),0)</f>
        <v>96000</v>
      </c>
    </row>
    <row r="453" spans="1:11" x14ac:dyDescent="0.3">
      <c r="A453" s="409"/>
      <c r="B453" s="823"/>
      <c r="C453" s="590" t="s">
        <v>1820</v>
      </c>
      <c r="D453" s="424" t="s">
        <v>1822</v>
      </c>
      <c r="E453" s="120" t="s">
        <v>26</v>
      </c>
      <c r="F453" s="591">
        <v>300</v>
      </c>
      <c r="G453" s="427">
        <v>1000</v>
      </c>
      <c r="H453" s="428">
        <v>1</v>
      </c>
      <c r="I453" s="430">
        <f t="shared" ref="I453:I456" si="19">ROUND((F453*G453),0)</f>
        <v>300000</v>
      </c>
    </row>
    <row r="454" spans="1:11" x14ac:dyDescent="0.3">
      <c r="A454" s="409"/>
      <c r="B454" s="434"/>
      <c r="C454" s="590" t="s">
        <v>1820</v>
      </c>
      <c r="D454" s="424" t="s">
        <v>1597</v>
      </c>
      <c r="E454" s="120" t="s">
        <v>26</v>
      </c>
      <c r="F454" s="591">
        <v>30</v>
      </c>
      <c r="G454" s="427">
        <v>6500</v>
      </c>
      <c r="H454" s="428">
        <v>1</v>
      </c>
      <c r="I454" s="430">
        <f t="shared" si="19"/>
        <v>195000</v>
      </c>
    </row>
    <row r="455" spans="1:11" x14ac:dyDescent="0.3">
      <c r="A455" s="409"/>
      <c r="B455" s="434"/>
      <c r="C455" s="590" t="s">
        <v>1820</v>
      </c>
      <c r="D455" s="424" t="s">
        <v>1598</v>
      </c>
      <c r="E455" s="120" t="s">
        <v>26</v>
      </c>
      <c r="F455" s="591">
        <v>1</v>
      </c>
      <c r="G455" s="427">
        <v>30000</v>
      </c>
      <c r="H455" s="428">
        <v>1</v>
      </c>
      <c r="I455" s="430">
        <f t="shared" si="19"/>
        <v>30000</v>
      </c>
    </row>
    <row r="456" spans="1:11" x14ac:dyDescent="0.3">
      <c r="A456" s="409"/>
      <c r="B456" s="405" t="s">
        <v>1502</v>
      </c>
      <c r="C456" s="590" t="s">
        <v>1823</v>
      </c>
      <c r="D456" s="424" t="s">
        <v>1765</v>
      </c>
      <c r="E456" s="120" t="s">
        <v>155</v>
      </c>
      <c r="F456" s="591">
        <v>0.5</v>
      </c>
      <c r="G456" s="427">
        <v>59057</v>
      </c>
      <c r="H456" s="428">
        <v>1</v>
      </c>
      <c r="I456" s="430">
        <f t="shared" si="19"/>
        <v>29529</v>
      </c>
    </row>
    <row r="457" spans="1:11" ht="27" thickBot="1" x14ac:dyDescent="0.35">
      <c r="A457" s="409"/>
      <c r="B457" s="592" t="s">
        <v>1578</v>
      </c>
      <c r="C457" s="593"/>
      <c r="D457" s="594" t="s">
        <v>1581</v>
      </c>
      <c r="E457" s="595" t="s">
        <v>171</v>
      </c>
      <c r="F457" s="596"/>
      <c r="G457" s="597">
        <f>ROUND(SUM(I457:I465),0)</f>
        <v>1981635</v>
      </c>
      <c r="H457" s="598"/>
      <c r="I457" s="599"/>
    </row>
    <row r="458" spans="1:11" x14ac:dyDescent="0.3">
      <c r="A458" s="409"/>
      <c r="B458" s="832" t="s">
        <v>1825</v>
      </c>
      <c r="C458" s="600" t="s">
        <v>1820</v>
      </c>
      <c r="D458" s="601" t="s">
        <v>1584</v>
      </c>
      <c r="E458" s="602" t="s">
        <v>253</v>
      </c>
      <c r="F458" s="603">
        <v>20</v>
      </c>
      <c r="G458" s="604">
        <v>12000</v>
      </c>
      <c r="H458" s="605">
        <v>1</v>
      </c>
      <c r="I458" s="606">
        <f>ROUND((F458*G458),0)</f>
        <v>240000</v>
      </c>
    </row>
    <row r="459" spans="1:11" s="225" customFormat="1" x14ac:dyDescent="0.3">
      <c r="A459" s="408"/>
      <c r="B459" s="833"/>
      <c r="C459" s="600" t="s">
        <v>1820</v>
      </c>
      <c r="D459" s="601" t="s">
        <v>1585</v>
      </c>
      <c r="E459" s="602" t="s">
        <v>253</v>
      </c>
      <c r="F459" s="603">
        <v>20</v>
      </c>
      <c r="G459" s="604">
        <v>11500</v>
      </c>
      <c r="H459" s="605">
        <v>1</v>
      </c>
      <c r="I459" s="606">
        <f t="shared" ref="I459:I465" si="20">ROUND((F459*G459),0)</f>
        <v>230000</v>
      </c>
    </row>
    <row r="460" spans="1:11" x14ac:dyDescent="0.3">
      <c r="A460" s="409"/>
      <c r="B460" s="833"/>
      <c r="C460" s="600" t="s">
        <v>1820</v>
      </c>
      <c r="D460" s="601" t="s">
        <v>1586</v>
      </c>
      <c r="E460" s="602" t="s">
        <v>253</v>
      </c>
      <c r="F460" s="603">
        <v>16</v>
      </c>
      <c r="G460" s="604">
        <v>20000</v>
      </c>
      <c r="H460" s="605">
        <v>1</v>
      </c>
      <c r="I460" s="606">
        <f t="shared" si="20"/>
        <v>320000</v>
      </c>
    </row>
    <row r="461" spans="1:11" x14ac:dyDescent="0.3">
      <c r="A461" s="409"/>
      <c r="B461" s="833"/>
      <c r="C461" s="600" t="s">
        <v>1820</v>
      </c>
      <c r="D461" s="601" t="s">
        <v>1587</v>
      </c>
      <c r="E461" s="602" t="s">
        <v>218</v>
      </c>
      <c r="F461" s="603">
        <v>4</v>
      </c>
      <c r="G461" s="604">
        <v>74000</v>
      </c>
      <c r="H461" s="605">
        <v>1</v>
      </c>
      <c r="I461" s="606">
        <f t="shared" si="20"/>
        <v>296000</v>
      </c>
    </row>
    <row r="462" spans="1:11" s="225" customFormat="1" x14ac:dyDescent="0.3">
      <c r="A462" s="408"/>
      <c r="B462" s="833"/>
      <c r="C462" s="600" t="s">
        <v>1820</v>
      </c>
      <c r="D462" s="601" t="s">
        <v>1588</v>
      </c>
      <c r="E462" s="602" t="s">
        <v>1589</v>
      </c>
      <c r="F462" s="603">
        <v>15</v>
      </c>
      <c r="G462" s="604">
        <v>21000</v>
      </c>
      <c r="H462" s="605">
        <v>1</v>
      </c>
      <c r="I462" s="606">
        <f t="shared" si="20"/>
        <v>315000</v>
      </c>
    </row>
    <row r="463" spans="1:11" x14ac:dyDescent="0.3">
      <c r="A463" s="409"/>
      <c r="B463" s="833"/>
      <c r="C463" s="600" t="s">
        <v>1820</v>
      </c>
      <c r="D463" s="601" t="s">
        <v>1590</v>
      </c>
      <c r="E463" s="602" t="s">
        <v>218</v>
      </c>
      <c r="F463" s="603">
        <v>20</v>
      </c>
      <c r="G463" s="604">
        <v>9000</v>
      </c>
      <c r="H463" s="605">
        <v>1</v>
      </c>
      <c r="I463" s="606">
        <f t="shared" si="20"/>
        <v>180000</v>
      </c>
    </row>
    <row r="464" spans="1:11" x14ac:dyDescent="0.3">
      <c r="A464" s="409"/>
      <c r="B464" s="831"/>
      <c r="C464" s="600" t="s">
        <v>1820</v>
      </c>
      <c r="D464" s="601" t="s">
        <v>1591</v>
      </c>
      <c r="E464" s="602" t="s">
        <v>1592</v>
      </c>
      <c r="F464" s="603">
        <v>1</v>
      </c>
      <c r="G464" s="604">
        <v>200000</v>
      </c>
      <c r="H464" s="605">
        <v>1</v>
      </c>
      <c r="I464" s="606">
        <f t="shared" si="20"/>
        <v>200000</v>
      </c>
    </row>
    <row r="465" spans="1:9" ht="13.8" thickBot="1" x14ac:dyDescent="0.35">
      <c r="A465" s="409"/>
      <c r="B465" s="405" t="s">
        <v>1502</v>
      </c>
      <c r="C465" s="590" t="s">
        <v>1823</v>
      </c>
      <c r="D465" s="424" t="s">
        <v>1765</v>
      </c>
      <c r="E465" s="120" t="s">
        <v>155</v>
      </c>
      <c r="F465" s="591">
        <v>3.3973072858290001</v>
      </c>
      <c r="G465" s="427">
        <v>59057</v>
      </c>
      <c r="H465" s="428">
        <v>1</v>
      </c>
      <c r="I465" s="606">
        <f t="shared" si="20"/>
        <v>200635</v>
      </c>
    </row>
    <row r="466" spans="1:9" s="225" customFormat="1" ht="66.599999999999994" thickBot="1" x14ac:dyDescent="0.35">
      <c r="A466" s="408"/>
      <c r="B466" s="607" t="s">
        <v>1579</v>
      </c>
      <c r="C466" s="608"/>
      <c r="D466" s="609" t="s">
        <v>1583</v>
      </c>
      <c r="E466" s="610" t="s">
        <v>26</v>
      </c>
      <c r="F466" s="611"/>
      <c r="G466" s="612">
        <f>ROUND(SUM(I466:I473),0)</f>
        <v>3185000</v>
      </c>
      <c r="H466" s="613"/>
      <c r="I466" s="614"/>
    </row>
    <row r="467" spans="1:9" x14ac:dyDescent="0.3">
      <c r="A467" s="409"/>
      <c r="B467" s="831" t="s">
        <v>1825</v>
      </c>
      <c r="C467" s="615" t="s">
        <v>1820</v>
      </c>
      <c r="D467" s="601" t="s">
        <v>1824</v>
      </c>
      <c r="E467" s="616" t="s">
        <v>26</v>
      </c>
      <c r="F467" s="617">
        <v>1</v>
      </c>
      <c r="G467" s="604">
        <v>500000</v>
      </c>
      <c r="H467" s="605">
        <v>1</v>
      </c>
      <c r="I467" s="618">
        <f>ROUND((F467*G467*H467),0)</f>
        <v>500000</v>
      </c>
    </row>
    <row r="468" spans="1:9" x14ac:dyDescent="0.3">
      <c r="A468" s="409"/>
      <c r="B468" s="823"/>
      <c r="C468" s="423" t="s">
        <v>1820</v>
      </c>
      <c r="D468" s="424" t="s">
        <v>1600</v>
      </c>
      <c r="E468" s="425" t="s">
        <v>26</v>
      </c>
      <c r="F468" s="426">
        <v>2</v>
      </c>
      <c r="G468" s="427">
        <v>155000</v>
      </c>
      <c r="H468" s="428">
        <v>1</v>
      </c>
      <c r="I468" s="618">
        <f t="shared" ref="I468:I473" si="21">ROUND((F468*G468*H468),0)</f>
        <v>310000</v>
      </c>
    </row>
    <row r="469" spans="1:9" ht="52.8" x14ac:dyDescent="0.3">
      <c r="A469" s="409"/>
      <c r="B469" s="823"/>
      <c r="C469" s="423" t="s">
        <v>1820</v>
      </c>
      <c r="D469" s="424" t="s">
        <v>1601</v>
      </c>
      <c r="E469" s="425" t="s">
        <v>26</v>
      </c>
      <c r="F469" s="426">
        <v>2</v>
      </c>
      <c r="G469" s="427">
        <v>35000</v>
      </c>
      <c r="H469" s="428">
        <v>1</v>
      </c>
      <c r="I469" s="618">
        <f t="shared" si="21"/>
        <v>70000</v>
      </c>
    </row>
    <row r="470" spans="1:9" ht="26.4" x14ac:dyDescent="0.3">
      <c r="A470" s="409"/>
      <c r="B470" s="823"/>
      <c r="C470" s="423" t="s">
        <v>1820</v>
      </c>
      <c r="D470" s="424" t="s">
        <v>1602</v>
      </c>
      <c r="E470" s="425" t="s">
        <v>3</v>
      </c>
      <c r="F470" s="426">
        <v>10</v>
      </c>
      <c r="G470" s="427">
        <v>150000</v>
      </c>
      <c r="H470" s="428">
        <v>1</v>
      </c>
      <c r="I470" s="618">
        <f t="shared" si="21"/>
        <v>1500000</v>
      </c>
    </row>
    <row r="471" spans="1:9" x14ac:dyDescent="0.3">
      <c r="A471" s="409"/>
      <c r="B471" s="823"/>
      <c r="C471" s="423" t="s">
        <v>1820</v>
      </c>
      <c r="D471" s="424" t="s">
        <v>1603</v>
      </c>
      <c r="E471" s="425" t="s">
        <v>1592</v>
      </c>
      <c r="F471" s="426">
        <v>1</v>
      </c>
      <c r="G471" s="427">
        <v>100000</v>
      </c>
      <c r="H471" s="428">
        <v>1</v>
      </c>
      <c r="I471" s="618">
        <f t="shared" si="21"/>
        <v>100000</v>
      </c>
    </row>
    <row r="472" spans="1:9" x14ac:dyDescent="0.3">
      <c r="A472" s="409"/>
      <c r="B472" s="823"/>
      <c r="C472" s="423" t="s">
        <v>1820</v>
      </c>
      <c r="D472" s="424" t="s">
        <v>1604</v>
      </c>
      <c r="E472" s="425" t="s">
        <v>1592</v>
      </c>
      <c r="F472" s="426">
        <v>4</v>
      </c>
      <c r="G472" s="427">
        <v>60000</v>
      </c>
      <c r="H472" s="428">
        <v>1</v>
      </c>
      <c r="I472" s="618">
        <f t="shared" si="21"/>
        <v>240000</v>
      </c>
    </row>
    <row r="473" spans="1:9" x14ac:dyDescent="0.3">
      <c r="A473" s="409"/>
      <c r="B473" s="823"/>
      <c r="C473" s="423" t="s">
        <v>1820</v>
      </c>
      <c r="D473" s="424" t="s">
        <v>1605</v>
      </c>
      <c r="E473" s="425" t="s">
        <v>3</v>
      </c>
      <c r="F473" s="426">
        <v>155</v>
      </c>
      <c r="G473" s="427">
        <v>3000</v>
      </c>
      <c r="H473" s="428">
        <v>1</v>
      </c>
      <c r="I473" s="618">
        <f t="shared" si="21"/>
        <v>465000</v>
      </c>
    </row>
    <row r="474" spans="1:9" x14ac:dyDescent="0.3">
      <c r="A474" s="409"/>
      <c r="B474" s="581"/>
      <c r="C474" s="100"/>
      <c r="D474" s="85"/>
      <c r="E474" s="86"/>
      <c r="F474" s="201"/>
      <c r="G474" s="142"/>
      <c r="H474" s="193"/>
      <c r="I474" s="156"/>
    </row>
    <row r="475" spans="1:9" ht="13.8" thickBot="1" x14ac:dyDescent="0.35"/>
    <row r="476" spans="1:9" ht="34.5" customHeight="1" x14ac:dyDescent="0.3">
      <c r="A476" s="409"/>
      <c r="B476" s="420"/>
      <c r="C476" s="415"/>
      <c r="D476" s="416" t="s">
        <v>1766</v>
      </c>
      <c r="E476" s="421" t="s">
        <v>26</v>
      </c>
      <c r="F476" s="417"/>
      <c r="G476" s="418">
        <f>ROUND(SUM(I476:I483),0)</f>
        <v>21487</v>
      </c>
      <c r="H476" s="419"/>
      <c r="I476" s="422"/>
    </row>
    <row r="477" spans="1:9" x14ac:dyDescent="0.3">
      <c r="A477" s="409"/>
      <c r="B477" s="823" t="s">
        <v>183</v>
      </c>
      <c r="C477" s="423"/>
      <c r="D477" s="424" t="s">
        <v>1761</v>
      </c>
      <c r="E477" s="425" t="s">
        <v>4</v>
      </c>
      <c r="F477" s="426">
        <v>0.5</v>
      </c>
      <c r="G477" s="427">
        <f>+G406</f>
        <v>4280</v>
      </c>
      <c r="H477" s="428">
        <v>1.05</v>
      </c>
      <c r="I477" s="429">
        <f>ROUND((F477*G477*H477),0)</f>
        <v>2247</v>
      </c>
    </row>
    <row r="478" spans="1:9" x14ac:dyDescent="0.3">
      <c r="A478" s="409"/>
      <c r="B478" s="823"/>
      <c r="C478" s="423"/>
      <c r="D478" s="424" t="s">
        <v>1762</v>
      </c>
      <c r="E478" s="425" t="s">
        <v>4</v>
      </c>
      <c r="F478" s="426">
        <v>0.5</v>
      </c>
      <c r="G478" s="427">
        <v>6188</v>
      </c>
      <c r="H478" s="428">
        <v>1.05</v>
      </c>
      <c r="I478" s="429">
        <f t="shared" ref="I478:I483" si="22">ROUND((F478*G478*H478),0)</f>
        <v>3249</v>
      </c>
    </row>
    <row r="479" spans="1:9" x14ac:dyDescent="0.3">
      <c r="A479" s="409"/>
      <c r="B479" s="823"/>
      <c r="C479" s="423"/>
      <c r="D479" s="424" t="s">
        <v>1763</v>
      </c>
      <c r="E479" s="425" t="s">
        <v>4</v>
      </c>
      <c r="F479" s="426">
        <v>0.6</v>
      </c>
      <c r="G479" s="427">
        <v>3465</v>
      </c>
      <c r="H479" s="428">
        <v>1.05</v>
      </c>
      <c r="I479" s="429">
        <f t="shared" si="22"/>
        <v>2183</v>
      </c>
    </row>
    <row r="480" spans="1:9" x14ac:dyDescent="0.3">
      <c r="A480" s="409"/>
      <c r="B480" s="823"/>
      <c r="C480" s="423"/>
      <c r="D480" s="424" t="s">
        <v>1764</v>
      </c>
      <c r="E480" s="425" t="s">
        <v>1767</v>
      </c>
      <c r="F480" s="426">
        <v>0.15</v>
      </c>
      <c r="G480" s="427">
        <v>2288</v>
      </c>
      <c r="H480" s="428">
        <v>1</v>
      </c>
      <c r="I480" s="429">
        <f t="shared" si="22"/>
        <v>343</v>
      </c>
    </row>
    <row r="481" spans="1:10" x14ac:dyDescent="0.3">
      <c r="A481" s="409"/>
      <c r="B481" s="431" t="s">
        <v>1502</v>
      </c>
      <c r="C481" s="423"/>
      <c r="D481" s="424" t="str">
        <f>+MO!B50</f>
        <v>Cuadrilla G 1 Of + 2 Ay (jornal + prestaciones)</v>
      </c>
      <c r="E481" s="425" t="s">
        <v>155</v>
      </c>
      <c r="F481" s="426">
        <v>0.05</v>
      </c>
      <c r="G481" s="427">
        <f>+MO!F50</f>
        <v>224417</v>
      </c>
      <c r="H481" s="428">
        <v>1</v>
      </c>
      <c r="I481" s="429">
        <f t="shared" si="22"/>
        <v>11221</v>
      </c>
    </row>
    <row r="482" spans="1:10" x14ac:dyDescent="0.3">
      <c r="A482" s="409"/>
      <c r="B482" s="432" t="s">
        <v>1360</v>
      </c>
      <c r="C482" s="423"/>
      <c r="D482" s="424" t="s">
        <v>1769</v>
      </c>
      <c r="E482" s="425" t="s">
        <v>1768</v>
      </c>
      <c r="F482" s="426">
        <v>0.1</v>
      </c>
      <c r="G482" s="427">
        <f>+I481</f>
        <v>11221</v>
      </c>
      <c r="H482" s="428">
        <v>1</v>
      </c>
      <c r="I482" s="429">
        <f t="shared" si="22"/>
        <v>1122</v>
      </c>
    </row>
    <row r="483" spans="1:10" x14ac:dyDescent="0.3">
      <c r="A483" s="409"/>
      <c r="B483" s="432" t="s">
        <v>1360</v>
      </c>
      <c r="C483" s="423"/>
      <c r="D483" s="424" t="s">
        <v>1770</v>
      </c>
      <c r="E483" s="425" t="s">
        <v>1768</v>
      </c>
      <c r="F483" s="426">
        <v>0.1</v>
      </c>
      <c r="G483" s="427">
        <f>+I481</f>
        <v>11221</v>
      </c>
      <c r="H483" s="428">
        <v>1</v>
      </c>
      <c r="I483" s="429">
        <f t="shared" si="22"/>
        <v>1122</v>
      </c>
    </row>
    <row r="484" spans="1:10" ht="13.8" thickBot="1" x14ac:dyDescent="0.35"/>
    <row r="485" spans="1:10" ht="34.5" customHeight="1" x14ac:dyDescent="0.3">
      <c r="A485" s="409"/>
      <c r="B485" s="420"/>
      <c r="C485" s="415"/>
      <c r="D485" s="416" t="s">
        <v>1771</v>
      </c>
      <c r="E485" s="421" t="s">
        <v>26</v>
      </c>
      <c r="F485" s="417"/>
      <c r="G485" s="418">
        <f>ROUND(SUM(I485:I492),0)</f>
        <v>172982</v>
      </c>
      <c r="H485" s="419"/>
      <c r="I485" s="422"/>
      <c r="J485" s="73">
        <v>18000</v>
      </c>
    </row>
    <row r="486" spans="1:10" x14ac:dyDescent="0.3">
      <c r="A486" s="409"/>
      <c r="B486" s="823" t="s">
        <v>183</v>
      </c>
      <c r="C486" s="423"/>
      <c r="D486" s="424" t="s">
        <v>1761</v>
      </c>
      <c r="E486" s="425" t="s">
        <v>4</v>
      </c>
      <c r="F486" s="433">
        <v>6</v>
      </c>
      <c r="G486" s="427">
        <f>+G477</f>
        <v>4280</v>
      </c>
      <c r="H486" s="428">
        <v>1.05</v>
      </c>
      <c r="I486" s="429">
        <f>ROUND((F486*G486*H486),0)</f>
        <v>26964</v>
      </c>
    </row>
    <row r="487" spans="1:10" x14ac:dyDescent="0.3">
      <c r="A487" s="409"/>
      <c r="B487" s="823"/>
      <c r="C487" s="423"/>
      <c r="D487" s="424" t="s">
        <v>1762</v>
      </c>
      <c r="E487" s="425" t="s">
        <v>4</v>
      </c>
      <c r="F487" s="426">
        <v>9</v>
      </c>
      <c r="G487" s="427">
        <v>6188</v>
      </c>
      <c r="H487" s="428">
        <v>1.05</v>
      </c>
      <c r="I487" s="429">
        <f t="shared" ref="I487:I492" si="23">ROUND((F487*G487*H487),0)</f>
        <v>58477</v>
      </c>
    </row>
    <row r="488" spans="1:10" x14ac:dyDescent="0.3">
      <c r="A488" s="409"/>
      <c r="B488" s="823"/>
      <c r="C488" s="423"/>
      <c r="D488" s="424" t="s">
        <v>1763</v>
      </c>
      <c r="E488" s="425" t="s">
        <v>4</v>
      </c>
      <c r="F488" s="426">
        <v>8</v>
      </c>
      <c r="G488" s="427">
        <v>3465</v>
      </c>
      <c r="H488" s="428">
        <v>1.05</v>
      </c>
      <c r="I488" s="429">
        <f t="shared" si="23"/>
        <v>29106</v>
      </c>
    </row>
    <row r="489" spans="1:10" x14ac:dyDescent="0.3">
      <c r="A489" s="409"/>
      <c r="B489" s="823"/>
      <c r="C489" s="423"/>
      <c r="D489" s="424" t="s">
        <v>1772</v>
      </c>
      <c r="E489" s="425" t="s">
        <v>1767</v>
      </c>
      <c r="F489" s="426">
        <v>2</v>
      </c>
      <c r="G489" s="427">
        <v>2288</v>
      </c>
      <c r="H489" s="428">
        <v>1</v>
      </c>
      <c r="I489" s="429">
        <f t="shared" si="23"/>
        <v>4576</v>
      </c>
    </row>
    <row r="490" spans="1:10" x14ac:dyDescent="0.3">
      <c r="A490" s="409"/>
      <c r="B490" s="431" t="s">
        <v>1502</v>
      </c>
      <c r="C490" s="423"/>
      <c r="D490" s="424" t="str">
        <f>+D481</f>
        <v>Cuadrilla G 1 Of + 2 Ay (jornal + prestaciones)</v>
      </c>
      <c r="E490" s="425" t="s">
        <v>155</v>
      </c>
      <c r="F490" s="426">
        <v>0.2</v>
      </c>
      <c r="G490" s="427">
        <f>+G481</f>
        <v>224417</v>
      </c>
      <c r="H490" s="428">
        <v>1</v>
      </c>
      <c r="I490" s="429">
        <f t="shared" si="23"/>
        <v>44883</v>
      </c>
    </row>
    <row r="491" spans="1:10" x14ac:dyDescent="0.3">
      <c r="A491" s="409"/>
      <c r="B491" s="432" t="s">
        <v>1360</v>
      </c>
      <c r="C491" s="423"/>
      <c r="D491" s="424" t="s">
        <v>1769</v>
      </c>
      <c r="E491" s="425" t="s">
        <v>1768</v>
      </c>
      <c r="F491" s="426">
        <v>0.1</v>
      </c>
      <c r="G491" s="427">
        <f>+I490</f>
        <v>44883</v>
      </c>
      <c r="H491" s="428">
        <v>1</v>
      </c>
      <c r="I491" s="429">
        <f t="shared" si="23"/>
        <v>4488</v>
      </c>
    </row>
    <row r="492" spans="1:10" x14ac:dyDescent="0.3">
      <c r="A492" s="409"/>
      <c r="B492" s="432" t="s">
        <v>1360</v>
      </c>
      <c r="C492" s="423"/>
      <c r="D492" s="424" t="s">
        <v>1770</v>
      </c>
      <c r="E492" s="425" t="s">
        <v>1768</v>
      </c>
      <c r="F492" s="426">
        <v>0.1</v>
      </c>
      <c r="G492" s="427">
        <f>+I490</f>
        <v>44883</v>
      </c>
      <c r="H492" s="428">
        <v>1</v>
      </c>
      <c r="I492" s="429">
        <f t="shared" si="23"/>
        <v>4488</v>
      </c>
    </row>
    <row r="493" spans="1:10" ht="13.8" thickBot="1" x14ac:dyDescent="0.35"/>
    <row r="494" spans="1:10" ht="34.5" customHeight="1" x14ac:dyDescent="0.3">
      <c r="A494" s="409"/>
      <c r="B494" s="420"/>
      <c r="C494" s="415"/>
      <c r="D494" s="416" t="s">
        <v>1777</v>
      </c>
      <c r="E494" s="421" t="s">
        <v>3</v>
      </c>
      <c r="F494" s="417"/>
      <c r="G494" s="418">
        <f>ROUND(SUM(I494:I503),0)</f>
        <v>64569</v>
      </c>
      <c r="H494" s="419"/>
      <c r="I494" s="422"/>
    </row>
    <row r="495" spans="1:10" x14ac:dyDescent="0.3">
      <c r="A495" s="409"/>
      <c r="B495" s="823" t="s">
        <v>183</v>
      </c>
      <c r="C495" s="423"/>
      <c r="D495" s="424" t="s">
        <v>1773</v>
      </c>
      <c r="E495" s="425" t="s">
        <v>4</v>
      </c>
      <c r="F495" s="426">
        <v>0.4</v>
      </c>
      <c r="G495" s="427">
        <v>6188</v>
      </c>
      <c r="H495" s="428">
        <v>1.05</v>
      </c>
      <c r="I495" s="429">
        <f>ROUND((F495*G495*H495),0)</f>
        <v>2599</v>
      </c>
    </row>
    <row r="496" spans="1:10" x14ac:dyDescent="0.3">
      <c r="A496" s="409"/>
      <c r="B496" s="823"/>
      <c r="C496" s="423"/>
      <c r="D496" s="424" t="s">
        <v>1774</v>
      </c>
      <c r="E496" s="425" t="s">
        <v>4</v>
      </c>
      <c r="F496" s="426">
        <v>0.75</v>
      </c>
      <c r="G496" s="427">
        <v>3094</v>
      </c>
      <c r="H496" s="428">
        <v>1.05</v>
      </c>
      <c r="I496" s="429">
        <f t="shared" ref="I496:I503" si="24">ROUND((F496*G496*H496),0)</f>
        <v>2437</v>
      </c>
    </row>
    <row r="497" spans="1:9" x14ac:dyDescent="0.3">
      <c r="A497" s="409"/>
      <c r="B497" s="823"/>
      <c r="C497" s="423"/>
      <c r="D497" s="424" t="s">
        <v>1775</v>
      </c>
      <c r="E497" s="425" t="s">
        <v>4</v>
      </c>
      <c r="F497" s="426">
        <v>1</v>
      </c>
      <c r="G497" s="427">
        <v>1485</v>
      </c>
      <c r="H497" s="428">
        <v>1.05</v>
      </c>
      <c r="I497" s="429">
        <f t="shared" si="24"/>
        <v>1559</v>
      </c>
    </row>
    <row r="498" spans="1:9" x14ac:dyDescent="0.3">
      <c r="A498" s="409"/>
      <c r="B498" s="823"/>
      <c r="C498" s="423"/>
      <c r="D498" s="424" t="s">
        <v>1772</v>
      </c>
      <c r="E498" s="425" t="s">
        <v>1767</v>
      </c>
      <c r="F498" s="426">
        <v>0.2</v>
      </c>
      <c r="G498" s="427">
        <v>2288</v>
      </c>
      <c r="H498" s="428">
        <v>1</v>
      </c>
      <c r="I498" s="429">
        <f t="shared" si="24"/>
        <v>458</v>
      </c>
    </row>
    <row r="499" spans="1:9" x14ac:dyDescent="0.3">
      <c r="A499" s="409"/>
      <c r="B499" s="823"/>
      <c r="C499" s="423"/>
      <c r="D499" s="424" t="s">
        <v>1776</v>
      </c>
      <c r="E499" s="425" t="s">
        <v>597</v>
      </c>
      <c r="F499" s="426">
        <v>0.15</v>
      </c>
      <c r="G499" s="427">
        <v>3983</v>
      </c>
      <c r="H499" s="428">
        <v>1</v>
      </c>
      <c r="I499" s="429">
        <f t="shared" si="24"/>
        <v>597</v>
      </c>
    </row>
    <row r="500" spans="1:9" x14ac:dyDescent="0.3">
      <c r="A500" s="409"/>
      <c r="B500" s="823"/>
      <c r="C500" s="423"/>
      <c r="D500" s="424" t="s">
        <v>1778</v>
      </c>
      <c r="E500" s="425" t="s">
        <v>3</v>
      </c>
      <c r="F500" s="426">
        <v>1.02</v>
      </c>
      <c r="G500" s="427">
        <v>3000</v>
      </c>
      <c r="H500" s="428">
        <v>1</v>
      </c>
      <c r="I500" s="429">
        <f t="shared" si="24"/>
        <v>3060</v>
      </c>
    </row>
    <row r="501" spans="1:9" x14ac:dyDescent="0.3">
      <c r="A501" s="409"/>
      <c r="B501" s="431" t="s">
        <v>1502</v>
      </c>
      <c r="C501" s="423"/>
      <c r="D501" s="424" t="str">
        <f>+D481</f>
        <v>Cuadrilla G 1 Of + 2 Ay (jornal + prestaciones)</v>
      </c>
      <c r="E501" s="425" t="s">
        <v>155</v>
      </c>
      <c r="F501" s="426">
        <v>0.2</v>
      </c>
      <c r="G501" s="427">
        <f>+G490</f>
        <v>224417</v>
      </c>
      <c r="H501" s="428">
        <v>1</v>
      </c>
      <c r="I501" s="429">
        <f t="shared" si="24"/>
        <v>44883</v>
      </c>
    </row>
    <row r="502" spans="1:9" x14ac:dyDescent="0.3">
      <c r="A502" s="409"/>
      <c r="B502" s="432" t="s">
        <v>1360</v>
      </c>
      <c r="C502" s="423"/>
      <c r="D502" s="424" t="s">
        <v>1769</v>
      </c>
      <c r="E502" s="425" t="s">
        <v>1768</v>
      </c>
      <c r="F502" s="426">
        <v>0.1</v>
      </c>
      <c r="G502" s="427">
        <f>+I501</f>
        <v>44883</v>
      </c>
      <c r="H502" s="428">
        <v>1</v>
      </c>
      <c r="I502" s="429">
        <f t="shared" si="24"/>
        <v>4488</v>
      </c>
    </row>
    <row r="503" spans="1:9" x14ac:dyDescent="0.3">
      <c r="A503" s="409"/>
      <c r="B503" s="432" t="s">
        <v>1360</v>
      </c>
      <c r="C503" s="423"/>
      <c r="D503" s="424" t="s">
        <v>1770</v>
      </c>
      <c r="E503" s="425" t="s">
        <v>1768</v>
      </c>
      <c r="F503" s="426">
        <v>0.1</v>
      </c>
      <c r="G503" s="427">
        <f>+I501</f>
        <v>44883</v>
      </c>
      <c r="H503" s="428">
        <v>1</v>
      </c>
      <c r="I503" s="429">
        <f t="shared" si="24"/>
        <v>4488</v>
      </c>
    </row>
    <row r="504" spans="1:9" ht="13.8" thickBot="1" x14ac:dyDescent="0.35"/>
    <row r="505" spans="1:9" ht="34.5" customHeight="1" x14ac:dyDescent="0.3">
      <c r="A505" s="409"/>
      <c r="B505" s="420"/>
      <c r="C505" s="415"/>
      <c r="D505" s="416" t="s">
        <v>1779</v>
      </c>
      <c r="E505" s="421" t="s">
        <v>1780</v>
      </c>
      <c r="F505" s="417"/>
      <c r="G505" s="418">
        <f>ROUND(SUM(I505:I512),0)</f>
        <v>80394</v>
      </c>
      <c r="H505" s="419"/>
      <c r="I505" s="422"/>
    </row>
    <row r="506" spans="1:9" ht="26.4" x14ac:dyDescent="0.3">
      <c r="A506" s="409"/>
      <c r="B506" s="431" t="s">
        <v>1502</v>
      </c>
      <c r="C506" s="423"/>
      <c r="D506" s="424" t="str">
        <f>+MO!B59</f>
        <v>Cuadrilla K (1Of eléctrico+2Ay eléctricos) (jornal + prestaciones)</v>
      </c>
      <c r="E506" s="425" t="s">
        <v>155</v>
      </c>
      <c r="F506" s="426">
        <v>0.2</v>
      </c>
      <c r="G506" s="427">
        <f>+MO!F59</f>
        <v>292247</v>
      </c>
      <c r="H506" s="428">
        <v>1</v>
      </c>
      <c r="I506" s="429">
        <f t="shared" ref="I506:I507" si="25">ROUND((F506*G506*H506),0)</f>
        <v>58449</v>
      </c>
    </row>
    <row r="507" spans="1:9" x14ac:dyDescent="0.3">
      <c r="A507" s="409"/>
      <c r="B507" s="431"/>
      <c r="C507" s="423"/>
      <c r="D507" s="424" t="s">
        <v>1781</v>
      </c>
      <c r="E507" s="425" t="s">
        <v>26</v>
      </c>
      <c r="F507" s="426">
        <v>1</v>
      </c>
      <c r="G507" s="427">
        <v>2500</v>
      </c>
      <c r="H507" s="428">
        <v>1</v>
      </c>
      <c r="I507" s="429">
        <f t="shared" si="25"/>
        <v>2500</v>
      </c>
    </row>
    <row r="508" spans="1:9" x14ac:dyDescent="0.3">
      <c r="A508" s="409"/>
      <c r="B508" s="431"/>
      <c r="C508" s="423"/>
      <c r="D508" s="424" t="s">
        <v>1787</v>
      </c>
      <c r="E508" s="425" t="s">
        <v>32</v>
      </c>
      <c r="F508" s="426">
        <v>1</v>
      </c>
      <c r="G508" s="427">
        <v>3500</v>
      </c>
      <c r="H508" s="428">
        <v>1</v>
      </c>
      <c r="I508" s="429">
        <f t="shared" ref="I508:I512" si="26">ROUND((F508*G508*H508),0)</f>
        <v>3500</v>
      </c>
    </row>
    <row r="509" spans="1:9" x14ac:dyDescent="0.3">
      <c r="A509" s="409"/>
      <c r="B509" s="431"/>
      <c r="C509" s="423"/>
      <c r="D509" s="424" t="s">
        <v>1786</v>
      </c>
      <c r="E509" s="425" t="s">
        <v>446</v>
      </c>
      <c r="F509" s="426">
        <v>1</v>
      </c>
      <c r="G509" s="427">
        <v>12000</v>
      </c>
      <c r="H509" s="428">
        <v>0.1</v>
      </c>
      <c r="I509" s="429">
        <f t="shared" si="26"/>
        <v>1200</v>
      </c>
    </row>
    <row r="510" spans="1:9" x14ac:dyDescent="0.3">
      <c r="A510" s="409"/>
      <c r="B510" s="431"/>
      <c r="C510" s="423"/>
      <c r="D510" s="424" t="s">
        <v>1788</v>
      </c>
      <c r="E510" s="425" t="s">
        <v>32</v>
      </c>
      <c r="F510" s="426">
        <v>1</v>
      </c>
      <c r="G510" s="427">
        <v>3500</v>
      </c>
      <c r="H510" s="428">
        <v>1</v>
      </c>
      <c r="I510" s="429">
        <f t="shared" si="26"/>
        <v>3500</v>
      </c>
    </row>
    <row r="511" spans="1:9" x14ac:dyDescent="0.3">
      <c r="A511" s="409"/>
      <c r="B511" s="431"/>
      <c r="C511" s="423"/>
      <c r="D511" s="424" t="s">
        <v>1789</v>
      </c>
      <c r="E511" s="425" t="s">
        <v>26</v>
      </c>
      <c r="F511" s="426">
        <v>1</v>
      </c>
      <c r="G511" s="427">
        <v>5400</v>
      </c>
      <c r="H511" s="428">
        <v>1</v>
      </c>
      <c r="I511" s="429">
        <f t="shared" si="26"/>
        <v>5400</v>
      </c>
    </row>
    <row r="512" spans="1:9" x14ac:dyDescent="0.3">
      <c r="A512" s="409"/>
      <c r="B512" s="432" t="s">
        <v>1360</v>
      </c>
      <c r="C512" s="423"/>
      <c r="D512" s="424" t="s">
        <v>1770</v>
      </c>
      <c r="E512" s="425" t="s">
        <v>1768</v>
      </c>
      <c r="F512" s="426">
        <v>0.1</v>
      </c>
      <c r="G512" s="427">
        <f>+I506</f>
        <v>58449</v>
      </c>
      <c r="H512" s="428">
        <v>1</v>
      </c>
      <c r="I512" s="429">
        <f t="shared" si="26"/>
        <v>5845</v>
      </c>
    </row>
    <row r="513" spans="1:11" ht="13.8" thickBot="1" x14ac:dyDescent="0.35"/>
    <row r="514" spans="1:11" ht="34.5" customHeight="1" x14ac:dyDescent="0.3">
      <c r="A514" s="409"/>
      <c r="B514" s="420"/>
      <c r="C514" s="415"/>
      <c r="D514" s="416" t="s">
        <v>1785</v>
      </c>
      <c r="E514" s="421" t="s">
        <v>1780</v>
      </c>
      <c r="F514" s="417"/>
      <c r="G514" s="418">
        <f>ROUND(SUM(I514:I519),0)</f>
        <v>52630</v>
      </c>
      <c r="H514" s="419"/>
      <c r="I514" s="422"/>
    </row>
    <row r="515" spans="1:11" s="435" customFormat="1" ht="29.25" customHeight="1" x14ac:dyDescent="0.3">
      <c r="B515" s="436"/>
      <c r="C515" s="437" t="s">
        <v>196</v>
      </c>
      <c r="D515" s="438" t="s">
        <v>1782</v>
      </c>
      <c r="E515" s="439" t="s">
        <v>26</v>
      </c>
      <c r="F515" s="440">
        <v>1</v>
      </c>
      <c r="G515" s="441">
        <v>2460</v>
      </c>
      <c r="H515" s="439">
        <v>0</v>
      </c>
      <c r="I515" s="442">
        <f>ROUND((F515*G515),0)</f>
        <v>2460</v>
      </c>
      <c r="J515" s="443">
        <v>389</v>
      </c>
      <c r="K515" s="444"/>
    </row>
    <row r="516" spans="1:11" s="435" customFormat="1" ht="29.25" customHeight="1" x14ac:dyDescent="0.3">
      <c r="B516" s="436"/>
      <c r="C516" s="437" t="s">
        <v>745</v>
      </c>
      <c r="D516" s="438" t="s">
        <v>1783</v>
      </c>
      <c r="E516" s="439" t="s">
        <v>26</v>
      </c>
      <c r="F516" s="445">
        <v>6.0000000000000001E-3</v>
      </c>
      <c r="G516" s="441">
        <v>44824.021706041203</v>
      </c>
      <c r="H516" s="439">
        <v>1.03</v>
      </c>
      <c r="I516" s="442">
        <f t="shared" ref="I516:I518" si="27">ROUND((F516*G516*H516),0)</f>
        <v>277</v>
      </c>
      <c r="J516" s="443">
        <v>3267</v>
      </c>
      <c r="K516" s="446"/>
    </row>
    <row r="517" spans="1:11" s="435" customFormat="1" ht="29.25" customHeight="1" x14ac:dyDescent="0.3">
      <c r="B517" s="436"/>
      <c r="C517" s="437" t="s">
        <v>1061</v>
      </c>
      <c r="D517" s="438" t="s">
        <v>1784</v>
      </c>
      <c r="E517" s="439" t="s">
        <v>26</v>
      </c>
      <c r="F517" s="445">
        <v>6.0000000000000001E-3</v>
      </c>
      <c r="G517" s="441">
        <v>84517.85349648002</v>
      </c>
      <c r="H517" s="439">
        <v>1.03</v>
      </c>
      <c r="I517" s="442">
        <f t="shared" si="27"/>
        <v>522</v>
      </c>
      <c r="J517" s="443">
        <v>327</v>
      </c>
      <c r="K517" s="444"/>
    </row>
    <row r="518" spans="1:11" s="435" customFormat="1" ht="29.25" customHeight="1" x14ac:dyDescent="0.3">
      <c r="B518" s="447" t="s">
        <v>1502</v>
      </c>
      <c r="C518" s="437" t="s">
        <v>153</v>
      </c>
      <c r="D518" s="438" t="str">
        <f>+MO!B50</f>
        <v>Cuadrilla G 1 Of + 2 Ay (jornal + prestaciones)</v>
      </c>
      <c r="E518" s="439" t="s">
        <v>155</v>
      </c>
      <c r="F518" s="440">
        <v>1</v>
      </c>
      <c r="G518" s="441">
        <f>+MO!F50</f>
        <v>224417</v>
      </c>
      <c r="H518" s="439">
        <v>0.2</v>
      </c>
      <c r="I518" s="442">
        <f t="shared" si="27"/>
        <v>44883</v>
      </c>
      <c r="J518" s="443"/>
      <c r="K518" s="444"/>
    </row>
    <row r="519" spans="1:11" s="435" customFormat="1" ht="29.25" customHeight="1" thickBot="1" x14ac:dyDescent="0.35">
      <c r="B519" s="448" t="s">
        <v>1360</v>
      </c>
      <c r="C519" s="449" t="s">
        <v>1364</v>
      </c>
      <c r="D519" s="450" t="s">
        <v>1509</v>
      </c>
      <c r="E519" s="451" t="s">
        <v>1363</v>
      </c>
      <c r="F519" s="452">
        <v>0.1</v>
      </c>
      <c r="G519" s="453">
        <f>+I518</f>
        <v>44883</v>
      </c>
      <c r="H519" s="451">
        <v>0</v>
      </c>
      <c r="I519" s="454">
        <f>ROUND((F519*G519),0)</f>
        <v>4488</v>
      </c>
      <c r="J519" s="443"/>
      <c r="K519" s="446"/>
    </row>
    <row r="520" spans="1:11" ht="13.8" thickBot="1" x14ac:dyDescent="0.35"/>
    <row r="521" spans="1:11" ht="34.5" customHeight="1" x14ac:dyDescent="0.3">
      <c r="A521" s="409"/>
      <c r="B521" s="420"/>
      <c r="C521" s="415"/>
      <c r="D521" s="416" t="s">
        <v>1790</v>
      </c>
      <c r="E521" s="421" t="s">
        <v>1780</v>
      </c>
      <c r="F521" s="417"/>
      <c r="G521" s="418">
        <f>ROUND(SUM(I521:I526),0)</f>
        <v>64564</v>
      </c>
      <c r="H521" s="419"/>
      <c r="I521" s="422"/>
    </row>
    <row r="522" spans="1:11" s="435" customFormat="1" ht="29.25" customHeight="1" x14ac:dyDescent="0.3">
      <c r="B522" s="436"/>
      <c r="C522" s="437"/>
      <c r="D522" s="438" t="s">
        <v>1793</v>
      </c>
      <c r="E522" s="439" t="s">
        <v>26</v>
      </c>
      <c r="F522" s="440">
        <v>1</v>
      </c>
      <c r="G522" s="441">
        <v>12000</v>
      </c>
      <c r="H522" s="439">
        <v>0</v>
      </c>
      <c r="I522" s="442">
        <f>ROUND((F522*G522),0)</f>
        <v>12000</v>
      </c>
      <c r="J522" s="443">
        <v>389</v>
      </c>
      <c r="K522" s="444"/>
    </row>
    <row r="523" spans="1:11" s="435" customFormat="1" ht="29.25" customHeight="1" x14ac:dyDescent="0.3">
      <c r="B523" s="436"/>
      <c r="C523" s="437"/>
      <c r="D523" s="438" t="s">
        <v>1791</v>
      </c>
      <c r="E523" s="439" t="s">
        <v>26</v>
      </c>
      <c r="F523" s="445">
        <v>6.0000000000000001E-3</v>
      </c>
      <c r="G523" s="441">
        <v>40000</v>
      </c>
      <c r="H523" s="439">
        <v>1.03</v>
      </c>
      <c r="I523" s="442">
        <f t="shared" ref="I523:I525" si="28">ROUND((F523*G523*H523),0)</f>
        <v>247</v>
      </c>
      <c r="J523" s="443">
        <v>3267</v>
      </c>
      <c r="K523" s="446"/>
    </row>
    <row r="524" spans="1:11" s="435" customFormat="1" ht="29.25" customHeight="1" x14ac:dyDescent="0.3">
      <c r="B524" s="436"/>
      <c r="C524" s="437"/>
      <c r="D524" s="438" t="s">
        <v>1792</v>
      </c>
      <c r="E524" s="439" t="s">
        <v>26</v>
      </c>
      <c r="F524" s="445">
        <v>6.0000000000000001E-3</v>
      </c>
      <c r="G524" s="441">
        <v>56000</v>
      </c>
      <c r="H524" s="439">
        <v>1.03</v>
      </c>
      <c r="I524" s="442">
        <f t="shared" si="28"/>
        <v>346</v>
      </c>
      <c r="J524" s="443">
        <v>327</v>
      </c>
      <c r="K524" s="444"/>
    </row>
    <row r="525" spans="1:11" s="435" customFormat="1" ht="29.25" customHeight="1" x14ac:dyDescent="0.3">
      <c r="B525" s="447" t="s">
        <v>1502</v>
      </c>
      <c r="C525" s="437" t="s">
        <v>153</v>
      </c>
      <c r="D525" s="438" t="str">
        <f>+MO!B49</f>
        <v>Cuadrilla E 1 Of + 1 Ay (jornal + prestaciones)</v>
      </c>
      <c r="E525" s="439" t="s">
        <v>155</v>
      </c>
      <c r="F525" s="440">
        <v>1</v>
      </c>
      <c r="G525" s="441">
        <f>+MO!F57</f>
        <v>236228</v>
      </c>
      <c r="H525" s="439">
        <v>0.2</v>
      </c>
      <c r="I525" s="442">
        <f t="shared" si="28"/>
        <v>47246</v>
      </c>
      <c r="J525" s="443"/>
      <c r="K525" s="444"/>
    </row>
    <row r="526" spans="1:11" s="435" customFormat="1" ht="29.25" customHeight="1" thickBot="1" x14ac:dyDescent="0.35">
      <c r="B526" s="448" t="s">
        <v>1360</v>
      </c>
      <c r="C526" s="449" t="s">
        <v>1364</v>
      </c>
      <c r="D526" s="450" t="s">
        <v>1509</v>
      </c>
      <c r="E526" s="451" t="s">
        <v>1363</v>
      </c>
      <c r="F526" s="452">
        <v>0.1</v>
      </c>
      <c r="G526" s="453">
        <f>+I525</f>
        <v>47246</v>
      </c>
      <c r="H526" s="451">
        <v>0</v>
      </c>
      <c r="I526" s="454">
        <f>ROUND((F526*G526),0)</f>
        <v>4725</v>
      </c>
      <c r="J526" s="443"/>
      <c r="K526" s="446"/>
    </row>
  </sheetData>
  <autoFilter ref="D1:D538" xr:uid="{00000000-0009-0000-0000-000003000000}"/>
  <mergeCells count="82">
    <mergeCell ref="B64:B65"/>
    <mergeCell ref="B68:B71"/>
    <mergeCell ref="B458:B464"/>
    <mergeCell ref="B317:B323"/>
    <mergeCell ref="B383:B384"/>
    <mergeCell ref="B388:B389"/>
    <mergeCell ref="B393:B394"/>
    <mergeCell ref="B446:B447"/>
    <mergeCell ref="B422:B423"/>
    <mergeCell ref="B406:B409"/>
    <mergeCell ref="B398:B402"/>
    <mergeCell ref="B349:B352"/>
    <mergeCell ref="B356:B358"/>
    <mergeCell ref="B362:B364"/>
    <mergeCell ref="B432:B433"/>
    <mergeCell ref="B435:B438"/>
    <mergeCell ref="B477:B480"/>
    <mergeCell ref="B110:B115"/>
    <mergeCell ref="B135:B139"/>
    <mergeCell ref="B251:B252"/>
    <mergeCell ref="B270:B271"/>
    <mergeCell ref="B256:B257"/>
    <mergeCell ref="B343:B345"/>
    <mergeCell ref="B295:B296"/>
    <mergeCell ref="B297:B298"/>
    <mergeCell ref="B305:B306"/>
    <mergeCell ref="B338:B342"/>
    <mergeCell ref="B172:B173"/>
    <mergeCell ref="B202:B206"/>
    <mergeCell ref="B207:B208"/>
    <mergeCell ref="B452:B453"/>
    <mergeCell ref="B467:B473"/>
    <mergeCell ref="B486:B489"/>
    <mergeCell ref="B495:B500"/>
    <mergeCell ref="B37:B38"/>
    <mergeCell ref="B168:B171"/>
    <mergeCell ref="B45:B46"/>
    <mergeCell ref="B56:B57"/>
    <mergeCell ref="B59:B62"/>
    <mergeCell ref="B49:B50"/>
    <mergeCell ref="B52:B54"/>
    <mergeCell ref="B98:B99"/>
    <mergeCell ref="B149:B151"/>
    <mergeCell ref="B117:B121"/>
    <mergeCell ref="B158:B160"/>
    <mergeCell ref="B162:B163"/>
    <mergeCell ref="B103:B105"/>
    <mergeCell ref="B106:B108"/>
    <mergeCell ref="B1:C1"/>
    <mergeCell ref="D1:G1"/>
    <mergeCell ref="H1:I1"/>
    <mergeCell ref="B25:B26"/>
    <mergeCell ref="B16:B17"/>
    <mergeCell ref="B21:B22"/>
    <mergeCell ref="B6:B9"/>
    <mergeCell ref="B13:B14"/>
    <mergeCell ref="B233:B236"/>
    <mergeCell ref="B140:B141"/>
    <mergeCell ref="B142:B143"/>
    <mergeCell ref="B185:B187"/>
    <mergeCell ref="B228:B229"/>
    <mergeCell ref="B165:B166"/>
    <mergeCell ref="B177:B180"/>
    <mergeCell ref="B192:B196"/>
    <mergeCell ref="B212:B216"/>
    <mergeCell ref="B217:B218"/>
    <mergeCell ref="B29:B30"/>
    <mergeCell ref="B73:B77"/>
    <mergeCell ref="B126:B130"/>
    <mergeCell ref="B414:B417"/>
    <mergeCell ref="B428:B429"/>
    <mergeCell ref="B242:B245"/>
    <mergeCell ref="B331:B334"/>
    <mergeCell ref="B247:B249"/>
    <mergeCell ref="B368:B370"/>
    <mergeCell ref="B374:B377"/>
    <mergeCell ref="B378:B379"/>
    <mergeCell ref="B261:B262"/>
    <mergeCell ref="B263:B264"/>
    <mergeCell ref="B266:B267"/>
    <mergeCell ref="B238:B240"/>
    <mergeCell ref="B197:B198"/>
  </mergeCells>
  <printOptions horizontalCentered="1" gridLines="1"/>
  <pageMargins left="0.59055118110236227" right="0.59055118110236227" top="0.59055118110236227" bottom="0.59055118110236227" header="0.39370078740157483" footer="0.39370078740157483"/>
  <pageSetup scale="63" fitToHeight="50" orientation="portrait" r:id="rId1"/>
  <headerFooter>
    <oddFooter>&amp;C&amp;"Arial,Normal"Pág. &amp;P de &amp;N</oddFooter>
  </headerFooter>
  <rowBreaks count="1" manualBreakCount="1">
    <brk id="159" min="1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J92"/>
  <sheetViews>
    <sheetView view="pageBreakPreview" topLeftCell="A19" zoomScaleNormal="100" zoomScaleSheetLayoutView="100" workbookViewId="0">
      <selection activeCell="E67" sqref="E67"/>
    </sheetView>
  </sheetViews>
  <sheetFormatPr baseColWidth="10" defaultColWidth="11.5546875" defaultRowHeight="13.8" x14ac:dyDescent="0.3"/>
  <cols>
    <col min="1" max="1" width="3.109375" style="234" customWidth="1"/>
    <col min="2" max="2" width="37" style="234" customWidth="1"/>
    <col min="3" max="3" width="19.44140625" style="234" customWidth="1"/>
    <col min="4" max="4" width="19.109375" style="234" customWidth="1"/>
    <col min="5" max="5" width="22" style="234" customWidth="1"/>
    <col min="6" max="6" width="16.33203125" style="234" customWidth="1"/>
    <col min="7" max="7" width="3.6640625" style="234" customWidth="1"/>
    <col min="8" max="8" width="19.77734375" style="234" customWidth="1"/>
    <col min="9" max="9" width="15.88671875" style="267" customWidth="1"/>
    <col min="10" max="10" width="11.5546875" style="267"/>
    <col min="11" max="16384" width="11.5546875" style="234"/>
  </cols>
  <sheetData>
    <row r="1" spans="2:10" ht="61.95" customHeight="1" thickBot="1" x14ac:dyDescent="0.35">
      <c r="B1" s="232"/>
      <c r="C1" s="846" t="str">
        <f>+Presupuesto_OFICIAL!D2</f>
        <v>OPTIMIZACIÓN DE LAS REDES DE ACUEDUCTO Y ALCANTARILLADO UBICADOS EN LA CALLE 6 ENTRE CARRERAS 9 Y 11 - MUNICIPIO DE SANTUARIO RISARALDA</v>
      </c>
      <c r="D1" s="847"/>
      <c r="E1" s="848"/>
      <c r="F1" s="233"/>
    </row>
    <row r="2" spans="2:10" ht="14.4" thickBot="1" x14ac:dyDescent="0.35">
      <c r="B2" s="235"/>
      <c r="C2" s="235"/>
      <c r="D2" s="236"/>
      <c r="E2" s="236"/>
      <c r="F2" s="236"/>
    </row>
    <row r="3" spans="2:10" s="240" customFormat="1" x14ac:dyDescent="0.3">
      <c r="B3" s="849" t="s">
        <v>1668</v>
      </c>
      <c r="C3" s="237" t="s">
        <v>1669</v>
      </c>
      <c r="D3" s="238">
        <f>E54</f>
        <v>0.41986991683292291</v>
      </c>
      <c r="E3" s="239"/>
      <c r="F3" s="239"/>
      <c r="I3" s="239"/>
      <c r="J3" s="239"/>
    </row>
    <row r="4" spans="2:10" s="240" customFormat="1" x14ac:dyDescent="0.3">
      <c r="B4" s="850"/>
      <c r="C4" s="241" t="s">
        <v>1606</v>
      </c>
      <c r="D4" s="694">
        <f>+Presupuesto_OFICIAL!G85</f>
        <v>660839384</v>
      </c>
      <c r="E4" s="242"/>
      <c r="F4" s="243"/>
      <c r="I4" s="239"/>
      <c r="J4" s="239"/>
    </row>
    <row r="5" spans="2:10" s="240" customFormat="1" x14ac:dyDescent="0.3">
      <c r="B5" s="850"/>
      <c r="C5" s="241" t="s">
        <v>1607</v>
      </c>
      <c r="D5" s="694">
        <f>+Presupuesto_OFICIAL!G87</f>
        <v>938305961</v>
      </c>
      <c r="E5" s="242"/>
      <c r="F5" s="244"/>
      <c r="I5" s="239"/>
      <c r="J5" s="239"/>
    </row>
    <row r="6" spans="2:10" s="240" customFormat="1" ht="14.4" thickBot="1" x14ac:dyDescent="0.35">
      <c r="B6" s="851"/>
      <c r="C6" s="245" t="s">
        <v>1608</v>
      </c>
      <c r="D6" s="246">
        <v>4</v>
      </c>
      <c r="E6" s="242"/>
      <c r="F6" s="244"/>
      <c r="I6" s="239"/>
      <c r="J6" s="239"/>
    </row>
    <row r="7" spans="2:10" ht="14.4" thickBot="1" x14ac:dyDescent="0.35">
      <c r="B7" s="235"/>
      <c r="C7" s="235"/>
      <c r="D7" s="236"/>
      <c r="E7" s="235"/>
      <c r="F7" s="235"/>
    </row>
    <row r="8" spans="2:10" x14ac:dyDescent="0.3">
      <c r="B8" s="247" t="s">
        <v>1670</v>
      </c>
      <c r="C8" s="248" t="s">
        <v>1610</v>
      </c>
      <c r="D8" s="249" t="s">
        <v>1611</v>
      </c>
      <c r="E8" s="250" t="s">
        <v>1612</v>
      </c>
      <c r="F8" s="251" t="s">
        <v>1613</v>
      </c>
    </row>
    <row r="9" spans="2:10" s="240" customFormat="1" x14ac:dyDescent="0.3">
      <c r="B9" s="252" t="s">
        <v>1614</v>
      </c>
      <c r="C9" s="680">
        <v>4500000</v>
      </c>
      <c r="D9" s="681">
        <v>0.3</v>
      </c>
      <c r="E9" s="253">
        <f t="shared" ref="E9:E20" si="0">D$6</f>
        <v>4</v>
      </c>
      <c r="F9" s="682">
        <f>ROUND(C9*D9*E9,0)</f>
        <v>5400000</v>
      </c>
      <c r="I9" s="239"/>
      <c r="J9" s="239"/>
    </row>
    <row r="10" spans="2:10" x14ac:dyDescent="0.3">
      <c r="B10" s="254" t="s">
        <v>1615</v>
      </c>
      <c r="C10" s="680">
        <v>4000000</v>
      </c>
      <c r="D10" s="681">
        <v>1</v>
      </c>
      <c r="E10" s="253">
        <f t="shared" ref="E10:E11" si="1">D$6</f>
        <v>4</v>
      </c>
      <c r="F10" s="682">
        <f>ROUND(C10*D10*E10,0)</f>
        <v>16000000</v>
      </c>
    </row>
    <row r="11" spans="2:10" x14ac:dyDescent="0.3">
      <c r="B11" s="254" t="s">
        <v>126</v>
      </c>
      <c r="C11" s="680">
        <v>3500000</v>
      </c>
      <c r="D11" s="681">
        <v>1</v>
      </c>
      <c r="E11" s="253">
        <f t="shared" si="1"/>
        <v>4</v>
      </c>
      <c r="F11" s="682">
        <f>ROUND(C11*D11*E11,0)</f>
        <v>14000000</v>
      </c>
    </row>
    <row r="12" spans="2:10" ht="14.4" thickBot="1" x14ac:dyDescent="0.35">
      <c r="B12" s="239"/>
      <c r="C12" s="285"/>
      <c r="D12" s="286"/>
      <c r="E12" s="287"/>
      <c r="F12" s="288"/>
    </row>
    <row r="13" spans="2:10" ht="14.4" thickBot="1" x14ac:dyDescent="0.35">
      <c r="B13" s="239"/>
      <c r="C13" s="836" t="s">
        <v>1675</v>
      </c>
      <c r="D13" s="837"/>
      <c r="E13" s="293">
        <f>+MO!D30</f>
        <v>0.60840000000000005</v>
      </c>
      <c r="F13" s="683">
        <f>+E13*(SUM(F9:F11))</f>
        <v>21537360</v>
      </c>
    </row>
    <row r="14" spans="2:10" ht="14.4" thickBot="1" x14ac:dyDescent="0.35">
      <c r="B14" s="239"/>
      <c r="C14" s="285"/>
      <c r="D14" s="289"/>
      <c r="E14" s="291"/>
      <c r="F14" s="292"/>
      <c r="G14" s="267"/>
    </row>
    <row r="15" spans="2:10" ht="14.4" thickBot="1" x14ac:dyDescent="0.35">
      <c r="B15" s="262" t="s">
        <v>1671</v>
      </c>
      <c r="C15" s="263"/>
      <c r="D15" s="264"/>
      <c r="E15" s="265"/>
      <c r="F15" s="290">
        <f>SUM(F9:F13)</f>
        <v>56937360</v>
      </c>
    </row>
    <row r="16" spans="2:10" ht="14.4" thickBot="1" x14ac:dyDescent="0.35">
      <c r="B16" s="235"/>
      <c r="C16" s="235"/>
      <c r="D16" s="236"/>
      <c r="E16" s="235"/>
      <c r="F16" s="235"/>
    </row>
    <row r="17" spans="2:6" x14ac:dyDescent="0.3">
      <c r="B17" s="247" t="s">
        <v>1609</v>
      </c>
      <c r="C17" s="248" t="s">
        <v>1610</v>
      </c>
      <c r="D17" s="249" t="s">
        <v>1611</v>
      </c>
      <c r="E17" s="250" t="s">
        <v>1612</v>
      </c>
      <c r="F17" s="251" t="s">
        <v>1613</v>
      </c>
    </row>
    <row r="18" spans="2:6" x14ac:dyDescent="0.3">
      <c r="B18" s="255" t="s">
        <v>1616</v>
      </c>
      <c r="C18" s="684">
        <v>3500000</v>
      </c>
      <c r="D18" s="681">
        <v>1</v>
      </c>
      <c r="E18" s="253">
        <f t="shared" si="0"/>
        <v>4</v>
      </c>
      <c r="F18" s="687">
        <f>ROUND(C18*D18*E18,0)</f>
        <v>14000000</v>
      </c>
    </row>
    <row r="19" spans="2:6" x14ac:dyDescent="0.3">
      <c r="B19" s="256" t="s">
        <v>1617</v>
      </c>
      <c r="C19" s="684">
        <v>3500000</v>
      </c>
      <c r="D19" s="681">
        <v>0.5</v>
      </c>
      <c r="E19" s="253">
        <f t="shared" si="0"/>
        <v>4</v>
      </c>
      <c r="F19" s="687">
        <f>ROUND(C19*D19*E19,0)</f>
        <v>7000000</v>
      </c>
    </row>
    <row r="20" spans="2:6" ht="14.4" thickBot="1" x14ac:dyDescent="0.35">
      <c r="B20" s="257" t="s">
        <v>1618</v>
      </c>
      <c r="C20" s="685">
        <v>3500000</v>
      </c>
      <c r="D20" s="686">
        <v>0.3</v>
      </c>
      <c r="E20" s="258">
        <f t="shared" si="0"/>
        <v>4</v>
      </c>
      <c r="F20" s="688">
        <f t="shared" ref="F20" si="2">ROUND(C20*D20*E20,0)</f>
        <v>4200000</v>
      </c>
    </row>
    <row r="21" spans="2:6" ht="14.4" thickBot="1" x14ac:dyDescent="0.35">
      <c r="B21" s="239"/>
      <c r="C21" s="259"/>
      <c r="D21" s="260"/>
      <c r="E21" s="261"/>
      <c r="F21" s="259"/>
    </row>
    <row r="22" spans="2:6" ht="14.4" thickBot="1" x14ac:dyDescent="0.35">
      <c r="B22" s="262" t="s">
        <v>1619</v>
      </c>
      <c r="C22" s="263"/>
      <c r="D22" s="264"/>
      <c r="E22" s="265"/>
      <c r="F22" s="266">
        <f>SUM(F18:F20)</f>
        <v>25200000</v>
      </c>
    </row>
    <row r="23" spans="2:6" ht="14.4" thickBot="1" x14ac:dyDescent="0.35">
      <c r="B23" s="267"/>
      <c r="C23" s="263"/>
      <c r="D23" s="264"/>
      <c r="E23" s="261"/>
      <c r="F23" s="268"/>
    </row>
    <row r="24" spans="2:6" x14ac:dyDescent="0.3">
      <c r="B24" s="247" t="s">
        <v>1620</v>
      </c>
      <c r="C24" s="248" t="s">
        <v>1621</v>
      </c>
      <c r="D24" s="249" t="s">
        <v>1622</v>
      </c>
      <c r="E24" s="250" t="s">
        <v>1623</v>
      </c>
      <c r="F24" s="251" t="s">
        <v>1624</v>
      </c>
    </row>
    <row r="25" spans="2:6" x14ac:dyDescent="0.3">
      <c r="B25" s="269" t="s">
        <v>1625</v>
      </c>
      <c r="C25" s="270">
        <v>0.2</v>
      </c>
      <c r="D25" s="689">
        <f>ROUND(C25*$D$5,0)</f>
        <v>187661192</v>
      </c>
      <c r="E25" s="271">
        <v>7.4799999999999997E-3</v>
      </c>
      <c r="F25" s="690">
        <f>+ROUND(E25*D25,0)</f>
        <v>1403706</v>
      </c>
    </row>
    <row r="26" spans="2:6" ht="27.6" x14ac:dyDescent="0.3">
      <c r="B26" s="269" t="s">
        <v>1626</v>
      </c>
      <c r="C26" s="270">
        <v>0.1</v>
      </c>
      <c r="D26" s="689">
        <f t="shared" ref="D26:D30" si="3">ROUND(C26*$D$5,0)</f>
        <v>93830596</v>
      </c>
      <c r="E26" s="271">
        <v>7.4799999999999997E-3</v>
      </c>
      <c r="F26" s="690">
        <f t="shared" ref="F26:F30" si="4">+ROUND(E26*D26,0)</f>
        <v>701853</v>
      </c>
    </row>
    <row r="27" spans="2:6" x14ac:dyDescent="0.3">
      <c r="B27" s="269" t="s">
        <v>1627</v>
      </c>
      <c r="C27" s="270">
        <v>1</v>
      </c>
      <c r="D27" s="689">
        <f t="shared" si="3"/>
        <v>938305961</v>
      </c>
      <c r="E27" s="271">
        <v>7.4799999999999997E-3</v>
      </c>
      <c r="F27" s="690">
        <f t="shared" si="4"/>
        <v>7018529</v>
      </c>
    </row>
    <row r="28" spans="2:6" x14ac:dyDescent="0.3">
      <c r="B28" s="269" t="s">
        <v>1628</v>
      </c>
      <c r="C28" s="270">
        <v>0.35</v>
      </c>
      <c r="D28" s="689">
        <f t="shared" si="3"/>
        <v>328407086</v>
      </c>
      <c r="E28" s="271">
        <v>3.7000000000000002E-3</v>
      </c>
      <c r="F28" s="690">
        <f t="shared" si="4"/>
        <v>1215106</v>
      </c>
    </row>
    <row r="29" spans="2:6" x14ac:dyDescent="0.3">
      <c r="B29" s="269" t="s">
        <v>1629</v>
      </c>
      <c r="C29" s="270">
        <v>0.3</v>
      </c>
      <c r="D29" s="689">
        <f t="shared" si="3"/>
        <v>281491788</v>
      </c>
      <c r="E29" s="271">
        <v>7.4799999999999997E-3</v>
      </c>
      <c r="F29" s="690">
        <f t="shared" si="4"/>
        <v>2105559</v>
      </c>
    </row>
    <row r="30" spans="2:6" ht="14.4" thickBot="1" x14ac:dyDescent="0.35">
      <c r="B30" s="272" t="s">
        <v>1630</v>
      </c>
      <c r="C30" s="273">
        <v>0.2</v>
      </c>
      <c r="D30" s="689">
        <f t="shared" si="3"/>
        <v>187661192</v>
      </c>
      <c r="E30" s="274">
        <v>7.4799999999999997E-3</v>
      </c>
      <c r="F30" s="690">
        <f t="shared" si="4"/>
        <v>1403706</v>
      </c>
    </row>
    <row r="31" spans="2:6" ht="14.4" thickBot="1" x14ac:dyDescent="0.35">
      <c r="C31" s="275"/>
      <c r="D31" s="260"/>
      <c r="E31" s="276"/>
      <c r="F31" s="275"/>
    </row>
    <row r="32" spans="2:6" ht="14.4" thickBot="1" x14ac:dyDescent="0.35">
      <c r="B32" s="262" t="s">
        <v>1631</v>
      </c>
      <c r="C32" s="277"/>
      <c r="D32" s="264"/>
      <c r="E32" s="261"/>
      <c r="F32" s="266">
        <f>SUM(F25:F30)</f>
        <v>13848459</v>
      </c>
    </row>
    <row r="33" spans="2:6" ht="14.4" thickBot="1" x14ac:dyDescent="0.35">
      <c r="B33" s="267"/>
      <c r="C33" s="263"/>
      <c r="D33" s="264"/>
      <c r="E33" s="261"/>
      <c r="F33" s="268"/>
    </row>
    <row r="34" spans="2:6" ht="14.4" customHeight="1" x14ac:dyDescent="0.3">
      <c r="B34" s="247" t="s">
        <v>1632</v>
      </c>
      <c r="C34" s="248" t="s">
        <v>1633</v>
      </c>
      <c r="D34" s="852" t="s">
        <v>29</v>
      </c>
      <c r="E34" s="853"/>
      <c r="F34" s="251" t="s">
        <v>1634</v>
      </c>
    </row>
    <row r="35" spans="2:6" x14ac:dyDescent="0.3">
      <c r="B35" s="254" t="s">
        <v>1635</v>
      </c>
      <c r="C35" s="691">
        <f>$D$5</f>
        <v>938305961</v>
      </c>
      <c r="D35" s="838">
        <v>0.05</v>
      </c>
      <c r="E35" s="839"/>
      <c r="F35" s="694">
        <f>ROUND(C35*D35,0)</f>
        <v>46915298</v>
      </c>
    </row>
    <row r="36" spans="2:6" x14ac:dyDescent="0.3">
      <c r="B36" s="254" t="s">
        <v>1636</v>
      </c>
      <c r="C36" s="691">
        <f t="shared" ref="C36:C41" si="5">$D$5</f>
        <v>938305961</v>
      </c>
      <c r="D36" s="854">
        <v>8.0000000000000004E-4</v>
      </c>
      <c r="E36" s="855"/>
      <c r="F36" s="694">
        <f t="shared" ref="F36:F41" si="6">ROUND(C36*D36,0)</f>
        <v>750645</v>
      </c>
    </row>
    <row r="37" spans="2:6" x14ac:dyDescent="0.3">
      <c r="B37" s="254" t="s">
        <v>1637</v>
      </c>
      <c r="C37" s="691">
        <f t="shared" si="5"/>
        <v>938305961</v>
      </c>
      <c r="D37" s="838">
        <v>0.02</v>
      </c>
      <c r="E37" s="839"/>
      <c r="F37" s="694">
        <f t="shared" si="6"/>
        <v>18766119</v>
      </c>
    </row>
    <row r="38" spans="2:6" x14ac:dyDescent="0.3">
      <c r="B38" s="254" t="s">
        <v>1638</v>
      </c>
      <c r="C38" s="691">
        <f t="shared" si="5"/>
        <v>938305961</v>
      </c>
      <c r="D38" s="838">
        <v>0.02</v>
      </c>
      <c r="E38" s="839"/>
      <c r="F38" s="694">
        <f t="shared" si="6"/>
        <v>18766119</v>
      </c>
    </row>
    <row r="39" spans="2:6" x14ac:dyDescent="0.3">
      <c r="B39" s="254" t="s">
        <v>1639</v>
      </c>
      <c r="C39" s="691">
        <f t="shared" si="5"/>
        <v>938305961</v>
      </c>
      <c r="D39" s="838">
        <v>0.03</v>
      </c>
      <c r="E39" s="839"/>
      <c r="F39" s="694">
        <f t="shared" si="6"/>
        <v>28149179</v>
      </c>
    </row>
    <row r="40" spans="2:6" x14ac:dyDescent="0.3">
      <c r="B40" s="650" t="s">
        <v>1849</v>
      </c>
      <c r="C40" s="692">
        <f>+C39</f>
        <v>938305961</v>
      </c>
      <c r="D40" s="838">
        <v>2.5000000000000001E-2</v>
      </c>
      <c r="E40" s="839"/>
      <c r="F40" s="694">
        <f t="shared" si="6"/>
        <v>23457649</v>
      </c>
    </row>
    <row r="41" spans="2:6" ht="15" customHeight="1" thickBot="1" x14ac:dyDescent="0.35">
      <c r="B41" s="279" t="s">
        <v>1640</v>
      </c>
      <c r="C41" s="693">
        <f t="shared" si="5"/>
        <v>938305961</v>
      </c>
      <c r="D41" s="840">
        <v>0.01</v>
      </c>
      <c r="E41" s="841"/>
      <c r="F41" s="694">
        <f t="shared" si="6"/>
        <v>9383060</v>
      </c>
    </row>
    <row r="42" spans="2:6" ht="14.4" thickBot="1" x14ac:dyDescent="0.35">
      <c r="B42" s="267"/>
      <c r="C42" s="263"/>
      <c r="D42" s="261"/>
      <c r="E42" s="261"/>
      <c r="F42" s="263"/>
    </row>
    <row r="43" spans="2:6" ht="14.4" thickBot="1" x14ac:dyDescent="0.35">
      <c r="B43" s="262" t="s">
        <v>1641</v>
      </c>
      <c r="C43" s="263"/>
      <c r="D43" s="264"/>
      <c r="E43" s="261"/>
      <c r="F43" s="266">
        <f>SUM(F35:F41)</f>
        <v>146188069</v>
      </c>
    </row>
    <row r="44" spans="2:6" ht="14.4" thickBot="1" x14ac:dyDescent="0.35">
      <c r="B44" s="267"/>
      <c r="C44" s="263"/>
      <c r="D44" s="264"/>
      <c r="E44" s="261"/>
      <c r="F44" s="268"/>
    </row>
    <row r="45" spans="2:6" x14ac:dyDescent="0.3">
      <c r="B45" s="247" t="s">
        <v>1642</v>
      </c>
      <c r="C45" s="248" t="s">
        <v>21</v>
      </c>
      <c r="D45" s="249" t="s">
        <v>29</v>
      </c>
      <c r="E45" s="250" t="s">
        <v>1643</v>
      </c>
      <c r="F45" s="251" t="s">
        <v>1613</v>
      </c>
    </row>
    <row r="46" spans="2:6" ht="41.4" x14ac:dyDescent="0.3">
      <c r="B46" s="255" t="s">
        <v>1673</v>
      </c>
      <c r="C46" s="278" t="s">
        <v>3</v>
      </c>
      <c r="D46" s="253">
        <v>6</v>
      </c>
      <c r="E46" s="684">
        <v>100120</v>
      </c>
      <c r="F46" s="687">
        <f>ROUND(D46*E46,0)</f>
        <v>600720</v>
      </c>
    </row>
    <row r="47" spans="2:6" x14ac:dyDescent="0.3">
      <c r="B47" s="255" t="s">
        <v>1644</v>
      </c>
      <c r="C47" s="278" t="s">
        <v>1645</v>
      </c>
      <c r="D47" s="253">
        <v>1</v>
      </c>
      <c r="E47" s="684">
        <v>250000</v>
      </c>
      <c r="F47" s="687">
        <f>ROUND(D47*E47,0)</f>
        <v>250000</v>
      </c>
    </row>
    <row r="48" spans="2:6" ht="14.4" thickBot="1" x14ac:dyDescent="0.35">
      <c r="B48" s="281" t="s">
        <v>1646</v>
      </c>
      <c r="C48" s="280" t="s">
        <v>1826</v>
      </c>
      <c r="D48" s="258">
        <f>+D6</f>
        <v>4</v>
      </c>
      <c r="E48" s="685">
        <v>350000</v>
      </c>
      <c r="F48" s="688">
        <f>+D48*E48</f>
        <v>1400000</v>
      </c>
    </row>
    <row r="49" spans="1:10" ht="14.4" thickBot="1" x14ac:dyDescent="0.35">
      <c r="B49" s="239"/>
      <c r="C49" s="259"/>
      <c r="D49" s="260"/>
      <c r="E49" s="261"/>
      <c r="F49" s="259"/>
    </row>
    <row r="50" spans="1:10" ht="14.4" thickBot="1" x14ac:dyDescent="0.35">
      <c r="B50" s="262" t="s">
        <v>1647</v>
      </c>
      <c r="C50" s="263"/>
      <c r="D50" s="264"/>
      <c r="E50" s="265"/>
      <c r="F50" s="266">
        <f>SUM(F46:F48)</f>
        <v>2250720</v>
      </c>
    </row>
    <row r="51" spans="1:10" ht="14.4" thickBot="1" x14ac:dyDescent="0.35">
      <c r="B51" s="267"/>
      <c r="C51" s="263"/>
      <c r="D51" s="264"/>
      <c r="E51" s="261"/>
      <c r="F51" s="268"/>
      <c r="H51" s="698"/>
    </row>
    <row r="52" spans="1:10" x14ac:dyDescent="0.3">
      <c r="B52" s="842" t="s">
        <v>1648</v>
      </c>
      <c r="C52" s="843"/>
      <c r="D52" s="843"/>
      <c r="E52" s="695">
        <f>+F52/D4</f>
        <v>0.36986991683292292</v>
      </c>
      <c r="F52" s="696">
        <f>SUM(F15+F22+F32+F43+F50)</f>
        <v>244424608</v>
      </c>
      <c r="H52" s="675">
        <v>244427996</v>
      </c>
      <c r="I52" s="675">
        <v>660839384</v>
      </c>
      <c r="J52" s="645">
        <f>+ROUND(H52/I52,0)</f>
        <v>0</v>
      </c>
    </row>
    <row r="53" spans="1:10" x14ac:dyDescent="0.3">
      <c r="B53" s="844" t="s">
        <v>1649</v>
      </c>
      <c r="C53" s="845"/>
      <c r="D53" s="845"/>
      <c r="E53" s="282">
        <v>0.05</v>
      </c>
      <c r="F53" s="697">
        <f>ROUND(D4*E53,0)</f>
        <v>33041969</v>
      </c>
    </row>
    <row r="54" spans="1:10" ht="14.4" thickBot="1" x14ac:dyDescent="0.35">
      <c r="B54" s="834" t="s">
        <v>1672</v>
      </c>
      <c r="C54" s="835"/>
      <c r="D54" s="835"/>
      <c r="E54" s="283">
        <f>SUM(E52:E53)</f>
        <v>0.41986991683292291</v>
      </c>
      <c r="F54" s="761">
        <f>+F52+F53</f>
        <v>277466577</v>
      </c>
      <c r="H54" s="675">
        <v>277469966</v>
      </c>
      <c r="I54" s="676">
        <v>277486457</v>
      </c>
      <c r="J54" s="645">
        <v>0.4199</v>
      </c>
    </row>
    <row r="55" spans="1:10" x14ac:dyDescent="0.3">
      <c r="F55" s="267"/>
      <c r="I55" s="677"/>
    </row>
    <row r="59" spans="1:10" s="623" customFormat="1" ht="15.6" x14ac:dyDescent="0.3">
      <c r="A59" s="621"/>
      <c r="B59" s="622" t="s">
        <v>1827</v>
      </c>
      <c r="D59" s="624"/>
      <c r="G59" s="625"/>
      <c r="H59" s="626"/>
      <c r="I59" s="678"/>
      <c r="J59" s="678"/>
    </row>
    <row r="60" spans="1:10" s="623" customFormat="1" ht="15.6" x14ac:dyDescent="0.25">
      <c r="A60" s="627"/>
      <c r="B60" s="799" t="s">
        <v>1828</v>
      </c>
      <c r="C60" s="799"/>
      <c r="D60" s="803" t="s">
        <v>1829</v>
      </c>
      <c r="E60" s="803"/>
      <c r="F60" s="628"/>
      <c r="G60" s="625"/>
      <c r="H60" s="626"/>
      <c r="I60" s="678"/>
      <c r="J60" s="678"/>
    </row>
    <row r="61" spans="1:10" s="623" customFormat="1" ht="15.6" x14ac:dyDescent="0.25">
      <c r="A61" s="627"/>
      <c r="B61" s="800" t="s">
        <v>1830</v>
      </c>
      <c r="C61" s="800"/>
      <c r="D61" s="801" t="s">
        <v>1831</v>
      </c>
      <c r="E61" s="801"/>
      <c r="F61" s="628"/>
      <c r="G61" s="625"/>
      <c r="H61" s="626"/>
      <c r="I61" s="678"/>
      <c r="J61" s="678"/>
    </row>
    <row r="62" spans="1:10" s="633" customFormat="1" ht="14.4" x14ac:dyDescent="0.3">
      <c r="A62" s="629"/>
      <c r="B62" s="800" t="s">
        <v>1832</v>
      </c>
      <c r="C62" s="800"/>
      <c r="D62" s="802" t="s">
        <v>1832</v>
      </c>
      <c r="E62" s="802"/>
      <c r="F62" s="802"/>
      <c r="G62" s="630"/>
      <c r="H62" s="631"/>
      <c r="I62" s="679"/>
      <c r="J62" s="679"/>
    </row>
    <row r="86" spans="1:5" x14ac:dyDescent="0.3">
      <c r="A86" s="284"/>
      <c r="B86" s="284"/>
      <c r="C86" s="284"/>
      <c r="D86" s="284"/>
      <c r="E86" s="284"/>
    </row>
    <row r="87" spans="1:5" x14ac:dyDescent="0.3">
      <c r="A87" s="284"/>
      <c r="B87" s="284"/>
      <c r="C87" s="284"/>
      <c r="D87" s="284"/>
    </row>
    <row r="88" spans="1:5" x14ac:dyDescent="0.3">
      <c r="A88" s="284"/>
      <c r="B88" s="284"/>
      <c r="C88" s="284"/>
      <c r="D88" s="284"/>
      <c r="E88" s="284"/>
    </row>
    <row r="90" spans="1:5" x14ac:dyDescent="0.3">
      <c r="A90" s="284"/>
      <c r="B90" s="284"/>
      <c r="C90" s="284"/>
      <c r="D90" s="284"/>
      <c r="E90" s="284"/>
    </row>
    <row r="92" spans="1:5" x14ac:dyDescent="0.3">
      <c r="A92" s="284"/>
      <c r="B92" s="284"/>
      <c r="C92" s="284"/>
      <c r="D92" s="284"/>
      <c r="E92" s="284"/>
    </row>
  </sheetData>
  <mergeCells count="20">
    <mergeCell ref="B60:C60"/>
    <mergeCell ref="D60:E60"/>
    <mergeCell ref="B61:C61"/>
    <mergeCell ref="D61:E61"/>
    <mergeCell ref="B62:C62"/>
    <mergeCell ref="D62:F62"/>
    <mergeCell ref="C1:E1"/>
    <mergeCell ref="B3:B6"/>
    <mergeCell ref="D34:E34"/>
    <mergeCell ref="D35:E35"/>
    <mergeCell ref="D36:E36"/>
    <mergeCell ref="B54:D54"/>
    <mergeCell ref="C13:D13"/>
    <mergeCell ref="D38:E38"/>
    <mergeCell ref="D39:E39"/>
    <mergeCell ref="D41:E41"/>
    <mergeCell ref="B52:D52"/>
    <mergeCell ref="B53:D53"/>
    <mergeCell ref="D37:E37"/>
    <mergeCell ref="D40:E40"/>
  </mergeCells>
  <printOptions horizontalCentered="1"/>
  <pageMargins left="0.59055118110236227" right="0.59055118110236227" top="0.78740157480314965" bottom="0.39370078740157483" header="0.39370078740157483" footer="0.39370078740157483"/>
  <pageSetup scale="71" fitToHeight="50" orientation="portrait" r:id="rId1"/>
  <headerFooter>
    <oddFooter>&amp;L&amp;"Arial,Negrita Cursiva"Analisis de AU&amp;C&amp;"Arial Narrow,Normal"Pág. &amp;P de &amp;N</oddFooter>
  </headerFooter>
  <rowBreaks count="1" manualBreakCount="1">
    <brk id="66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K43"/>
  <sheetViews>
    <sheetView view="pageBreakPreview" topLeftCell="A13" zoomScaleNormal="90" zoomScaleSheetLayoutView="100" workbookViewId="0">
      <selection activeCell="K38" sqref="K38"/>
    </sheetView>
  </sheetViews>
  <sheetFormatPr baseColWidth="10" defaultColWidth="11.5546875" defaultRowHeight="13.2" x14ac:dyDescent="0.3"/>
  <cols>
    <col min="1" max="1" width="2.33203125" style="704" customWidth="1"/>
    <col min="2" max="2" width="39.88671875" style="704" customWidth="1"/>
    <col min="3" max="4" width="19.33203125" style="704" customWidth="1"/>
    <col min="5" max="5" width="15" style="704" customWidth="1"/>
    <col min="6" max="6" width="18" style="704" customWidth="1"/>
    <col min="7" max="7" width="2.33203125" style="704" customWidth="1"/>
    <col min="8" max="8" width="16.6640625" style="704" bestFit="1" customWidth="1"/>
    <col min="9" max="10" width="15.5546875" style="704" bestFit="1" customWidth="1"/>
    <col min="11" max="256" width="11.5546875" style="704"/>
    <col min="257" max="257" width="2.33203125" style="704" customWidth="1"/>
    <col min="258" max="258" width="32.109375" style="704" customWidth="1"/>
    <col min="259" max="260" width="19.33203125" style="704" customWidth="1"/>
    <col min="261" max="261" width="15" style="704" customWidth="1"/>
    <col min="262" max="262" width="18" style="704" customWidth="1"/>
    <col min="263" max="263" width="5.6640625" style="704" customWidth="1"/>
    <col min="264" max="512" width="11.5546875" style="704"/>
    <col min="513" max="513" width="2.33203125" style="704" customWidth="1"/>
    <col min="514" max="514" width="32.109375" style="704" customWidth="1"/>
    <col min="515" max="516" width="19.33203125" style="704" customWidth="1"/>
    <col min="517" max="517" width="15" style="704" customWidth="1"/>
    <col min="518" max="518" width="18" style="704" customWidth="1"/>
    <col min="519" max="519" width="5.6640625" style="704" customWidth="1"/>
    <col min="520" max="768" width="11.5546875" style="704"/>
    <col min="769" max="769" width="2.33203125" style="704" customWidth="1"/>
    <col min="770" max="770" width="32.109375" style="704" customWidth="1"/>
    <col min="771" max="772" width="19.33203125" style="704" customWidth="1"/>
    <col min="773" max="773" width="15" style="704" customWidth="1"/>
    <col min="774" max="774" width="18" style="704" customWidth="1"/>
    <col min="775" max="775" width="5.6640625" style="704" customWidth="1"/>
    <col min="776" max="1024" width="11.5546875" style="704"/>
    <col min="1025" max="1025" width="2.33203125" style="704" customWidth="1"/>
    <col min="1026" max="1026" width="32.109375" style="704" customWidth="1"/>
    <col min="1027" max="1028" width="19.33203125" style="704" customWidth="1"/>
    <col min="1029" max="1029" width="15" style="704" customWidth="1"/>
    <col min="1030" max="1030" width="18" style="704" customWidth="1"/>
    <col min="1031" max="1031" width="5.6640625" style="704" customWidth="1"/>
    <col min="1032" max="1280" width="11.5546875" style="704"/>
    <col min="1281" max="1281" width="2.33203125" style="704" customWidth="1"/>
    <col min="1282" max="1282" width="32.109375" style="704" customWidth="1"/>
    <col min="1283" max="1284" width="19.33203125" style="704" customWidth="1"/>
    <col min="1285" max="1285" width="15" style="704" customWidth="1"/>
    <col min="1286" max="1286" width="18" style="704" customWidth="1"/>
    <col min="1287" max="1287" width="5.6640625" style="704" customWidth="1"/>
    <col min="1288" max="1536" width="11.5546875" style="704"/>
    <col min="1537" max="1537" width="2.33203125" style="704" customWidth="1"/>
    <col min="1538" max="1538" width="32.109375" style="704" customWidth="1"/>
    <col min="1539" max="1540" width="19.33203125" style="704" customWidth="1"/>
    <col min="1541" max="1541" width="15" style="704" customWidth="1"/>
    <col min="1542" max="1542" width="18" style="704" customWidth="1"/>
    <col min="1543" max="1543" width="5.6640625" style="704" customWidth="1"/>
    <col min="1544" max="1792" width="11.5546875" style="704"/>
    <col min="1793" max="1793" width="2.33203125" style="704" customWidth="1"/>
    <col min="1794" max="1794" width="32.109375" style="704" customWidth="1"/>
    <col min="1795" max="1796" width="19.33203125" style="704" customWidth="1"/>
    <col min="1797" max="1797" width="15" style="704" customWidth="1"/>
    <col min="1798" max="1798" width="18" style="704" customWidth="1"/>
    <col min="1799" max="1799" width="5.6640625" style="704" customWidth="1"/>
    <col min="1800" max="2048" width="11.5546875" style="704"/>
    <col min="2049" max="2049" width="2.33203125" style="704" customWidth="1"/>
    <col min="2050" max="2050" width="32.109375" style="704" customWidth="1"/>
    <col min="2051" max="2052" width="19.33203125" style="704" customWidth="1"/>
    <col min="2053" max="2053" width="15" style="704" customWidth="1"/>
    <col min="2054" max="2054" width="18" style="704" customWidth="1"/>
    <col min="2055" max="2055" width="5.6640625" style="704" customWidth="1"/>
    <col min="2056" max="2304" width="11.5546875" style="704"/>
    <col min="2305" max="2305" width="2.33203125" style="704" customWidth="1"/>
    <col min="2306" max="2306" width="32.109375" style="704" customWidth="1"/>
    <col min="2307" max="2308" width="19.33203125" style="704" customWidth="1"/>
    <col min="2309" max="2309" width="15" style="704" customWidth="1"/>
    <col min="2310" max="2310" width="18" style="704" customWidth="1"/>
    <col min="2311" max="2311" width="5.6640625" style="704" customWidth="1"/>
    <col min="2312" max="2560" width="11.5546875" style="704"/>
    <col min="2561" max="2561" width="2.33203125" style="704" customWidth="1"/>
    <col min="2562" max="2562" width="32.109375" style="704" customWidth="1"/>
    <col min="2563" max="2564" width="19.33203125" style="704" customWidth="1"/>
    <col min="2565" max="2565" width="15" style="704" customWidth="1"/>
    <col min="2566" max="2566" width="18" style="704" customWidth="1"/>
    <col min="2567" max="2567" width="5.6640625" style="704" customWidth="1"/>
    <col min="2568" max="2816" width="11.5546875" style="704"/>
    <col min="2817" max="2817" width="2.33203125" style="704" customWidth="1"/>
    <col min="2818" max="2818" width="32.109375" style="704" customWidth="1"/>
    <col min="2819" max="2820" width="19.33203125" style="704" customWidth="1"/>
    <col min="2821" max="2821" width="15" style="704" customWidth="1"/>
    <col min="2822" max="2822" width="18" style="704" customWidth="1"/>
    <col min="2823" max="2823" width="5.6640625" style="704" customWidth="1"/>
    <col min="2824" max="3072" width="11.5546875" style="704"/>
    <col min="3073" max="3073" width="2.33203125" style="704" customWidth="1"/>
    <col min="3074" max="3074" width="32.109375" style="704" customWidth="1"/>
    <col min="3075" max="3076" width="19.33203125" style="704" customWidth="1"/>
    <col min="3077" max="3077" width="15" style="704" customWidth="1"/>
    <col min="3078" max="3078" width="18" style="704" customWidth="1"/>
    <col min="3079" max="3079" width="5.6640625" style="704" customWidth="1"/>
    <col min="3080" max="3328" width="11.5546875" style="704"/>
    <col min="3329" max="3329" width="2.33203125" style="704" customWidth="1"/>
    <col min="3330" max="3330" width="32.109375" style="704" customWidth="1"/>
    <col min="3331" max="3332" width="19.33203125" style="704" customWidth="1"/>
    <col min="3333" max="3333" width="15" style="704" customWidth="1"/>
    <col min="3334" max="3334" width="18" style="704" customWidth="1"/>
    <col min="3335" max="3335" width="5.6640625" style="704" customWidth="1"/>
    <col min="3336" max="3584" width="11.5546875" style="704"/>
    <col min="3585" max="3585" width="2.33203125" style="704" customWidth="1"/>
    <col min="3586" max="3586" width="32.109375" style="704" customWidth="1"/>
    <col min="3587" max="3588" width="19.33203125" style="704" customWidth="1"/>
    <col min="3589" max="3589" width="15" style="704" customWidth="1"/>
    <col min="3590" max="3590" width="18" style="704" customWidth="1"/>
    <col min="3591" max="3591" width="5.6640625" style="704" customWidth="1"/>
    <col min="3592" max="3840" width="11.5546875" style="704"/>
    <col min="3841" max="3841" width="2.33203125" style="704" customWidth="1"/>
    <col min="3842" max="3842" width="32.109375" style="704" customWidth="1"/>
    <col min="3843" max="3844" width="19.33203125" style="704" customWidth="1"/>
    <col min="3845" max="3845" width="15" style="704" customWidth="1"/>
    <col min="3846" max="3846" width="18" style="704" customWidth="1"/>
    <col min="3847" max="3847" width="5.6640625" style="704" customWidth="1"/>
    <col min="3848" max="4096" width="11.5546875" style="704"/>
    <col min="4097" max="4097" width="2.33203125" style="704" customWidth="1"/>
    <col min="4098" max="4098" width="32.109375" style="704" customWidth="1"/>
    <col min="4099" max="4100" width="19.33203125" style="704" customWidth="1"/>
    <col min="4101" max="4101" width="15" style="704" customWidth="1"/>
    <col min="4102" max="4102" width="18" style="704" customWidth="1"/>
    <col min="4103" max="4103" width="5.6640625" style="704" customWidth="1"/>
    <col min="4104" max="4352" width="11.5546875" style="704"/>
    <col min="4353" max="4353" width="2.33203125" style="704" customWidth="1"/>
    <col min="4354" max="4354" width="32.109375" style="704" customWidth="1"/>
    <col min="4355" max="4356" width="19.33203125" style="704" customWidth="1"/>
    <col min="4357" max="4357" width="15" style="704" customWidth="1"/>
    <col min="4358" max="4358" width="18" style="704" customWidth="1"/>
    <col min="4359" max="4359" width="5.6640625" style="704" customWidth="1"/>
    <col min="4360" max="4608" width="11.5546875" style="704"/>
    <col min="4609" max="4609" width="2.33203125" style="704" customWidth="1"/>
    <col min="4610" max="4610" width="32.109375" style="704" customWidth="1"/>
    <col min="4611" max="4612" width="19.33203125" style="704" customWidth="1"/>
    <col min="4613" max="4613" width="15" style="704" customWidth="1"/>
    <col min="4614" max="4614" width="18" style="704" customWidth="1"/>
    <col min="4615" max="4615" width="5.6640625" style="704" customWidth="1"/>
    <col min="4616" max="4864" width="11.5546875" style="704"/>
    <col min="4865" max="4865" width="2.33203125" style="704" customWidth="1"/>
    <col min="4866" max="4866" width="32.109375" style="704" customWidth="1"/>
    <col min="4867" max="4868" width="19.33203125" style="704" customWidth="1"/>
    <col min="4869" max="4869" width="15" style="704" customWidth="1"/>
    <col min="4870" max="4870" width="18" style="704" customWidth="1"/>
    <col min="4871" max="4871" width="5.6640625" style="704" customWidth="1"/>
    <col min="4872" max="5120" width="11.5546875" style="704"/>
    <col min="5121" max="5121" width="2.33203125" style="704" customWidth="1"/>
    <col min="5122" max="5122" width="32.109375" style="704" customWidth="1"/>
    <col min="5123" max="5124" width="19.33203125" style="704" customWidth="1"/>
    <col min="5125" max="5125" width="15" style="704" customWidth="1"/>
    <col min="5126" max="5126" width="18" style="704" customWidth="1"/>
    <col min="5127" max="5127" width="5.6640625" style="704" customWidth="1"/>
    <col min="5128" max="5376" width="11.5546875" style="704"/>
    <col min="5377" max="5377" width="2.33203125" style="704" customWidth="1"/>
    <col min="5378" max="5378" width="32.109375" style="704" customWidth="1"/>
    <col min="5379" max="5380" width="19.33203125" style="704" customWidth="1"/>
    <col min="5381" max="5381" width="15" style="704" customWidth="1"/>
    <col min="5382" max="5382" width="18" style="704" customWidth="1"/>
    <col min="5383" max="5383" width="5.6640625" style="704" customWidth="1"/>
    <col min="5384" max="5632" width="11.5546875" style="704"/>
    <col min="5633" max="5633" width="2.33203125" style="704" customWidth="1"/>
    <col min="5634" max="5634" width="32.109375" style="704" customWidth="1"/>
    <col min="5635" max="5636" width="19.33203125" style="704" customWidth="1"/>
    <col min="5637" max="5637" width="15" style="704" customWidth="1"/>
    <col min="5638" max="5638" width="18" style="704" customWidth="1"/>
    <col min="5639" max="5639" width="5.6640625" style="704" customWidth="1"/>
    <col min="5640" max="5888" width="11.5546875" style="704"/>
    <col min="5889" max="5889" width="2.33203125" style="704" customWidth="1"/>
    <col min="5890" max="5890" width="32.109375" style="704" customWidth="1"/>
    <col min="5891" max="5892" width="19.33203125" style="704" customWidth="1"/>
    <col min="5893" max="5893" width="15" style="704" customWidth="1"/>
    <col min="5894" max="5894" width="18" style="704" customWidth="1"/>
    <col min="5895" max="5895" width="5.6640625" style="704" customWidth="1"/>
    <col min="5896" max="6144" width="11.5546875" style="704"/>
    <col min="6145" max="6145" width="2.33203125" style="704" customWidth="1"/>
    <col min="6146" max="6146" width="32.109375" style="704" customWidth="1"/>
    <col min="6147" max="6148" width="19.33203125" style="704" customWidth="1"/>
    <col min="6149" max="6149" width="15" style="704" customWidth="1"/>
    <col min="6150" max="6150" width="18" style="704" customWidth="1"/>
    <col min="6151" max="6151" width="5.6640625" style="704" customWidth="1"/>
    <col min="6152" max="6400" width="11.5546875" style="704"/>
    <col min="6401" max="6401" width="2.33203125" style="704" customWidth="1"/>
    <col min="6402" max="6402" width="32.109375" style="704" customWidth="1"/>
    <col min="6403" max="6404" width="19.33203125" style="704" customWidth="1"/>
    <col min="6405" max="6405" width="15" style="704" customWidth="1"/>
    <col min="6406" max="6406" width="18" style="704" customWidth="1"/>
    <col min="6407" max="6407" width="5.6640625" style="704" customWidth="1"/>
    <col min="6408" max="6656" width="11.5546875" style="704"/>
    <col min="6657" max="6657" width="2.33203125" style="704" customWidth="1"/>
    <col min="6658" max="6658" width="32.109375" style="704" customWidth="1"/>
    <col min="6659" max="6660" width="19.33203125" style="704" customWidth="1"/>
    <col min="6661" max="6661" width="15" style="704" customWidth="1"/>
    <col min="6662" max="6662" width="18" style="704" customWidth="1"/>
    <col min="6663" max="6663" width="5.6640625" style="704" customWidth="1"/>
    <col min="6664" max="6912" width="11.5546875" style="704"/>
    <col min="6913" max="6913" width="2.33203125" style="704" customWidth="1"/>
    <col min="6914" max="6914" width="32.109375" style="704" customWidth="1"/>
    <col min="6915" max="6916" width="19.33203125" style="704" customWidth="1"/>
    <col min="6917" max="6917" width="15" style="704" customWidth="1"/>
    <col min="6918" max="6918" width="18" style="704" customWidth="1"/>
    <col min="6919" max="6919" width="5.6640625" style="704" customWidth="1"/>
    <col min="6920" max="7168" width="11.5546875" style="704"/>
    <col min="7169" max="7169" width="2.33203125" style="704" customWidth="1"/>
    <col min="7170" max="7170" width="32.109375" style="704" customWidth="1"/>
    <col min="7171" max="7172" width="19.33203125" style="704" customWidth="1"/>
    <col min="7173" max="7173" width="15" style="704" customWidth="1"/>
    <col min="7174" max="7174" width="18" style="704" customWidth="1"/>
    <col min="7175" max="7175" width="5.6640625" style="704" customWidth="1"/>
    <col min="7176" max="7424" width="11.5546875" style="704"/>
    <col min="7425" max="7425" width="2.33203125" style="704" customWidth="1"/>
    <col min="7426" max="7426" width="32.109375" style="704" customWidth="1"/>
    <col min="7427" max="7428" width="19.33203125" style="704" customWidth="1"/>
    <col min="7429" max="7429" width="15" style="704" customWidth="1"/>
    <col min="7430" max="7430" width="18" style="704" customWidth="1"/>
    <col min="7431" max="7431" width="5.6640625" style="704" customWidth="1"/>
    <col min="7432" max="7680" width="11.5546875" style="704"/>
    <col min="7681" max="7681" width="2.33203125" style="704" customWidth="1"/>
    <col min="7682" max="7682" width="32.109375" style="704" customWidth="1"/>
    <col min="7683" max="7684" width="19.33203125" style="704" customWidth="1"/>
    <col min="7685" max="7685" width="15" style="704" customWidth="1"/>
    <col min="7686" max="7686" width="18" style="704" customWidth="1"/>
    <col min="7687" max="7687" width="5.6640625" style="704" customWidth="1"/>
    <col min="7688" max="7936" width="11.5546875" style="704"/>
    <col min="7937" max="7937" width="2.33203125" style="704" customWidth="1"/>
    <col min="7938" max="7938" width="32.109375" style="704" customWidth="1"/>
    <col min="7939" max="7940" width="19.33203125" style="704" customWidth="1"/>
    <col min="7941" max="7941" width="15" style="704" customWidth="1"/>
    <col min="7942" max="7942" width="18" style="704" customWidth="1"/>
    <col min="7943" max="7943" width="5.6640625" style="704" customWidth="1"/>
    <col min="7944" max="8192" width="11.5546875" style="704"/>
    <col min="8193" max="8193" width="2.33203125" style="704" customWidth="1"/>
    <col min="8194" max="8194" width="32.109375" style="704" customWidth="1"/>
    <col min="8195" max="8196" width="19.33203125" style="704" customWidth="1"/>
    <col min="8197" max="8197" width="15" style="704" customWidth="1"/>
    <col min="8198" max="8198" width="18" style="704" customWidth="1"/>
    <col min="8199" max="8199" width="5.6640625" style="704" customWidth="1"/>
    <col min="8200" max="8448" width="11.5546875" style="704"/>
    <col min="8449" max="8449" width="2.33203125" style="704" customWidth="1"/>
    <col min="8450" max="8450" width="32.109375" style="704" customWidth="1"/>
    <col min="8451" max="8452" width="19.33203125" style="704" customWidth="1"/>
    <col min="8453" max="8453" width="15" style="704" customWidth="1"/>
    <col min="8454" max="8454" width="18" style="704" customWidth="1"/>
    <col min="8455" max="8455" width="5.6640625" style="704" customWidth="1"/>
    <col min="8456" max="8704" width="11.5546875" style="704"/>
    <col min="8705" max="8705" width="2.33203125" style="704" customWidth="1"/>
    <col min="8706" max="8706" width="32.109375" style="704" customWidth="1"/>
    <col min="8707" max="8708" width="19.33203125" style="704" customWidth="1"/>
    <col min="8709" max="8709" width="15" style="704" customWidth="1"/>
    <col min="8710" max="8710" width="18" style="704" customWidth="1"/>
    <col min="8711" max="8711" width="5.6640625" style="704" customWidth="1"/>
    <col min="8712" max="8960" width="11.5546875" style="704"/>
    <col min="8961" max="8961" width="2.33203125" style="704" customWidth="1"/>
    <col min="8962" max="8962" width="32.109375" style="704" customWidth="1"/>
    <col min="8963" max="8964" width="19.33203125" style="704" customWidth="1"/>
    <col min="8965" max="8965" width="15" style="704" customWidth="1"/>
    <col min="8966" max="8966" width="18" style="704" customWidth="1"/>
    <col min="8967" max="8967" width="5.6640625" style="704" customWidth="1"/>
    <col min="8968" max="9216" width="11.5546875" style="704"/>
    <col min="9217" max="9217" width="2.33203125" style="704" customWidth="1"/>
    <col min="9218" max="9218" width="32.109375" style="704" customWidth="1"/>
    <col min="9219" max="9220" width="19.33203125" style="704" customWidth="1"/>
    <col min="9221" max="9221" width="15" style="704" customWidth="1"/>
    <col min="9222" max="9222" width="18" style="704" customWidth="1"/>
    <col min="9223" max="9223" width="5.6640625" style="704" customWidth="1"/>
    <col min="9224" max="9472" width="11.5546875" style="704"/>
    <col min="9473" max="9473" width="2.33203125" style="704" customWidth="1"/>
    <col min="9474" max="9474" width="32.109375" style="704" customWidth="1"/>
    <col min="9475" max="9476" width="19.33203125" style="704" customWidth="1"/>
    <col min="9477" max="9477" width="15" style="704" customWidth="1"/>
    <col min="9478" max="9478" width="18" style="704" customWidth="1"/>
    <col min="9479" max="9479" width="5.6640625" style="704" customWidth="1"/>
    <col min="9480" max="9728" width="11.5546875" style="704"/>
    <col min="9729" max="9729" width="2.33203125" style="704" customWidth="1"/>
    <col min="9730" max="9730" width="32.109375" style="704" customWidth="1"/>
    <col min="9731" max="9732" width="19.33203125" style="704" customWidth="1"/>
    <col min="9733" max="9733" width="15" style="704" customWidth="1"/>
    <col min="9734" max="9734" width="18" style="704" customWidth="1"/>
    <col min="9735" max="9735" width="5.6640625" style="704" customWidth="1"/>
    <col min="9736" max="9984" width="11.5546875" style="704"/>
    <col min="9985" max="9985" width="2.33203125" style="704" customWidth="1"/>
    <col min="9986" max="9986" width="32.109375" style="704" customWidth="1"/>
    <col min="9987" max="9988" width="19.33203125" style="704" customWidth="1"/>
    <col min="9989" max="9989" width="15" style="704" customWidth="1"/>
    <col min="9990" max="9990" width="18" style="704" customWidth="1"/>
    <col min="9991" max="9991" width="5.6640625" style="704" customWidth="1"/>
    <col min="9992" max="10240" width="11.5546875" style="704"/>
    <col min="10241" max="10241" width="2.33203125" style="704" customWidth="1"/>
    <col min="10242" max="10242" width="32.109375" style="704" customWidth="1"/>
    <col min="10243" max="10244" width="19.33203125" style="704" customWidth="1"/>
    <col min="10245" max="10245" width="15" style="704" customWidth="1"/>
    <col min="10246" max="10246" width="18" style="704" customWidth="1"/>
    <col min="10247" max="10247" width="5.6640625" style="704" customWidth="1"/>
    <col min="10248" max="10496" width="11.5546875" style="704"/>
    <col min="10497" max="10497" width="2.33203125" style="704" customWidth="1"/>
    <col min="10498" max="10498" width="32.109375" style="704" customWidth="1"/>
    <col min="10499" max="10500" width="19.33203125" style="704" customWidth="1"/>
    <col min="10501" max="10501" width="15" style="704" customWidth="1"/>
    <col min="10502" max="10502" width="18" style="704" customWidth="1"/>
    <col min="10503" max="10503" width="5.6640625" style="704" customWidth="1"/>
    <col min="10504" max="10752" width="11.5546875" style="704"/>
    <col min="10753" max="10753" width="2.33203125" style="704" customWidth="1"/>
    <col min="10754" max="10754" width="32.109375" style="704" customWidth="1"/>
    <col min="10755" max="10756" width="19.33203125" style="704" customWidth="1"/>
    <col min="10757" max="10757" width="15" style="704" customWidth="1"/>
    <col min="10758" max="10758" width="18" style="704" customWidth="1"/>
    <col min="10759" max="10759" width="5.6640625" style="704" customWidth="1"/>
    <col min="10760" max="11008" width="11.5546875" style="704"/>
    <col min="11009" max="11009" width="2.33203125" style="704" customWidth="1"/>
    <col min="11010" max="11010" width="32.109375" style="704" customWidth="1"/>
    <col min="11011" max="11012" width="19.33203125" style="704" customWidth="1"/>
    <col min="11013" max="11013" width="15" style="704" customWidth="1"/>
    <col min="11014" max="11014" width="18" style="704" customWidth="1"/>
    <col min="11015" max="11015" width="5.6640625" style="704" customWidth="1"/>
    <col min="11016" max="11264" width="11.5546875" style="704"/>
    <col min="11265" max="11265" width="2.33203125" style="704" customWidth="1"/>
    <col min="11266" max="11266" width="32.109375" style="704" customWidth="1"/>
    <col min="11267" max="11268" width="19.33203125" style="704" customWidth="1"/>
    <col min="11269" max="11269" width="15" style="704" customWidth="1"/>
    <col min="11270" max="11270" width="18" style="704" customWidth="1"/>
    <col min="11271" max="11271" width="5.6640625" style="704" customWidth="1"/>
    <col min="11272" max="11520" width="11.5546875" style="704"/>
    <col min="11521" max="11521" width="2.33203125" style="704" customWidth="1"/>
    <col min="11522" max="11522" width="32.109375" style="704" customWidth="1"/>
    <col min="11523" max="11524" width="19.33203125" style="704" customWidth="1"/>
    <col min="11525" max="11525" width="15" style="704" customWidth="1"/>
    <col min="11526" max="11526" width="18" style="704" customWidth="1"/>
    <col min="11527" max="11527" width="5.6640625" style="704" customWidth="1"/>
    <col min="11528" max="11776" width="11.5546875" style="704"/>
    <col min="11777" max="11777" width="2.33203125" style="704" customWidth="1"/>
    <col min="11778" max="11778" width="32.109375" style="704" customWidth="1"/>
    <col min="11779" max="11780" width="19.33203125" style="704" customWidth="1"/>
    <col min="11781" max="11781" width="15" style="704" customWidth="1"/>
    <col min="11782" max="11782" width="18" style="704" customWidth="1"/>
    <col min="11783" max="11783" width="5.6640625" style="704" customWidth="1"/>
    <col min="11784" max="12032" width="11.5546875" style="704"/>
    <col min="12033" max="12033" width="2.33203125" style="704" customWidth="1"/>
    <col min="12034" max="12034" width="32.109375" style="704" customWidth="1"/>
    <col min="12035" max="12036" width="19.33203125" style="704" customWidth="1"/>
    <col min="12037" max="12037" width="15" style="704" customWidth="1"/>
    <col min="12038" max="12038" width="18" style="704" customWidth="1"/>
    <col min="12039" max="12039" width="5.6640625" style="704" customWidth="1"/>
    <col min="12040" max="12288" width="11.5546875" style="704"/>
    <col min="12289" max="12289" width="2.33203125" style="704" customWidth="1"/>
    <col min="12290" max="12290" width="32.109375" style="704" customWidth="1"/>
    <col min="12291" max="12292" width="19.33203125" style="704" customWidth="1"/>
    <col min="12293" max="12293" width="15" style="704" customWidth="1"/>
    <col min="12294" max="12294" width="18" style="704" customWidth="1"/>
    <col min="12295" max="12295" width="5.6640625" style="704" customWidth="1"/>
    <col min="12296" max="12544" width="11.5546875" style="704"/>
    <col min="12545" max="12545" width="2.33203125" style="704" customWidth="1"/>
    <col min="12546" max="12546" width="32.109375" style="704" customWidth="1"/>
    <col min="12547" max="12548" width="19.33203125" style="704" customWidth="1"/>
    <col min="12549" max="12549" width="15" style="704" customWidth="1"/>
    <col min="12550" max="12550" width="18" style="704" customWidth="1"/>
    <col min="12551" max="12551" width="5.6640625" style="704" customWidth="1"/>
    <col min="12552" max="12800" width="11.5546875" style="704"/>
    <col min="12801" max="12801" width="2.33203125" style="704" customWidth="1"/>
    <col min="12802" max="12802" width="32.109375" style="704" customWidth="1"/>
    <col min="12803" max="12804" width="19.33203125" style="704" customWidth="1"/>
    <col min="12805" max="12805" width="15" style="704" customWidth="1"/>
    <col min="12806" max="12806" width="18" style="704" customWidth="1"/>
    <col min="12807" max="12807" width="5.6640625" style="704" customWidth="1"/>
    <col min="12808" max="13056" width="11.5546875" style="704"/>
    <col min="13057" max="13057" width="2.33203125" style="704" customWidth="1"/>
    <col min="13058" max="13058" width="32.109375" style="704" customWidth="1"/>
    <col min="13059" max="13060" width="19.33203125" style="704" customWidth="1"/>
    <col min="13061" max="13061" width="15" style="704" customWidth="1"/>
    <col min="13062" max="13062" width="18" style="704" customWidth="1"/>
    <col min="13063" max="13063" width="5.6640625" style="704" customWidth="1"/>
    <col min="13064" max="13312" width="11.5546875" style="704"/>
    <col min="13313" max="13313" width="2.33203125" style="704" customWidth="1"/>
    <col min="13314" max="13314" width="32.109375" style="704" customWidth="1"/>
    <col min="13315" max="13316" width="19.33203125" style="704" customWidth="1"/>
    <col min="13317" max="13317" width="15" style="704" customWidth="1"/>
    <col min="13318" max="13318" width="18" style="704" customWidth="1"/>
    <col min="13319" max="13319" width="5.6640625" style="704" customWidth="1"/>
    <col min="13320" max="13568" width="11.5546875" style="704"/>
    <col min="13569" max="13569" width="2.33203125" style="704" customWidth="1"/>
    <col min="13570" max="13570" width="32.109375" style="704" customWidth="1"/>
    <col min="13571" max="13572" width="19.33203125" style="704" customWidth="1"/>
    <col min="13573" max="13573" width="15" style="704" customWidth="1"/>
    <col min="13574" max="13574" width="18" style="704" customWidth="1"/>
    <col min="13575" max="13575" width="5.6640625" style="704" customWidth="1"/>
    <col min="13576" max="13824" width="11.5546875" style="704"/>
    <col min="13825" max="13825" width="2.33203125" style="704" customWidth="1"/>
    <col min="13826" max="13826" width="32.109375" style="704" customWidth="1"/>
    <col min="13827" max="13828" width="19.33203125" style="704" customWidth="1"/>
    <col min="13829" max="13829" width="15" style="704" customWidth="1"/>
    <col min="13830" max="13830" width="18" style="704" customWidth="1"/>
    <col min="13831" max="13831" width="5.6640625" style="704" customWidth="1"/>
    <col min="13832" max="14080" width="11.5546875" style="704"/>
    <col min="14081" max="14081" width="2.33203125" style="704" customWidth="1"/>
    <col min="14082" max="14082" width="32.109375" style="704" customWidth="1"/>
    <col min="14083" max="14084" width="19.33203125" style="704" customWidth="1"/>
    <col min="14085" max="14085" width="15" style="704" customWidth="1"/>
    <col min="14086" max="14086" width="18" style="704" customWidth="1"/>
    <col min="14087" max="14087" width="5.6640625" style="704" customWidth="1"/>
    <col min="14088" max="14336" width="11.5546875" style="704"/>
    <col min="14337" max="14337" width="2.33203125" style="704" customWidth="1"/>
    <col min="14338" max="14338" width="32.109375" style="704" customWidth="1"/>
    <col min="14339" max="14340" width="19.33203125" style="704" customWidth="1"/>
    <col min="14341" max="14341" width="15" style="704" customWidth="1"/>
    <col min="14342" max="14342" width="18" style="704" customWidth="1"/>
    <col min="14343" max="14343" width="5.6640625" style="704" customWidth="1"/>
    <col min="14344" max="14592" width="11.5546875" style="704"/>
    <col min="14593" max="14593" width="2.33203125" style="704" customWidth="1"/>
    <col min="14594" max="14594" width="32.109375" style="704" customWidth="1"/>
    <col min="14595" max="14596" width="19.33203125" style="704" customWidth="1"/>
    <col min="14597" max="14597" width="15" style="704" customWidth="1"/>
    <col min="14598" max="14598" width="18" style="704" customWidth="1"/>
    <col min="14599" max="14599" width="5.6640625" style="704" customWidth="1"/>
    <col min="14600" max="14848" width="11.5546875" style="704"/>
    <col min="14849" max="14849" width="2.33203125" style="704" customWidth="1"/>
    <col min="14850" max="14850" width="32.109375" style="704" customWidth="1"/>
    <col min="14851" max="14852" width="19.33203125" style="704" customWidth="1"/>
    <col min="14853" max="14853" width="15" style="704" customWidth="1"/>
    <col min="14854" max="14854" width="18" style="704" customWidth="1"/>
    <col min="14855" max="14855" width="5.6640625" style="704" customWidth="1"/>
    <col min="14856" max="15104" width="11.5546875" style="704"/>
    <col min="15105" max="15105" width="2.33203125" style="704" customWidth="1"/>
    <col min="15106" max="15106" width="32.109375" style="704" customWidth="1"/>
    <col min="15107" max="15108" width="19.33203125" style="704" customWidth="1"/>
    <col min="15109" max="15109" width="15" style="704" customWidth="1"/>
    <col min="15110" max="15110" width="18" style="704" customWidth="1"/>
    <col min="15111" max="15111" width="5.6640625" style="704" customWidth="1"/>
    <col min="15112" max="15360" width="11.5546875" style="704"/>
    <col min="15361" max="15361" width="2.33203125" style="704" customWidth="1"/>
    <col min="15362" max="15362" width="32.109375" style="704" customWidth="1"/>
    <col min="15363" max="15364" width="19.33203125" style="704" customWidth="1"/>
    <col min="15365" max="15365" width="15" style="704" customWidth="1"/>
    <col min="15366" max="15366" width="18" style="704" customWidth="1"/>
    <col min="15367" max="15367" width="5.6640625" style="704" customWidth="1"/>
    <col min="15368" max="15616" width="11.5546875" style="704"/>
    <col min="15617" max="15617" width="2.33203125" style="704" customWidth="1"/>
    <col min="15618" max="15618" width="32.109375" style="704" customWidth="1"/>
    <col min="15619" max="15620" width="19.33203125" style="704" customWidth="1"/>
    <col min="15621" max="15621" width="15" style="704" customWidth="1"/>
    <col min="15622" max="15622" width="18" style="704" customWidth="1"/>
    <col min="15623" max="15623" width="5.6640625" style="704" customWidth="1"/>
    <col min="15624" max="15872" width="11.5546875" style="704"/>
    <col min="15873" max="15873" width="2.33203125" style="704" customWidth="1"/>
    <col min="15874" max="15874" width="32.109375" style="704" customWidth="1"/>
    <col min="15875" max="15876" width="19.33203125" style="704" customWidth="1"/>
    <col min="15877" max="15877" width="15" style="704" customWidth="1"/>
    <col min="15878" max="15878" width="18" style="704" customWidth="1"/>
    <col min="15879" max="15879" width="5.6640625" style="704" customWidth="1"/>
    <col min="15880" max="16128" width="11.5546875" style="704"/>
    <col min="16129" max="16129" width="2.33203125" style="704" customWidth="1"/>
    <col min="16130" max="16130" width="32.109375" style="704" customWidth="1"/>
    <col min="16131" max="16132" width="19.33203125" style="704" customWidth="1"/>
    <col min="16133" max="16133" width="15" style="704" customWidth="1"/>
    <col min="16134" max="16134" width="18" style="704" customWidth="1"/>
    <col min="16135" max="16135" width="5.6640625" style="704" customWidth="1"/>
    <col min="16136" max="16384" width="11.5546875" style="704"/>
  </cols>
  <sheetData>
    <row r="1" spans="2:6" s="703" customFormat="1" ht="97.2" customHeight="1" thickBot="1" x14ac:dyDescent="0.35">
      <c r="B1" s="701"/>
      <c r="C1" s="872" t="s">
        <v>1852</v>
      </c>
      <c r="D1" s="873"/>
      <c r="E1" s="874"/>
      <c r="F1" s="702"/>
    </row>
    <row r="2" spans="2:6" ht="13.8" thickBot="1" x14ac:dyDescent="0.35"/>
    <row r="3" spans="2:6" x14ac:dyDescent="0.25">
      <c r="B3" s="705" t="s">
        <v>1650</v>
      </c>
      <c r="C3" s="706">
        <f>+F27</f>
        <v>126526750</v>
      </c>
      <c r="D3" s="707"/>
      <c r="E3" s="707"/>
      <c r="F3" s="707"/>
    </row>
    <row r="4" spans="2:6" ht="13.8" thickBot="1" x14ac:dyDescent="0.3">
      <c r="B4" s="708" t="s">
        <v>1651</v>
      </c>
      <c r="C4" s="709">
        <v>4.5</v>
      </c>
      <c r="D4" s="707"/>
      <c r="E4" s="707"/>
      <c r="F4" s="707"/>
    </row>
    <row r="5" spans="2:6" ht="13.8" thickBot="1" x14ac:dyDescent="0.3">
      <c r="B5" s="707"/>
      <c r="C5" s="707"/>
      <c r="D5" s="707"/>
      <c r="E5" s="707"/>
      <c r="F5" s="707"/>
    </row>
    <row r="6" spans="2:6" ht="26.4" x14ac:dyDescent="0.3">
      <c r="B6" s="710" t="s">
        <v>1652</v>
      </c>
      <c r="C6" s="711" t="s">
        <v>1653</v>
      </c>
      <c r="D6" s="711" t="s">
        <v>1654</v>
      </c>
      <c r="E6" s="711" t="s">
        <v>1655</v>
      </c>
      <c r="F6" s="712" t="s">
        <v>1656</v>
      </c>
    </row>
    <row r="7" spans="2:6" x14ac:dyDescent="0.25">
      <c r="B7" s="713" t="s">
        <v>1657</v>
      </c>
      <c r="C7" s="714">
        <v>3500000</v>
      </c>
      <c r="D7" s="715">
        <v>0.3</v>
      </c>
      <c r="E7" s="716">
        <f>+$C$4</f>
        <v>4.5</v>
      </c>
      <c r="F7" s="754">
        <f>+E7*D7*C7</f>
        <v>4724999.9999999991</v>
      </c>
    </row>
    <row r="8" spans="2:6" x14ac:dyDescent="0.25">
      <c r="B8" s="713" t="s">
        <v>1658</v>
      </c>
      <c r="C8" s="714">
        <v>3500000</v>
      </c>
      <c r="D8" s="715">
        <v>1</v>
      </c>
      <c r="E8" s="716">
        <f>+$C$4</f>
        <v>4.5</v>
      </c>
      <c r="F8" s="754">
        <f>+E8*D8*C8</f>
        <v>15750000</v>
      </c>
    </row>
    <row r="9" spans="2:6" ht="13.8" thickBot="1" x14ac:dyDescent="0.3">
      <c r="B9" s="717" t="s">
        <v>1659</v>
      </c>
      <c r="C9" s="718">
        <v>3500000</v>
      </c>
      <c r="D9" s="719">
        <v>1</v>
      </c>
      <c r="E9" s="720">
        <v>4</v>
      </c>
      <c r="F9" s="755">
        <f>+E9*D9*C9</f>
        <v>14000000</v>
      </c>
    </row>
    <row r="10" spans="2:6" ht="13.8" thickBot="1" x14ac:dyDescent="0.3">
      <c r="B10" s="875" t="s">
        <v>1850</v>
      </c>
      <c r="C10" s="876"/>
      <c r="D10" s="876"/>
      <c r="E10" s="877"/>
      <c r="F10" s="757">
        <f>SUM(F7:F9)</f>
        <v>34475000</v>
      </c>
    </row>
    <row r="11" spans="2:6" ht="15.75" customHeight="1" thickBot="1" x14ac:dyDescent="0.35">
      <c r="B11" s="857" t="s">
        <v>1851</v>
      </c>
      <c r="C11" s="858"/>
      <c r="D11" s="858"/>
      <c r="E11" s="859"/>
      <c r="F11" s="721">
        <v>2.5</v>
      </c>
    </row>
    <row r="12" spans="2:6" ht="13.8" thickBot="1" x14ac:dyDescent="0.3">
      <c r="B12" s="707"/>
      <c r="C12" s="707"/>
      <c r="D12" s="707"/>
      <c r="E12" s="707"/>
      <c r="F12" s="707"/>
    </row>
    <row r="13" spans="2:6" ht="13.8" thickBot="1" x14ac:dyDescent="0.3">
      <c r="B13" s="860" t="s">
        <v>1660</v>
      </c>
      <c r="C13" s="861"/>
      <c r="D13" s="861"/>
      <c r="E13" s="862"/>
      <c r="F13" s="756">
        <f>+F10*F11</f>
        <v>86187500</v>
      </c>
    </row>
    <row r="14" spans="2:6" ht="13.8" thickBot="1" x14ac:dyDescent="0.3">
      <c r="B14" s="707"/>
      <c r="C14" s="707"/>
      <c r="D14" s="707"/>
      <c r="E14" s="707"/>
      <c r="F14" s="707"/>
    </row>
    <row r="15" spans="2:6" ht="26.4" x14ac:dyDescent="0.3">
      <c r="B15" s="710" t="s">
        <v>1661</v>
      </c>
      <c r="C15" s="711" t="s">
        <v>1653</v>
      </c>
      <c r="D15" s="711" t="s">
        <v>1654</v>
      </c>
      <c r="E15" s="711" t="s">
        <v>1655</v>
      </c>
      <c r="F15" s="712" t="s">
        <v>1656</v>
      </c>
    </row>
    <row r="16" spans="2:6" x14ac:dyDescent="0.25">
      <c r="B16" s="722" t="s">
        <v>1616</v>
      </c>
      <c r="C16" s="723">
        <v>3000000</v>
      </c>
      <c r="D16" s="724">
        <v>0.3</v>
      </c>
      <c r="E16" s="725">
        <v>4</v>
      </c>
      <c r="F16" s="758">
        <f>+C16*D16*E16</f>
        <v>3600000</v>
      </c>
    </row>
    <row r="17" spans="1:11" x14ac:dyDescent="0.25">
      <c r="B17" s="722" t="s">
        <v>1662</v>
      </c>
      <c r="C17" s="723">
        <v>3000000</v>
      </c>
      <c r="D17" s="724">
        <v>0.3</v>
      </c>
      <c r="E17" s="725">
        <f t="shared" ref="E17" si="0">+$C$4</f>
        <v>4.5</v>
      </c>
      <c r="F17" s="758">
        <f t="shared" ref="F17:F18" si="1">+C17*D17*E17</f>
        <v>4050000</v>
      </c>
    </row>
    <row r="18" spans="1:11" ht="13.8" thickBot="1" x14ac:dyDescent="0.3">
      <c r="B18" s="722" t="s">
        <v>1618</v>
      </c>
      <c r="C18" s="723">
        <v>3000000</v>
      </c>
      <c r="D18" s="724">
        <v>0.3</v>
      </c>
      <c r="E18" s="725">
        <v>4</v>
      </c>
      <c r="F18" s="758">
        <f t="shared" si="1"/>
        <v>3600000</v>
      </c>
    </row>
    <row r="19" spans="1:11" ht="15.75" customHeight="1" thickBot="1" x14ac:dyDescent="0.3">
      <c r="B19" s="875" t="s">
        <v>1850</v>
      </c>
      <c r="C19" s="876"/>
      <c r="D19" s="876"/>
      <c r="E19" s="877"/>
      <c r="F19" s="757">
        <f>SUM(F16:F18)</f>
        <v>11250000</v>
      </c>
    </row>
    <row r="20" spans="1:11" ht="13.8" thickBot="1" x14ac:dyDescent="0.35">
      <c r="B20" s="857" t="s">
        <v>1851</v>
      </c>
      <c r="C20" s="858"/>
      <c r="D20" s="858"/>
      <c r="E20" s="859"/>
      <c r="F20" s="721">
        <v>1.79</v>
      </c>
    </row>
    <row r="21" spans="1:11" ht="13.8" thickBot="1" x14ac:dyDescent="0.3">
      <c r="B21" s="707"/>
      <c r="C21" s="707"/>
      <c r="D21" s="707"/>
      <c r="E21" s="707"/>
      <c r="F21" s="707"/>
    </row>
    <row r="22" spans="1:11" ht="13.8" thickBot="1" x14ac:dyDescent="0.3">
      <c r="B22" s="860" t="s">
        <v>1660</v>
      </c>
      <c r="C22" s="861"/>
      <c r="D22" s="861"/>
      <c r="E22" s="862"/>
      <c r="F22" s="756">
        <f>+F19*F20</f>
        <v>20137500</v>
      </c>
    </row>
    <row r="23" spans="1:11" x14ac:dyDescent="0.25">
      <c r="B23" s="707"/>
      <c r="C23" s="707"/>
      <c r="D23" s="707"/>
      <c r="E23" s="707"/>
      <c r="F23" s="707"/>
    </row>
    <row r="24" spans="1:11" ht="13.8" thickBot="1" x14ac:dyDescent="0.3">
      <c r="B24" s="726"/>
      <c r="C24" s="707"/>
      <c r="D24" s="707"/>
      <c r="E24" s="707"/>
      <c r="F24" s="727"/>
    </row>
    <row r="25" spans="1:11" x14ac:dyDescent="0.25">
      <c r="A25" s="728"/>
      <c r="B25" s="863" t="s">
        <v>1665</v>
      </c>
      <c r="C25" s="864"/>
      <c r="D25" s="864"/>
      <c r="E25" s="865"/>
      <c r="F25" s="759">
        <f>+F13+F22</f>
        <v>106325000</v>
      </c>
    </row>
    <row r="26" spans="1:11" x14ac:dyDescent="0.25">
      <c r="A26" s="728"/>
      <c r="B26" s="866" t="s">
        <v>1666</v>
      </c>
      <c r="C26" s="867"/>
      <c r="D26" s="867"/>
      <c r="E26" s="868"/>
      <c r="F26" s="754">
        <f>+F25*0.19</f>
        <v>20201750</v>
      </c>
    </row>
    <row r="27" spans="1:11" ht="13.8" customHeight="1" thickBot="1" x14ac:dyDescent="0.3">
      <c r="B27" s="869" t="s">
        <v>1667</v>
      </c>
      <c r="C27" s="870"/>
      <c r="D27" s="871"/>
      <c r="E27" s="729">
        <f>+F27/Presupuesto_OFICIAL!G87</f>
        <v>0.13484594072615083</v>
      </c>
      <c r="F27" s="760">
        <f>+F25+F26</f>
        <v>126526750</v>
      </c>
      <c r="H27" s="792" t="s">
        <v>1917</v>
      </c>
      <c r="I27" s="730"/>
      <c r="J27" s="730"/>
      <c r="K27" s="730"/>
    </row>
    <row r="28" spans="1:11" x14ac:dyDescent="0.3">
      <c r="H28" s="730"/>
      <c r="I28" s="730"/>
      <c r="J28" s="730"/>
      <c r="K28" s="730"/>
    </row>
    <row r="29" spans="1:11" x14ac:dyDescent="0.3">
      <c r="H29" s="730"/>
      <c r="I29" s="730"/>
      <c r="J29" s="730"/>
      <c r="K29" s="730"/>
    </row>
    <row r="30" spans="1:11" x14ac:dyDescent="0.3">
      <c r="H30" s="730"/>
      <c r="I30" s="730"/>
      <c r="J30" s="730"/>
      <c r="K30" s="730"/>
    </row>
    <row r="31" spans="1:11" x14ac:dyDescent="0.3">
      <c r="F31" s="731"/>
      <c r="H31" s="730"/>
      <c r="I31" s="730"/>
      <c r="J31" s="730"/>
      <c r="K31" s="730"/>
    </row>
    <row r="32" spans="1:11" x14ac:dyDescent="0.3">
      <c r="F32" s="732"/>
      <c r="H32" s="730"/>
      <c r="I32" s="730"/>
      <c r="J32" s="730"/>
      <c r="K32" s="730"/>
    </row>
    <row r="34" spans="1:10" s="737" customFormat="1" x14ac:dyDescent="0.25">
      <c r="A34" s="733"/>
      <c r="B34" s="734" t="s">
        <v>1827</v>
      </c>
      <c r="C34" s="735"/>
      <c r="D34" s="736"/>
      <c r="G34" s="738"/>
      <c r="H34" s="739"/>
      <c r="I34" s="738"/>
      <c r="J34" s="738"/>
    </row>
    <row r="35" spans="1:10" s="737" customFormat="1" ht="13.2" customHeight="1" x14ac:dyDescent="0.25">
      <c r="A35" s="740"/>
      <c r="B35" s="741" t="s">
        <v>1828</v>
      </c>
      <c r="C35" s="735"/>
      <c r="D35" s="742"/>
      <c r="E35" s="736" t="s">
        <v>1829</v>
      </c>
      <c r="F35" s="743"/>
      <c r="G35" s="738"/>
      <c r="H35" s="739"/>
      <c r="I35" s="738"/>
      <c r="J35" s="738"/>
    </row>
    <row r="36" spans="1:10" s="737" customFormat="1" ht="15" customHeight="1" x14ac:dyDescent="0.25">
      <c r="A36" s="740"/>
      <c r="B36" s="744" t="s">
        <v>1830</v>
      </c>
      <c r="C36" s="735"/>
      <c r="D36" s="745"/>
      <c r="E36" s="742" t="s">
        <v>1831</v>
      </c>
      <c r="F36" s="743"/>
      <c r="G36" s="738"/>
      <c r="H36" s="739"/>
      <c r="I36" s="738"/>
      <c r="J36" s="738"/>
    </row>
    <row r="37" spans="1:10" s="748" customFormat="1" x14ac:dyDescent="0.25">
      <c r="A37" s="746"/>
      <c r="B37" s="747" t="s">
        <v>1832</v>
      </c>
      <c r="D37" s="749"/>
      <c r="E37" s="856" t="s">
        <v>1832</v>
      </c>
      <c r="F37" s="856"/>
      <c r="G37" s="750"/>
      <c r="H37" s="751"/>
      <c r="I37" s="752"/>
      <c r="J37" s="752"/>
    </row>
    <row r="38" spans="1:10" s="748" customFormat="1" x14ac:dyDescent="0.25">
      <c r="A38" s="746"/>
      <c r="B38" s="747"/>
      <c r="D38" s="749"/>
      <c r="E38" s="753"/>
      <c r="F38" s="750"/>
      <c r="G38" s="750"/>
      <c r="H38" s="751"/>
      <c r="I38" s="752"/>
      <c r="J38" s="752"/>
    </row>
    <row r="39" spans="1:10" s="748" customFormat="1" x14ac:dyDescent="0.25">
      <c r="A39" s="746"/>
      <c r="B39" s="747"/>
      <c r="D39" s="749"/>
      <c r="E39" s="753"/>
      <c r="F39" s="750"/>
      <c r="G39" s="750"/>
      <c r="H39" s="751"/>
      <c r="I39" s="752"/>
      <c r="J39" s="752"/>
    </row>
    <row r="40" spans="1:10" s="748" customFormat="1" x14ac:dyDescent="0.25">
      <c r="A40" s="746"/>
      <c r="D40" s="749"/>
      <c r="E40" s="753"/>
      <c r="F40" s="750"/>
      <c r="G40" s="750"/>
      <c r="H40" s="751"/>
      <c r="I40" s="752"/>
      <c r="J40" s="752"/>
    </row>
    <row r="41" spans="1:10" s="748" customFormat="1" x14ac:dyDescent="0.25">
      <c r="D41" s="749"/>
      <c r="E41" s="753"/>
      <c r="F41" s="750"/>
      <c r="G41" s="750"/>
      <c r="H41" s="751"/>
      <c r="I41" s="752"/>
      <c r="J41" s="752"/>
    </row>
    <row r="42" spans="1:10" s="748" customFormat="1" x14ac:dyDescent="0.25">
      <c r="A42" s="746"/>
      <c r="D42" s="749"/>
      <c r="E42" s="753"/>
      <c r="F42" s="750"/>
      <c r="G42" s="750"/>
      <c r="H42" s="751"/>
      <c r="I42" s="752"/>
      <c r="J42" s="752"/>
    </row>
    <row r="43" spans="1:10" s="748" customFormat="1" x14ac:dyDescent="0.25">
      <c r="A43" s="746"/>
      <c r="D43" s="749"/>
      <c r="E43" s="753"/>
      <c r="F43" s="750"/>
      <c r="G43" s="750"/>
      <c r="H43" s="751"/>
      <c r="I43" s="752"/>
      <c r="J43" s="752"/>
    </row>
  </sheetData>
  <mergeCells count="11">
    <mergeCell ref="C1:E1"/>
    <mergeCell ref="B10:E10"/>
    <mergeCell ref="B11:E11"/>
    <mergeCell ref="B13:E13"/>
    <mergeCell ref="B19:E19"/>
    <mergeCell ref="E37:F37"/>
    <mergeCell ref="B20:E20"/>
    <mergeCell ref="B22:E22"/>
    <mergeCell ref="B25:E25"/>
    <mergeCell ref="B26:E26"/>
    <mergeCell ref="B27:D27"/>
  </mergeCells>
  <printOptions horizontalCentered="1"/>
  <pageMargins left="0.59055118110236227" right="0.59055118110236227" top="0.39370078740157483" bottom="0.39370078740157483" header="0.31496062992125984" footer="0.31496062992125984"/>
  <pageSetup scale="68" fitToHeight="50" orientation="portrait" r:id="rId1"/>
  <headerFooter>
    <oddFooter>&amp;L&amp;"Arial,Negrita Cursiva"Presupuesto de Interventoría&amp;R&amp;"Arial Narrow,Normal"Pág.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2C05-106E-4AB8-BE1B-2810D09030E8}">
  <sheetPr>
    <tabColor rgb="FF7030A0"/>
  </sheetPr>
  <dimension ref="B2:H52"/>
  <sheetViews>
    <sheetView topLeftCell="A10" workbookViewId="0">
      <selection activeCell="C56" sqref="C56"/>
    </sheetView>
  </sheetViews>
  <sheetFormatPr baseColWidth="10" defaultColWidth="12.33203125" defaultRowHeight="13.8" x14ac:dyDescent="0.3"/>
  <cols>
    <col min="1" max="2" width="5.33203125" style="762" customWidth="1"/>
    <col min="3" max="3" width="46.109375" style="762" customWidth="1"/>
    <col min="4" max="4" width="13.5546875" style="762" customWidth="1"/>
    <col min="5" max="5" width="14.6640625" style="762" bestFit="1" customWidth="1"/>
    <col min="6" max="6" width="5" style="762" customWidth="1"/>
    <col min="7" max="7" width="18.6640625" style="762" bestFit="1" customWidth="1"/>
    <col min="8" max="16384" width="12.33203125" style="762"/>
  </cols>
  <sheetData>
    <row r="2" spans="2:5" ht="28.2" customHeight="1" x14ac:dyDescent="0.3">
      <c r="B2" s="878" t="s">
        <v>1855</v>
      </c>
      <c r="C2" s="878"/>
      <c r="D2" s="878"/>
      <c r="E2" s="878"/>
    </row>
    <row r="4" spans="2:5" s="764" customFormat="1" x14ac:dyDescent="0.3">
      <c r="B4" s="763" t="s">
        <v>1856</v>
      </c>
      <c r="C4" s="763" t="s">
        <v>1857</v>
      </c>
      <c r="D4" s="763" t="s">
        <v>1858</v>
      </c>
      <c r="E4" s="763" t="s">
        <v>1664</v>
      </c>
    </row>
    <row r="5" spans="2:5" s="764" customFormat="1" x14ac:dyDescent="0.3"/>
    <row r="6" spans="2:5" s="764" customFormat="1" x14ac:dyDescent="0.3">
      <c r="B6" s="765" t="s">
        <v>1859</v>
      </c>
      <c r="C6" s="766" t="s">
        <v>1860</v>
      </c>
      <c r="D6" s="765" t="s">
        <v>1861</v>
      </c>
      <c r="E6" s="767">
        <v>1</v>
      </c>
    </row>
    <row r="7" spans="2:5" x14ac:dyDescent="0.3">
      <c r="C7" s="768"/>
      <c r="E7" s="769"/>
    </row>
    <row r="8" spans="2:5" s="764" customFormat="1" x14ac:dyDescent="0.3">
      <c r="B8" s="765" t="s">
        <v>1862</v>
      </c>
      <c r="C8" s="766" t="s">
        <v>99</v>
      </c>
      <c r="D8" s="765"/>
      <c r="E8" s="770">
        <f>ROUND(SUM(E9:E22),4)</f>
        <v>0.70840000000000003</v>
      </c>
    </row>
    <row r="9" spans="2:5" x14ac:dyDescent="0.3">
      <c r="B9" s="771" t="s">
        <v>1863</v>
      </c>
      <c r="C9" s="772" t="s">
        <v>100</v>
      </c>
      <c r="D9" s="771" t="s">
        <v>1864</v>
      </c>
      <c r="E9" s="773">
        <v>8.3299999999999999E-2</v>
      </c>
    </row>
    <row r="10" spans="2:5" x14ac:dyDescent="0.3">
      <c r="B10" s="771" t="s">
        <v>1865</v>
      </c>
      <c r="C10" s="772" t="s">
        <v>1866</v>
      </c>
      <c r="D10" s="771" t="s">
        <v>1867</v>
      </c>
      <c r="E10" s="773">
        <v>0.01</v>
      </c>
    </row>
    <row r="11" spans="2:5" x14ac:dyDescent="0.3">
      <c r="B11" s="771" t="s">
        <v>1868</v>
      </c>
      <c r="C11" s="772" t="s">
        <v>102</v>
      </c>
      <c r="D11" s="771" t="s">
        <v>1869</v>
      </c>
      <c r="E11" s="773">
        <v>4.7199999999999999E-2</v>
      </c>
    </row>
    <row r="12" spans="2:5" x14ac:dyDescent="0.3">
      <c r="B12" s="771" t="s">
        <v>1870</v>
      </c>
      <c r="C12" s="772" t="s">
        <v>1871</v>
      </c>
      <c r="D12" s="771" t="s">
        <v>1864</v>
      </c>
      <c r="E12" s="773">
        <v>8.3299999999999999E-2</v>
      </c>
    </row>
    <row r="13" spans="2:5" x14ac:dyDescent="0.3">
      <c r="B13" s="771" t="s">
        <v>1872</v>
      </c>
      <c r="C13" s="772" t="s">
        <v>104</v>
      </c>
      <c r="D13" s="771" t="s">
        <v>1873</v>
      </c>
      <c r="E13" s="773">
        <v>0.06</v>
      </c>
    </row>
    <row r="14" spans="2:5" x14ac:dyDescent="0.3">
      <c r="B14" s="771" t="s">
        <v>1874</v>
      </c>
      <c r="C14" s="772" t="s">
        <v>1875</v>
      </c>
      <c r="D14" s="771" t="s">
        <v>1873</v>
      </c>
      <c r="E14" s="773">
        <v>0.12</v>
      </c>
    </row>
    <row r="15" spans="2:5" x14ac:dyDescent="0.3">
      <c r="B15" s="771" t="s">
        <v>1876</v>
      </c>
      <c r="C15" s="772" t="s">
        <v>1877</v>
      </c>
      <c r="D15" s="771" t="s">
        <v>1873</v>
      </c>
      <c r="E15" s="773">
        <v>8.5000000000000006E-2</v>
      </c>
    </row>
    <row r="16" spans="2:5" x14ac:dyDescent="0.3">
      <c r="B16" s="771" t="s">
        <v>1878</v>
      </c>
      <c r="C16" s="772" t="s">
        <v>1879</v>
      </c>
      <c r="D16" s="771" t="s">
        <v>1873</v>
      </c>
      <c r="E16" s="773">
        <v>6.9599999999999995E-2</v>
      </c>
    </row>
    <row r="17" spans="2:5" x14ac:dyDescent="0.3">
      <c r="B17" s="771" t="s">
        <v>1880</v>
      </c>
      <c r="C17" s="772" t="s">
        <v>111</v>
      </c>
      <c r="D17" s="771" t="s">
        <v>1873</v>
      </c>
      <c r="E17" s="773">
        <v>0</v>
      </c>
    </row>
    <row r="18" spans="2:5" x14ac:dyDescent="0.3">
      <c r="B18" s="771" t="s">
        <v>1881</v>
      </c>
      <c r="C18" s="772" t="s">
        <v>113</v>
      </c>
      <c r="D18" s="771" t="s">
        <v>1873</v>
      </c>
      <c r="E18" s="773">
        <v>0.04</v>
      </c>
    </row>
    <row r="19" spans="2:5" x14ac:dyDescent="0.3">
      <c r="B19" s="771" t="s">
        <v>1882</v>
      </c>
      <c r="C19" s="772" t="s">
        <v>1883</v>
      </c>
      <c r="D19" s="771" t="s">
        <v>1873</v>
      </c>
      <c r="E19" s="773">
        <v>0.02</v>
      </c>
    </row>
    <row r="20" spans="2:5" x14ac:dyDescent="0.3">
      <c r="B20" s="771" t="s">
        <v>1884</v>
      </c>
      <c r="C20" s="772" t="s">
        <v>1885</v>
      </c>
      <c r="D20" s="771" t="s">
        <v>1873</v>
      </c>
      <c r="E20" s="773">
        <v>0.03</v>
      </c>
    </row>
    <row r="21" spans="2:5" x14ac:dyDescent="0.3">
      <c r="B21" s="771" t="s">
        <v>5</v>
      </c>
      <c r="C21" s="772" t="s">
        <v>1886</v>
      </c>
      <c r="D21" s="771" t="s">
        <v>1873</v>
      </c>
      <c r="E21" s="773">
        <v>0.05</v>
      </c>
    </row>
    <row r="22" spans="2:5" x14ac:dyDescent="0.3">
      <c r="B22" s="771" t="s">
        <v>1887</v>
      </c>
      <c r="C22" s="772" t="s">
        <v>116</v>
      </c>
      <c r="D22" s="771" t="s">
        <v>1873</v>
      </c>
      <c r="E22" s="773">
        <v>0.01</v>
      </c>
    </row>
    <row r="23" spans="2:5" x14ac:dyDescent="0.3">
      <c r="C23" s="768"/>
      <c r="E23" s="774"/>
    </row>
    <row r="24" spans="2:5" s="764" customFormat="1" x14ac:dyDescent="0.3">
      <c r="B24" s="765" t="s">
        <v>1888</v>
      </c>
      <c r="C24" s="766" t="s">
        <v>1889</v>
      </c>
      <c r="D24" s="765" t="s">
        <v>1890</v>
      </c>
      <c r="E24" s="770">
        <f>+E6+E8</f>
        <v>1.7084000000000001</v>
      </c>
    </row>
    <row r="25" spans="2:5" x14ac:dyDescent="0.3">
      <c r="C25" s="768"/>
      <c r="E25" s="774"/>
    </row>
    <row r="26" spans="2:5" s="764" customFormat="1" x14ac:dyDescent="0.3">
      <c r="B26" s="775" t="s">
        <v>1891</v>
      </c>
      <c r="C26" s="766" t="s">
        <v>1663</v>
      </c>
      <c r="D26" s="765"/>
      <c r="E26" s="770">
        <f>ROUND(SUM(E27:E34),4)</f>
        <v>0.15279999999999999</v>
      </c>
    </row>
    <row r="27" spans="2:5" x14ac:dyDescent="0.3">
      <c r="B27" s="771"/>
      <c r="C27" s="776" t="s">
        <v>1892</v>
      </c>
      <c r="D27" s="771" t="s">
        <v>1873</v>
      </c>
      <c r="E27" s="777">
        <v>3.2000000000000001E-2</v>
      </c>
    </row>
    <row r="28" spans="2:5" x14ac:dyDescent="0.3">
      <c r="B28" s="771"/>
      <c r="C28" s="776" t="s">
        <v>1893</v>
      </c>
      <c r="D28" s="771" t="s">
        <v>1873</v>
      </c>
      <c r="E28" s="778">
        <v>0.02</v>
      </c>
    </row>
    <row r="29" spans="2:5" x14ac:dyDescent="0.3">
      <c r="B29" s="771"/>
      <c r="C29" s="776" t="s">
        <v>1638</v>
      </c>
      <c r="D29" s="771" t="s">
        <v>1873</v>
      </c>
      <c r="E29" s="778">
        <v>0.02</v>
      </c>
    </row>
    <row r="30" spans="2:5" x14ac:dyDescent="0.3">
      <c r="B30" s="771"/>
      <c r="C30" s="776" t="s">
        <v>1894</v>
      </c>
      <c r="D30" s="771" t="s">
        <v>1873</v>
      </c>
      <c r="E30" s="778">
        <v>0.03</v>
      </c>
    </row>
    <row r="31" spans="2:5" x14ac:dyDescent="0.3">
      <c r="B31" s="771"/>
      <c r="C31" s="776" t="s">
        <v>1895</v>
      </c>
      <c r="D31" s="771" t="s">
        <v>1873</v>
      </c>
      <c r="E31" s="778">
        <v>2.5000000000000001E-2</v>
      </c>
    </row>
    <row r="32" spans="2:5" x14ac:dyDescent="0.3">
      <c r="B32" s="771"/>
      <c r="C32" s="776" t="s">
        <v>1896</v>
      </c>
      <c r="D32" s="771" t="s">
        <v>1873</v>
      </c>
      <c r="E32" s="778">
        <v>0.01</v>
      </c>
    </row>
    <row r="33" spans="2:8" x14ac:dyDescent="0.3">
      <c r="B33" s="771"/>
      <c r="C33" s="776" t="s">
        <v>1897</v>
      </c>
      <c r="D33" s="771" t="s">
        <v>1873</v>
      </c>
      <c r="E33" s="778">
        <v>8.0000000000000002E-3</v>
      </c>
    </row>
    <row r="34" spans="2:8" x14ac:dyDescent="0.3">
      <c r="B34" s="771"/>
      <c r="C34" s="776" t="s">
        <v>1898</v>
      </c>
      <c r="D34" s="771" t="s">
        <v>1873</v>
      </c>
      <c r="E34" s="778">
        <v>7.7999999999999996E-3</v>
      </c>
      <c r="G34" s="779"/>
    </row>
    <row r="35" spans="2:8" x14ac:dyDescent="0.3">
      <c r="B35" s="771"/>
      <c r="G35" s="779"/>
      <c r="H35" s="780"/>
    </row>
    <row r="36" spans="2:8" s="764" customFormat="1" x14ac:dyDescent="0.3">
      <c r="B36" s="775" t="s">
        <v>1899</v>
      </c>
      <c r="C36" s="766" t="s">
        <v>1665</v>
      </c>
      <c r="D36" s="765"/>
      <c r="E36" s="770">
        <f>SUM(E37:E44)</f>
        <v>0.41000000000000003</v>
      </c>
    </row>
    <row r="37" spans="2:8" x14ac:dyDescent="0.3">
      <c r="B37" s="781"/>
      <c r="C37" s="782" t="s">
        <v>1900</v>
      </c>
      <c r="D37" s="771" t="s">
        <v>1873</v>
      </c>
      <c r="E37" s="773">
        <v>0.1</v>
      </c>
    </row>
    <row r="38" spans="2:8" x14ac:dyDescent="0.3">
      <c r="B38" s="771"/>
      <c r="C38" s="776" t="s">
        <v>1901</v>
      </c>
      <c r="D38" s="771" t="s">
        <v>1873</v>
      </c>
      <c r="E38" s="773">
        <v>0.02</v>
      </c>
    </row>
    <row r="39" spans="2:8" x14ac:dyDescent="0.3">
      <c r="B39" s="771"/>
      <c r="C39" s="783" t="s">
        <v>1902</v>
      </c>
      <c r="D39" s="771" t="s">
        <v>1873</v>
      </c>
      <c r="E39" s="784">
        <v>2.5000000000000001E-2</v>
      </c>
    </row>
    <row r="40" spans="2:8" x14ac:dyDescent="0.3">
      <c r="B40" s="771"/>
      <c r="C40" s="783" t="s">
        <v>1903</v>
      </c>
      <c r="D40" s="771" t="s">
        <v>1873</v>
      </c>
      <c r="E40" s="784">
        <v>3.5000000000000003E-2</v>
      </c>
    </row>
    <row r="41" spans="2:8" x14ac:dyDescent="0.3">
      <c r="B41" s="771"/>
      <c r="C41" s="783" t="s">
        <v>1904</v>
      </c>
      <c r="D41" s="771" t="s">
        <v>1873</v>
      </c>
      <c r="E41" s="784">
        <v>0.01</v>
      </c>
    </row>
    <row r="42" spans="2:8" x14ac:dyDescent="0.3">
      <c r="B42" s="771"/>
      <c r="C42" s="776" t="s">
        <v>1905</v>
      </c>
      <c r="D42" s="771" t="s">
        <v>1873</v>
      </c>
      <c r="E42" s="773">
        <v>0.05</v>
      </c>
    </row>
    <row r="43" spans="2:8" x14ac:dyDescent="0.3">
      <c r="B43" s="771"/>
      <c r="C43" s="776" t="s">
        <v>1906</v>
      </c>
      <c r="D43" s="771" t="s">
        <v>1873</v>
      </c>
      <c r="E43" s="773">
        <v>0.02</v>
      </c>
    </row>
    <row r="44" spans="2:8" x14ac:dyDescent="0.3">
      <c r="B44" s="771"/>
      <c r="C44" s="776" t="s">
        <v>1907</v>
      </c>
      <c r="D44" s="771" t="s">
        <v>1873</v>
      </c>
      <c r="E44" s="773">
        <v>0.15</v>
      </c>
    </row>
    <row r="45" spans="2:8" x14ac:dyDescent="0.3">
      <c r="C45" s="785"/>
      <c r="E45" s="786"/>
    </row>
    <row r="46" spans="2:8" x14ac:dyDescent="0.3">
      <c r="C46" s="787"/>
      <c r="E46" s="786"/>
    </row>
    <row r="47" spans="2:8" s="764" customFormat="1" x14ac:dyDescent="0.3">
      <c r="B47" s="765" t="s">
        <v>1908</v>
      </c>
      <c r="C47" s="788" t="s">
        <v>1909</v>
      </c>
      <c r="D47" s="765" t="s">
        <v>1910</v>
      </c>
      <c r="E47" s="789">
        <f>+E24+E26+E36</f>
        <v>2.2712000000000003</v>
      </c>
    </row>
    <row r="48" spans="2:8" x14ac:dyDescent="0.3">
      <c r="C48" s="787"/>
    </row>
    <row r="49" spans="2:7" s="764" customFormat="1" x14ac:dyDescent="0.3">
      <c r="B49" s="765" t="s">
        <v>1911</v>
      </c>
      <c r="C49" s="766" t="s">
        <v>1912</v>
      </c>
      <c r="D49" s="765" t="s">
        <v>1913</v>
      </c>
      <c r="E49" s="770">
        <f>ROUND(10%*E47,4)</f>
        <v>0.2271</v>
      </c>
    </row>
    <row r="51" spans="2:7" s="764" customFormat="1" x14ac:dyDescent="0.3">
      <c r="B51" s="765" t="s">
        <v>1914</v>
      </c>
      <c r="C51" s="766" t="s">
        <v>1915</v>
      </c>
      <c r="D51" s="765" t="s">
        <v>1916</v>
      </c>
      <c r="E51" s="789">
        <f>+ROUND(E47+E49,2)</f>
        <v>2.5</v>
      </c>
      <c r="G51" s="790"/>
    </row>
    <row r="52" spans="2:7" x14ac:dyDescent="0.3">
      <c r="E52" s="791"/>
    </row>
  </sheetData>
  <mergeCells count="1">
    <mergeCell ref="B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59999389629810485"/>
    <pageSetUpPr autoPageBreaks="0"/>
  </sheetPr>
  <dimension ref="B1:H713"/>
  <sheetViews>
    <sheetView showGridLines="0" view="pageBreakPreview" topLeftCell="A43" zoomScale="115" zoomScaleNormal="100" zoomScaleSheetLayoutView="115" zoomScalePageLayoutView="125" workbookViewId="0">
      <selection activeCell="B2" sqref="B2:E2"/>
    </sheetView>
  </sheetViews>
  <sheetFormatPr baseColWidth="10" defaultColWidth="8.109375" defaultRowHeight="19.5" customHeight="1" x14ac:dyDescent="0.3"/>
  <cols>
    <col min="1" max="1" width="1.88671875" style="38" customWidth="1"/>
    <col min="2" max="2" width="65.109375" style="38" bestFit="1" customWidth="1"/>
    <col min="3" max="3" width="23.6640625" style="38" customWidth="1"/>
    <col min="4" max="4" width="26.88671875" style="38" customWidth="1"/>
    <col min="5" max="5" width="21.33203125" style="38" customWidth="1"/>
    <col min="6" max="6" width="13.88671875" style="38" customWidth="1"/>
    <col min="7" max="7" width="10.88671875" style="38" customWidth="1"/>
    <col min="8" max="16384" width="8.109375" style="38"/>
  </cols>
  <sheetData>
    <row r="1" spans="2:6" ht="12" customHeight="1" x14ac:dyDescent="0.3">
      <c r="B1" s="879"/>
      <c r="C1" s="879"/>
      <c r="D1" s="879"/>
      <c r="E1" s="879"/>
      <c r="F1" s="879"/>
    </row>
    <row r="2" spans="2:6" ht="21" x14ac:dyDescent="0.3">
      <c r="B2" s="882" t="s">
        <v>91</v>
      </c>
      <c r="C2" s="882"/>
      <c r="D2" s="882"/>
      <c r="E2" s="882"/>
      <c r="F2" s="58"/>
    </row>
    <row r="3" spans="2:6" ht="12" customHeight="1" x14ac:dyDescent="0.3">
      <c r="B3" s="880"/>
      <c r="C3" s="880"/>
      <c r="D3" s="880"/>
      <c r="E3" s="880"/>
      <c r="F3" s="880"/>
    </row>
    <row r="4" spans="2:6" ht="12" customHeight="1" x14ac:dyDescent="0.3"/>
    <row r="5" spans="2:6" ht="21" customHeight="1" x14ac:dyDescent="0.3">
      <c r="B5" s="18" t="s">
        <v>92</v>
      </c>
      <c r="C5" s="104"/>
      <c r="D5" s="104"/>
      <c r="E5" s="104"/>
    </row>
    <row r="6" spans="2:6" ht="19.5" customHeight="1" x14ac:dyDescent="0.25">
      <c r="B6" s="105" t="s">
        <v>1705</v>
      </c>
      <c r="C6" s="106">
        <v>908526</v>
      </c>
      <c r="D6" s="70"/>
    </row>
    <row r="7" spans="2:6" ht="19.5" customHeight="1" x14ac:dyDescent="0.25">
      <c r="B7" s="105" t="s">
        <v>93</v>
      </c>
      <c r="C7" s="106">
        <v>106454</v>
      </c>
      <c r="D7" s="70"/>
    </row>
    <row r="8" spans="2:6" ht="19.5" customHeight="1" x14ac:dyDescent="0.25">
      <c r="B8" s="105"/>
      <c r="C8" s="106"/>
      <c r="D8" s="70"/>
    </row>
    <row r="9" spans="2:6" ht="19.5" customHeight="1" x14ac:dyDescent="0.3">
      <c r="B9" s="883" t="s">
        <v>94</v>
      </c>
      <c r="C9" s="883"/>
      <c r="D9" s="883"/>
      <c r="E9" s="883"/>
    </row>
    <row r="10" spans="2:6" ht="19.5" customHeight="1" x14ac:dyDescent="0.3">
      <c r="B10" s="881" t="s">
        <v>20</v>
      </c>
      <c r="C10" s="107" t="s">
        <v>95</v>
      </c>
      <c r="D10" s="107" t="s">
        <v>96</v>
      </c>
      <c r="E10" s="107" t="s">
        <v>95</v>
      </c>
    </row>
    <row r="11" spans="2:6" ht="42" customHeight="1" x14ac:dyDescent="0.3">
      <c r="B11" s="881"/>
      <c r="C11" s="108" t="s">
        <v>97</v>
      </c>
      <c r="D11" s="108" t="s">
        <v>97</v>
      </c>
      <c r="E11" s="108" t="s">
        <v>98</v>
      </c>
    </row>
    <row r="12" spans="2:6" ht="19.5" customHeight="1" x14ac:dyDescent="0.25">
      <c r="B12" s="109" t="s">
        <v>99</v>
      </c>
      <c r="C12" s="110"/>
      <c r="D12" s="110"/>
      <c r="E12" s="110"/>
      <c r="F12" s="103"/>
    </row>
    <row r="13" spans="2:6" ht="19.5" customHeight="1" x14ac:dyDescent="0.25">
      <c r="B13" s="111" t="s">
        <v>100</v>
      </c>
      <c r="C13" s="112">
        <v>8.3299999999999999E-2</v>
      </c>
      <c r="D13" s="112">
        <v>8.3299999999999999E-2</v>
      </c>
      <c r="E13" s="112">
        <v>8.3299999999999999E-2</v>
      </c>
    </row>
    <row r="14" spans="2:6" ht="19.5" customHeight="1" x14ac:dyDescent="0.25">
      <c r="B14" s="111" t="s">
        <v>101</v>
      </c>
      <c r="C14" s="112">
        <v>0.01</v>
      </c>
      <c r="D14" s="112">
        <v>0.01</v>
      </c>
      <c r="E14" s="112">
        <v>0.01</v>
      </c>
      <c r="F14" s="103"/>
    </row>
    <row r="15" spans="2:6" ht="19.5" customHeight="1" x14ac:dyDescent="0.25">
      <c r="B15" s="111" t="s">
        <v>102</v>
      </c>
      <c r="C15" s="112">
        <v>4.7199999999999999E-2</v>
      </c>
      <c r="D15" s="112">
        <v>4.7199999999999999E-2</v>
      </c>
      <c r="E15" s="112">
        <v>4.7199999999999999E-2</v>
      </c>
    </row>
    <row r="16" spans="2:6" ht="19.5" customHeight="1" x14ac:dyDescent="0.25">
      <c r="B16" s="111" t="s">
        <v>103</v>
      </c>
      <c r="C16" s="112">
        <v>8.3299999999999999E-2</v>
      </c>
      <c r="D16" s="112">
        <v>8.3299999999999999E-2</v>
      </c>
      <c r="E16" s="112">
        <v>8.3299999999999999E-2</v>
      </c>
    </row>
    <row r="17" spans="2:6" ht="19.5" customHeight="1" x14ac:dyDescent="0.25">
      <c r="B17" s="111" t="s">
        <v>104</v>
      </c>
      <c r="C17" s="112">
        <v>0.08</v>
      </c>
      <c r="D17" s="112">
        <v>0.06</v>
      </c>
      <c r="E17" s="112">
        <v>0.06</v>
      </c>
    </row>
    <row r="18" spans="2:6" ht="19.5" customHeight="1" x14ac:dyDescent="0.25">
      <c r="B18" s="109" t="s">
        <v>105</v>
      </c>
      <c r="C18" s="112"/>
      <c r="D18" s="112"/>
      <c r="E18" s="112"/>
    </row>
    <row r="19" spans="2:6" ht="19.5" customHeight="1" x14ac:dyDescent="0.25">
      <c r="B19" s="111" t="s">
        <v>106</v>
      </c>
      <c r="C19" s="112">
        <v>0.12</v>
      </c>
      <c r="D19" s="112">
        <v>0.12</v>
      </c>
      <c r="E19" s="112">
        <v>0.12</v>
      </c>
    </row>
    <row r="20" spans="2:6" ht="19.5" customHeight="1" x14ac:dyDescent="0.25">
      <c r="B20" s="111" t="s">
        <v>107</v>
      </c>
      <c r="C20" s="112">
        <v>6.9599999999999995E-2</v>
      </c>
      <c r="D20" s="112">
        <v>6.9599999999999995E-2</v>
      </c>
      <c r="E20" s="112">
        <v>0.01</v>
      </c>
    </row>
    <row r="21" spans="2:6" ht="19.5" customHeight="1" x14ac:dyDescent="0.25">
      <c r="B21" s="111" t="s">
        <v>108</v>
      </c>
      <c r="C21" s="112"/>
      <c r="D21" s="112"/>
      <c r="E21" s="112"/>
    </row>
    <row r="22" spans="2:6" ht="19.5" customHeight="1" x14ac:dyDescent="0.25">
      <c r="B22" s="111" t="s">
        <v>109</v>
      </c>
      <c r="C22" s="112">
        <v>0.01</v>
      </c>
      <c r="D22" s="112">
        <v>0.01</v>
      </c>
      <c r="E22" s="112">
        <v>0.01</v>
      </c>
    </row>
    <row r="23" spans="2:6" ht="19.5" customHeight="1" x14ac:dyDescent="0.25">
      <c r="B23" s="109" t="s">
        <v>110</v>
      </c>
      <c r="C23" s="112"/>
      <c r="D23" s="112"/>
      <c r="E23" s="112"/>
    </row>
    <row r="24" spans="2:6" ht="19.5" customHeight="1" x14ac:dyDescent="0.25">
      <c r="B24" s="111" t="s">
        <v>111</v>
      </c>
      <c r="C24" s="112">
        <v>2.5000000000000001E-2</v>
      </c>
      <c r="D24" s="112">
        <v>2.5000000000000001E-2</v>
      </c>
      <c r="E24" s="112">
        <v>2.5000000000000001E-2</v>
      </c>
    </row>
    <row r="25" spans="2:6" ht="19.5" customHeight="1" x14ac:dyDescent="0.25">
      <c r="B25" s="111" t="s">
        <v>112</v>
      </c>
      <c r="C25" s="112"/>
      <c r="D25" s="112"/>
      <c r="E25" s="112"/>
    </row>
    <row r="26" spans="2:6" ht="19.5" customHeight="1" x14ac:dyDescent="0.25">
      <c r="B26" s="111" t="s">
        <v>113</v>
      </c>
      <c r="C26" s="112">
        <v>0.04</v>
      </c>
      <c r="D26" s="112">
        <v>0.04</v>
      </c>
      <c r="E26" s="112">
        <v>0.04</v>
      </c>
    </row>
    <row r="27" spans="2:6" ht="19.5" customHeight="1" x14ac:dyDescent="0.25">
      <c r="B27" s="111" t="s">
        <v>114</v>
      </c>
      <c r="C27" s="112">
        <f>C7/C6</f>
        <v>0.11717221081179845</v>
      </c>
      <c r="D27" s="112"/>
      <c r="E27" s="112"/>
    </row>
    <row r="28" spans="2:6" ht="19.5" customHeight="1" x14ac:dyDescent="0.25">
      <c r="B28" s="111" t="s">
        <v>115</v>
      </c>
      <c r="C28" s="112">
        <v>0.05</v>
      </c>
      <c r="D28" s="112">
        <v>0.05</v>
      </c>
      <c r="E28" s="112">
        <v>0.05</v>
      </c>
    </row>
    <row r="29" spans="2:6" ht="19.5" customHeight="1" x14ac:dyDescent="0.25">
      <c r="B29" s="111" t="s">
        <v>116</v>
      </c>
      <c r="C29" s="112">
        <v>0.01</v>
      </c>
      <c r="D29" s="112">
        <v>0.01</v>
      </c>
      <c r="E29" s="112">
        <v>0.01</v>
      </c>
    </row>
    <row r="30" spans="2:6" ht="19.5" customHeight="1" x14ac:dyDescent="0.25">
      <c r="B30" s="113"/>
      <c r="C30" s="114">
        <f>SUM(C12:C29)</f>
        <v>0.74557221081179847</v>
      </c>
      <c r="D30" s="114">
        <f>SUM(D12:D29)</f>
        <v>0.60840000000000005</v>
      </c>
      <c r="E30" s="114">
        <f>SUM(E12:E29)</f>
        <v>0.54880000000000007</v>
      </c>
    </row>
    <row r="31" spans="2:6" ht="19.5" customHeight="1" x14ac:dyDescent="0.3">
      <c r="B31" s="103"/>
      <c r="D31" s="70"/>
    </row>
    <row r="32" spans="2:6" ht="33" customHeight="1" x14ac:dyDescent="0.3">
      <c r="B32" s="125" t="s">
        <v>117</v>
      </c>
      <c r="C32" s="125" t="s">
        <v>118</v>
      </c>
      <c r="D32" s="125" t="s">
        <v>119</v>
      </c>
      <c r="E32" s="125" t="s">
        <v>120</v>
      </c>
      <c r="F32" s="125" t="s">
        <v>121</v>
      </c>
    </row>
    <row r="33" spans="2:6" ht="19.5" customHeight="1" x14ac:dyDescent="0.3">
      <c r="B33" s="121" t="s">
        <v>157</v>
      </c>
      <c r="C33" s="122">
        <f>C6+C7</f>
        <v>1014980</v>
      </c>
      <c r="D33" s="123">
        <f>ROUND((C33*$C$30),0)</f>
        <v>756741</v>
      </c>
      <c r="E33" s="122">
        <f>C33+D33</f>
        <v>1771721</v>
      </c>
      <c r="F33" s="124">
        <f>ROUND((E33/30),0)</f>
        <v>59057</v>
      </c>
    </row>
    <row r="34" spans="2:6" ht="19.5" customHeight="1" x14ac:dyDescent="0.3">
      <c r="B34" s="115" t="s">
        <v>159</v>
      </c>
      <c r="C34" s="116">
        <f>C33*1.4</f>
        <v>1420972</v>
      </c>
      <c r="D34" s="117">
        <f>ROUND((C34*$C$30),0)</f>
        <v>1059437</v>
      </c>
      <c r="E34" s="116">
        <f t="shared" ref="E34:E48" si="0">C34+D34</f>
        <v>2480409</v>
      </c>
      <c r="F34" s="118">
        <f t="shared" ref="F34:F48" si="1">ROUND((E34/30),0)</f>
        <v>82680</v>
      </c>
    </row>
    <row r="35" spans="2:6" ht="19.5" customHeight="1" x14ac:dyDescent="0.3">
      <c r="B35" s="115" t="s">
        <v>154</v>
      </c>
      <c r="C35" s="116">
        <f>C33*1.8</f>
        <v>1826964</v>
      </c>
      <c r="D35" s="117">
        <f t="shared" ref="D35:D45" si="2">ROUND((C35*$C$30),0)</f>
        <v>1362134</v>
      </c>
      <c r="E35" s="116">
        <f t="shared" si="0"/>
        <v>3189098</v>
      </c>
      <c r="F35" s="118">
        <f t="shared" si="1"/>
        <v>106303</v>
      </c>
    </row>
    <row r="36" spans="2:6" ht="19.5" customHeight="1" x14ac:dyDescent="0.3">
      <c r="B36" s="115" t="s">
        <v>122</v>
      </c>
      <c r="C36" s="116">
        <f>C33*1.5</f>
        <v>1522470</v>
      </c>
      <c r="D36" s="117">
        <f t="shared" si="2"/>
        <v>1135111</v>
      </c>
      <c r="E36" s="116">
        <f t="shared" si="0"/>
        <v>2657581</v>
      </c>
      <c r="F36" s="118">
        <f t="shared" si="1"/>
        <v>88586</v>
      </c>
    </row>
    <row r="37" spans="2:6" ht="19.5" customHeight="1" x14ac:dyDescent="0.3">
      <c r="B37" s="115" t="s">
        <v>123</v>
      </c>
      <c r="C37" s="116">
        <f>C33</f>
        <v>1014980</v>
      </c>
      <c r="D37" s="117">
        <f t="shared" si="2"/>
        <v>756741</v>
      </c>
      <c r="E37" s="116">
        <f t="shared" si="0"/>
        <v>1771721</v>
      </c>
      <c r="F37" s="118">
        <f t="shared" si="1"/>
        <v>59057</v>
      </c>
    </row>
    <row r="38" spans="2:6" ht="19.5" customHeight="1" x14ac:dyDescent="0.3">
      <c r="B38" s="115" t="s">
        <v>124</v>
      </c>
      <c r="C38" s="116">
        <f>C33*2.8</f>
        <v>2841944</v>
      </c>
      <c r="D38" s="117">
        <f>ROUND((C38*D30),0)</f>
        <v>1729039</v>
      </c>
      <c r="E38" s="116">
        <f t="shared" si="0"/>
        <v>4570983</v>
      </c>
      <c r="F38" s="118">
        <f t="shared" si="1"/>
        <v>152366</v>
      </c>
    </row>
    <row r="39" spans="2:6" ht="19.5" customHeight="1" x14ac:dyDescent="0.3">
      <c r="B39" s="115" t="s">
        <v>125</v>
      </c>
      <c r="C39" s="116">
        <f>C33*1.8</f>
        <v>1826964</v>
      </c>
      <c r="D39" s="117">
        <f t="shared" si="2"/>
        <v>1362134</v>
      </c>
      <c r="E39" s="116">
        <f t="shared" si="0"/>
        <v>3189098</v>
      </c>
      <c r="F39" s="118">
        <f t="shared" si="1"/>
        <v>106303</v>
      </c>
    </row>
    <row r="40" spans="2:6" ht="19.5" customHeight="1" x14ac:dyDescent="0.3">
      <c r="B40" s="115" t="s">
        <v>126</v>
      </c>
      <c r="C40" s="116">
        <f>C33*2.5</f>
        <v>2537450</v>
      </c>
      <c r="D40" s="117">
        <f t="shared" si="2"/>
        <v>1891852</v>
      </c>
      <c r="E40" s="116">
        <f t="shared" si="0"/>
        <v>4429302</v>
      </c>
      <c r="F40" s="118">
        <f t="shared" si="1"/>
        <v>147643</v>
      </c>
    </row>
    <row r="41" spans="2:6" ht="19.5" customHeight="1" x14ac:dyDescent="0.3">
      <c r="B41" s="115" t="s">
        <v>127</v>
      </c>
      <c r="C41" s="116">
        <f>C33*2.5</f>
        <v>2537450</v>
      </c>
      <c r="D41" s="117">
        <f t="shared" si="2"/>
        <v>1891852</v>
      </c>
      <c r="E41" s="116">
        <f t="shared" si="0"/>
        <v>4429302</v>
      </c>
      <c r="F41" s="118">
        <f t="shared" si="1"/>
        <v>147643</v>
      </c>
    </row>
    <row r="42" spans="2:6" ht="19.5" customHeight="1" x14ac:dyDescent="0.3">
      <c r="B42" s="115" t="s">
        <v>128</v>
      </c>
      <c r="C42" s="116">
        <f>C33*2</f>
        <v>2029960</v>
      </c>
      <c r="D42" s="117">
        <f t="shared" si="2"/>
        <v>1513482</v>
      </c>
      <c r="E42" s="116">
        <f t="shared" si="0"/>
        <v>3543442</v>
      </c>
      <c r="F42" s="118">
        <f t="shared" si="1"/>
        <v>118115</v>
      </c>
    </row>
    <row r="43" spans="2:6" ht="19.5" customHeight="1" x14ac:dyDescent="0.3">
      <c r="B43" s="115" t="s">
        <v>129</v>
      </c>
      <c r="C43" s="116">
        <f>C33*1.6</f>
        <v>1623968</v>
      </c>
      <c r="D43" s="117">
        <f t="shared" si="2"/>
        <v>1210785</v>
      </c>
      <c r="E43" s="116">
        <f t="shared" si="0"/>
        <v>2834753</v>
      </c>
      <c r="F43" s="118">
        <f t="shared" si="1"/>
        <v>94492</v>
      </c>
    </row>
    <row r="44" spans="2:6" ht="19.5" customHeight="1" x14ac:dyDescent="0.3">
      <c r="B44" s="115" t="s">
        <v>130</v>
      </c>
      <c r="C44" s="116">
        <f>C33*1.8</f>
        <v>1826964</v>
      </c>
      <c r="D44" s="117">
        <f t="shared" si="2"/>
        <v>1362134</v>
      </c>
      <c r="E44" s="116">
        <f t="shared" si="0"/>
        <v>3189098</v>
      </c>
      <c r="F44" s="118">
        <f t="shared" si="1"/>
        <v>106303</v>
      </c>
    </row>
    <row r="45" spans="2:6" ht="19.5" customHeight="1" x14ac:dyDescent="0.3">
      <c r="B45" s="115" t="s">
        <v>131</v>
      </c>
      <c r="C45" s="116">
        <f>C33*1.8</f>
        <v>1826964</v>
      </c>
      <c r="D45" s="117">
        <f t="shared" si="2"/>
        <v>1362134</v>
      </c>
      <c r="E45" s="116">
        <f t="shared" si="0"/>
        <v>3189098</v>
      </c>
      <c r="F45" s="118">
        <f t="shared" si="1"/>
        <v>106303</v>
      </c>
    </row>
    <row r="46" spans="2:6" ht="19.5" customHeight="1" x14ac:dyDescent="0.3">
      <c r="B46" s="115" t="s">
        <v>132</v>
      </c>
      <c r="C46" s="116">
        <f>C33*3.5</f>
        <v>3552430</v>
      </c>
      <c r="D46" s="117">
        <f>ROUND((C46*$D$30),0)</f>
        <v>2161298</v>
      </c>
      <c r="E46" s="116">
        <f t="shared" si="0"/>
        <v>5713728</v>
      </c>
      <c r="F46" s="118">
        <f t="shared" si="1"/>
        <v>190458</v>
      </c>
    </row>
    <row r="47" spans="2:6" ht="19.5" customHeight="1" x14ac:dyDescent="0.3">
      <c r="B47" s="115" t="s">
        <v>133</v>
      </c>
      <c r="C47" s="116">
        <f>C33*2.8</f>
        <v>2841944</v>
      </c>
      <c r="D47" s="117">
        <f>ROUND((C47*$D$30),0)</f>
        <v>1729039</v>
      </c>
      <c r="E47" s="116">
        <f t="shared" si="0"/>
        <v>4570983</v>
      </c>
      <c r="F47" s="118">
        <f t="shared" si="1"/>
        <v>152366</v>
      </c>
    </row>
    <row r="48" spans="2:6" ht="19.5" customHeight="1" x14ac:dyDescent="0.3">
      <c r="B48" s="115" t="s">
        <v>134</v>
      </c>
      <c r="C48" s="116">
        <f>C33*1.6</f>
        <v>1623968</v>
      </c>
      <c r="D48" s="117">
        <f>ROUND((C48*$D$30),0)</f>
        <v>988022</v>
      </c>
      <c r="E48" s="116">
        <f t="shared" si="0"/>
        <v>2611990</v>
      </c>
      <c r="F48" s="118">
        <f t="shared" si="1"/>
        <v>87066</v>
      </c>
    </row>
    <row r="49" spans="2:8" ht="19.5" customHeight="1" x14ac:dyDescent="0.3">
      <c r="B49" s="119" t="s">
        <v>135</v>
      </c>
      <c r="C49" s="119"/>
      <c r="D49" s="120"/>
      <c r="E49" s="119"/>
      <c r="F49" s="118">
        <f>F35+F33</f>
        <v>165360</v>
      </c>
    </row>
    <row r="50" spans="2:8" ht="19.5" customHeight="1" x14ac:dyDescent="0.3">
      <c r="B50" s="119" t="s">
        <v>136</v>
      </c>
      <c r="C50" s="119"/>
      <c r="D50" s="120"/>
      <c r="E50" s="119"/>
      <c r="F50" s="118">
        <f>F35+(2*F33)</f>
        <v>224417</v>
      </c>
    </row>
    <row r="51" spans="2:8" ht="19.5" customHeight="1" x14ac:dyDescent="0.3">
      <c r="B51" s="119" t="s">
        <v>137</v>
      </c>
      <c r="C51" s="119"/>
      <c r="D51" s="120"/>
      <c r="E51" s="119"/>
      <c r="F51" s="118">
        <f>F35+(4*F33)</f>
        <v>342531</v>
      </c>
    </row>
    <row r="52" spans="2:8" ht="19.5" customHeight="1" x14ac:dyDescent="0.3">
      <c r="B52" s="119" t="s">
        <v>138</v>
      </c>
      <c r="C52" s="119"/>
      <c r="D52" s="120"/>
      <c r="E52" s="119"/>
      <c r="F52" s="118">
        <f>F41+(2*F34)</f>
        <v>313003</v>
      </c>
    </row>
    <row r="53" spans="2:8" ht="19.5" customHeight="1" x14ac:dyDescent="0.3">
      <c r="B53" s="119" t="s">
        <v>139</v>
      </c>
      <c r="C53" s="119"/>
      <c r="D53" s="120"/>
      <c r="E53" s="119"/>
      <c r="F53" s="118">
        <f>F46+F36+(2*F37)</f>
        <v>397158</v>
      </c>
    </row>
    <row r="54" spans="2:8" ht="19.5" customHeight="1" x14ac:dyDescent="0.3">
      <c r="B54" s="119" t="s">
        <v>140</v>
      </c>
      <c r="C54" s="119"/>
      <c r="D54" s="120"/>
      <c r="E54" s="119"/>
      <c r="F54" s="118">
        <f>$F$35+(7*$F$33)</f>
        <v>519702</v>
      </c>
      <c r="G54" s="72"/>
      <c r="H54" s="72"/>
    </row>
    <row r="55" spans="2:8" ht="19.5" customHeight="1" x14ac:dyDescent="0.3">
      <c r="B55" s="119" t="s">
        <v>141</v>
      </c>
      <c r="C55" s="119"/>
      <c r="D55" s="120"/>
      <c r="E55" s="119"/>
      <c r="F55" s="118">
        <f>(2*F35)+(4*F33)</f>
        <v>448834</v>
      </c>
    </row>
    <row r="56" spans="2:8" ht="19.5" customHeight="1" x14ac:dyDescent="0.3">
      <c r="B56" s="119" t="s">
        <v>142</v>
      </c>
      <c r="C56" s="119"/>
      <c r="D56" s="120"/>
      <c r="E56" s="119"/>
      <c r="F56" s="118">
        <f>(6*F35)+(4*F33)</f>
        <v>874046</v>
      </c>
    </row>
    <row r="57" spans="2:8" ht="19.5" customHeight="1" x14ac:dyDescent="0.3">
      <c r="B57" s="119" t="s">
        <v>143</v>
      </c>
      <c r="C57" s="119"/>
      <c r="D57" s="120"/>
      <c r="E57" s="119"/>
      <c r="F57" s="118">
        <f>4*F33</f>
        <v>236228</v>
      </c>
    </row>
    <row r="58" spans="2:8" ht="19.5" customHeight="1" x14ac:dyDescent="0.3">
      <c r="B58" s="119" t="s">
        <v>144</v>
      </c>
      <c r="C58" s="119"/>
      <c r="D58" s="120"/>
      <c r="E58" s="119"/>
      <c r="F58" s="118">
        <f>F42+F48</f>
        <v>205181</v>
      </c>
    </row>
    <row r="59" spans="2:8" ht="19.5" customHeight="1" x14ac:dyDescent="0.3">
      <c r="B59" s="119" t="s">
        <v>145</v>
      </c>
      <c r="C59" s="119"/>
      <c r="D59" s="120"/>
      <c r="E59" s="119"/>
      <c r="F59" s="118">
        <f>F42+(2*F48)</f>
        <v>292247</v>
      </c>
    </row>
    <row r="60" spans="2:8" ht="19.5" customHeight="1" x14ac:dyDescent="0.3">
      <c r="B60" s="119" t="s">
        <v>146</v>
      </c>
      <c r="C60" s="119"/>
      <c r="D60" s="120"/>
      <c r="E60" s="119"/>
      <c r="F60" s="118">
        <f>F45+F34</f>
        <v>188983</v>
      </c>
    </row>
    <row r="61" spans="2:8" ht="19.5" customHeight="1" x14ac:dyDescent="0.3">
      <c r="B61" s="119" t="s">
        <v>147</v>
      </c>
      <c r="C61" s="119"/>
      <c r="D61" s="120"/>
      <c r="E61" s="119"/>
      <c r="F61" s="118">
        <f>F35*2+F33*8</f>
        <v>685062</v>
      </c>
    </row>
    <row r="62" spans="2:8" ht="19.5" customHeight="1" x14ac:dyDescent="0.3">
      <c r="B62" s="119" t="s">
        <v>148</v>
      </c>
      <c r="C62" s="119"/>
      <c r="D62" s="120"/>
      <c r="E62" s="119"/>
      <c r="F62" s="118">
        <f>F46+(3*F44)</f>
        <v>509367</v>
      </c>
    </row>
    <row r="63" spans="2:8" ht="19.5" customHeight="1" x14ac:dyDescent="0.3">
      <c r="D63" s="70"/>
    </row>
    <row r="64" spans="2:8" ht="19.5" customHeight="1" x14ac:dyDescent="0.3">
      <c r="D64" s="70"/>
    </row>
    <row r="65" spans="4:4" ht="19.5" customHeight="1" x14ac:dyDescent="0.3">
      <c r="D65" s="70"/>
    </row>
    <row r="66" spans="4:4" ht="19.5" customHeight="1" x14ac:dyDescent="0.3">
      <c r="D66" s="70"/>
    </row>
    <row r="67" spans="4:4" ht="19.5" customHeight="1" x14ac:dyDescent="0.3">
      <c r="D67" s="70"/>
    </row>
    <row r="68" spans="4:4" ht="19.5" customHeight="1" x14ac:dyDescent="0.3">
      <c r="D68" s="70"/>
    </row>
    <row r="69" spans="4:4" ht="19.5" customHeight="1" x14ac:dyDescent="0.3">
      <c r="D69" s="70"/>
    </row>
    <row r="70" spans="4:4" ht="19.5" customHeight="1" x14ac:dyDescent="0.3">
      <c r="D70" s="70"/>
    </row>
    <row r="71" spans="4:4" ht="19.5" customHeight="1" x14ac:dyDescent="0.3">
      <c r="D71" s="70"/>
    </row>
    <row r="72" spans="4:4" ht="19.5" customHeight="1" x14ac:dyDescent="0.3">
      <c r="D72" s="70"/>
    </row>
    <row r="73" spans="4:4" ht="19.5" customHeight="1" x14ac:dyDescent="0.3">
      <c r="D73" s="70"/>
    </row>
    <row r="74" spans="4:4" ht="19.5" customHeight="1" x14ac:dyDescent="0.3">
      <c r="D74" s="70"/>
    </row>
    <row r="75" spans="4:4" ht="19.5" customHeight="1" x14ac:dyDescent="0.3">
      <c r="D75" s="70"/>
    </row>
    <row r="76" spans="4:4" ht="19.5" customHeight="1" x14ac:dyDescent="0.3">
      <c r="D76" s="70"/>
    </row>
    <row r="77" spans="4:4" ht="19.5" customHeight="1" x14ac:dyDescent="0.3">
      <c r="D77" s="70"/>
    </row>
    <row r="78" spans="4:4" ht="19.5" customHeight="1" x14ac:dyDescent="0.3">
      <c r="D78" s="70"/>
    </row>
    <row r="79" spans="4:4" ht="19.5" customHeight="1" x14ac:dyDescent="0.3">
      <c r="D79" s="70"/>
    </row>
    <row r="80" spans="4:4" ht="19.5" customHeight="1" x14ac:dyDescent="0.3">
      <c r="D80" s="70"/>
    </row>
    <row r="81" spans="4:4" ht="19.5" customHeight="1" x14ac:dyDescent="0.3">
      <c r="D81" s="70"/>
    </row>
    <row r="82" spans="4:4" ht="19.5" customHeight="1" x14ac:dyDescent="0.3">
      <c r="D82" s="70"/>
    </row>
    <row r="83" spans="4:4" ht="19.5" customHeight="1" x14ac:dyDescent="0.3">
      <c r="D83" s="70"/>
    </row>
    <row r="84" spans="4:4" ht="19.5" customHeight="1" x14ac:dyDescent="0.3">
      <c r="D84" s="70"/>
    </row>
    <row r="85" spans="4:4" ht="19.5" customHeight="1" x14ac:dyDescent="0.3">
      <c r="D85" s="70"/>
    </row>
    <row r="86" spans="4:4" ht="19.5" customHeight="1" x14ac:dyDescent="0.3">
      <c r="D86" s="70"/>
    </row>
    <row r="87" spans="4:4" ht="19.5" customHeight="1" x14ac:dyDescent="0.3">
      <c r="D87" s="70"/>
    </row>
    <row r="88" spans="4:4" ht="19.5" customHeight="1" x14ac:dyDescent="0.3">
      <c r="D88" s="70"/>
    </row>
    <row r="89" spans="4:4" ht="19.5" customHeight="1" x14ac:dyDescent="0.3">
      <c r="D89" s="70"/>
    </row>
    <row r="90" spans="4:4" ht="19.5" customHeight="1" x14ac:dyDescent="0.3">
      <c r="D90" s="70"/>
    </row>
    <row r="91" spans="4:4" ht="19.5" customHeight="1" x14ac:dyDescent="0.3">
      <c r="D91" s="70"/>
    </row>
    <row r="92" spans="4:4" ht="19.5" customHeight="1" x14ac:dyDescent="0.3">
      <c r="D92" s="70"/>
    </row>
    <row r="93" spans="4:4" ht="19.5" customHeight="1" x14ac:dyDescent="0.3">
      <c r="D93" s="70"/>
    </row>
    <row r="94" spans="4:4" ht="19.5" customHeight="1" x14ac:dyDescent="0.3">
      <c r="D94" s="70"/>
    </row>
    <row r="95" spans="4:4" ht="19.5" customHeight="1" x14ac:dyDescent="0.3">
      <c r="D95" s="70"/>
    </row>
    <row r="96" spans="4:4" ht="19.5" customHeight="1" x14ac:dyDescent="0.3">
      <c r="D96" s="70"/>
    </row>
    <row r="97" spans="4:4" ht="19.5" customHeight="1" x14ac:dyDescent="0.3">
      <c r="D97" s="70"/>
    </row>
    <row r="98" spans="4:4" ht="19.5" customHeight="1" x14ac:dyDescent="0.3">
      <c r="D98" s="70"/>
    </row>
    <row r="99" spans="4:4" ht="19.5" customHeight="1" x14ac:dyDescent="0.3">
      <c r="D99" s="70"/>
    </row>
    <row r="100" spans="4:4" ht="19.5" customHeight="1" x14ac:dyDescent="0.3">
      <c r="D100" s="70"/>
    </row>
    <row r="101" spans="4:4" ht="19.5" customHeight="1" x14ac:dyDescent="0.3">
      <c r="D101" s="70"/>
    </row>
    <row r="102" spans="4:4" ht="19.5" customHeight="1" x14ac:dyDescent="0.3">
      <c r="D102" s="70"/>
    </row>
    <row r="103" spans="4:4" ht="19.5" customHeight="1" x14ac:dyDescent="0.3">
      <c r="D103" s="70"/>
    </row>
    <row r="104" spans="4:4" ht="19.5" customHeight="1" x14ac:dyDescent="0.3">
      <c r="D104" s="70"/>
    </row>
    <row r="105" spans="4:4" ht="19.5" customHeight="1" x14ac:dyDescent="0.3">
      <c r="D105" s="70"/>
    </row>
    <row r="106" spans="4:4" ht="19.5" customHeight="1" x14ac:dyDescent="0.3">
      <c r="D106" s="70"/>
    </row>
    <row r="107" spans="4:4" ht="19.5" customHeight="1" x14ac:dyDescent="0.3">
      <c r="D107" s="70"/>
    </row>
    <row r="108" spans="4:4" ht="19.5" customHeight="1" x14ac:dyDescent="0.3">
      <c r="D108" s="70"/>
    </row>
    <row r="109" spans="4:4" ht="19.5" customHeight="1" x14ac:dyDescent="0.3">
      <c r="D109" s="70"/>
    </row>
    <row r="110" spans="4:4" ht="19.5" customHeight="1" x14ac:dyDescent="0.3">
      <c r="D110" s="70"/>
    </row>
    <row r="111" spans="4:4" ht="19.5" customHeight="1" x14ac:dyDescent="0.3">
      <c r="D111" s="70"/>
    </row>
    <row r="112" spans="4:4" ht="19.5" customHeight="1" x14ac:dyDescent="0.3">
      <c r="D112" s="70"/>
    </row>
    <row r="113" spans="4:4" ht="19.5" customHeight="1" x14ac:dyDescent="0.3">
      <c r="D113" s="70"/>
    </row>
    <row r="114" spans="4:4" ht="19.5" customHeight="1" x14ac:dyDescent="0.3">
      <c r="D114" s="70"/>
    </row>
    <row r="115" spans="4:4" ht="19.5" customHeight="1" x14ac:dyDescent="0.3">
      <c r="D115" s="70"/>
    </row>
    <row r="116" spans="4:4" ht="19.5" customHeight="1" x14ac:dyDescent="0.3">
      <c r="D116" s="70"/>
    </row>
    <row r="117" spans="4:4" ht="19.5" customHeight="1" x14ac:dyDescent="0.3">
      <c r="D117" s="70"/>
    </row>
    <row r="118" spans="4:4" ht="19.5" customHeight="1" x14ac:dyDescent="0.3">
      <c r="D118" s="70"/>
    </row>
    <row r="119" spans="4:4" ht="19.5" customHeight="1" x14ac:dyDescent="0.3">
      <c r="D119" s="70"/>
    </row>
    <row r="120" spans="4:4" ht="19.5" customHeight="1" x14ac:dyDescent="0.3">
      <c r="D120" s="70"/>
    </row>
    <row r="121" spans="4:4" ht="19.5" customHeight="1" x14ac:dyDescent="0.3">
      <c r="D121" s="70"/>
    </row>
    <row r="122" spans="4:4" ht="19.5" customHeight="1" x14ac:dyDescent="0.3">
      <c r="D122" s="70"/>
    </row>
    <row r="123" spans="4:4" ht="19.5" customHeight="1" x14ac:dyDescent="0.3">
      <c r="D123" s="70"/>
    </row>
    <row r="124" spans="4:4" ht="19.5" customHeight="1" x14ac:dyDescent="0.3">
      <c r="D124" s="70"/>
    </row>
    <row r="125" spans="4:4" ht="19.5" customHeight="1" x14ac:dyDescent="0.3">
      <c r="D125" s="70"/>
    </row>
    <row r="126" spans="4:4" ht="19.5" customHeight="1" x14ac:dyDescent="0.3">
      <c r="D126" s="70"/>
    </row>
    <row r="127" spans="4:4" ht="19.5" customHeight="1" x14ac:dyDescent="0.3">
      <c r="D127" s="70"/>
    </row>
    <row r="128" spans="4:4" ht="19.5" customHeight="1" x14ac:dyDescent="0.3">
      <c r="D128" s="70"/>
    </row>
    <row r="129" spans="4:4" ht="19.5" customHeight="1" x14ac:dyDescent="0.3">
      <c r="D129" s="70"/>
    </row>
    <row r="130" spans="4:4" ht="19.5" customHeight="1" x14ac:dyDescent="0.3">
      <c r="D130" s="70"/>
    </row>
    <row r="131" spans="4:4" ht="19.5" customHeight="1" x14ac:dyDescent="0.3">
      <c r="D131" s="70"/>
    </row>
    <row r="132" spans="4:4" ht="19.5" customHeight="1" x14ac:dyDescent="0.3">
      <c r="D132" s="70"/>
    </row>
    <row r="133" spans="4:4" ht="19.5" customHeight="1" x14ac:dyDescent="0.3">
      <c r="D133" s="70"/>
    </row>
    <row r="134" spans="4:4" ht="19.5" customHeight="1" x14ac:dyDescent="0.3">
      <c r="D134" s="70"/>
    </row>
    <row r="135" spans="4:4" ht="19.5" customHeight="1" x14ac:dyDescent="0.3">
      <c r="D135" s="70"/>
    </row>
    <row r="136" spans="4:4" ht="19.5" customHeight="1" x14ac:dyDescent="0.3">
      <c r="D136" s="70"/>
    </row>
    <row r="137" spans="4:4" ht="19.5" customHeight="1" x14ac:dyDescent="0.3">
      <c r="D137" s="70"/>
    </row>
    <row r="138" spans="4:4" ht="19.5" customHeight="1" x14ac:dyDescent="0.3">
      <c r="D138" s="70"/>
    </row>
    <row r="139" spans="4:4" ht="19.5" customHeight="1" x14ac:dyDescent="0.3">
      <c r="D139" s="70"/>
    </row>
    <row r="140" spans="4:4" ht="19.5" customHeight="1" x14ac:dyDescent="0.3">
      <c r="D140" s="70"/>
    </row>
    <row r="141" spans="4:4" ht="19.5" customHeight="1" x14ac:dyDescent="0.3">
      <c r="D141" s="70"/>
    </row>
    <row r="142" spans="4:4" ht="19.5" customHeight="1" x14ac:dyDescent="0.3">
      <c r="D142" s="70"/>
    </row>
    <row r="143" spans="4:4" ht="19.5" customHeight="1" x14ac:dyDescent="0.3">
      <c r="D143" s="70"/>
    </row>
    <row r="144" spans="4:4" ht="19.5" customHeight="1" x14ac:dyDescent="0.3">
      <c r="D144" s="70"/>
    </row>
    <row r="145" spans="4:4" ht="19.5" customHeight="1" x14ac:dyDescent="0.3">
      <c r="D145" s="70"/>
    </row>
    <row r="146" spans="4:4" ht="19.5" customHeight="1" x14ac:dyDescent="0.3">
      <c r="D146" s="70"/>
    </row>
    <row r="147" spans="4:4" ht="19.5" customHeight="1" x14ac:dyDescent="0.3">
      <c r="D147" s="70"/>
    </row>
    <row r="148" spans="4:4" ht="19.5" customHeight="1" x14ac:dyDescent="0.3">
      <c r="D148" s="70"/>
    </row>
    <row r="149" spans="4:4" ht="19.5" customHeight="1" x14ac:dyDescent="0.3">
      <c r="D149" s="70"/>
    </row>
    <row r="150" spans="4:4" ht="19.5" customHeight="1" x14ac:dyDescent="0.3">
      <c r="D150" s="70"/>
    </row>
    <row r="151" spans="4:4" ht="19.5" customHeight="1" x14ac:dyDescent="0.3">
      <c r="D151" s="70"/>
    </row>
    <row r="152" spans="4:4" ht="19.5" customHeight="1" x14ac:dyDescent="0.3">
      <c r="D152" s="70"/>
    </row>
    <row r="153" spans="4:4" ht="19.5" customHeight="1" x14ac:dyDescent="0.3">
      <c r="D153" s="70"/>
    </row>
    <row r="154" spans="4:4" ht="19.5" customHeight="1" x14ac:dyDescent="0.3">
      <c r="D154" s="70"/>
    </row>
    <row r="155" spans="4:4" ht="19.5" customHeight="1" x14ac:dyDescent="0.3">
      <c r="D155" s="70"/>
    </row>
    <row r="156" spans="4:4" ht="19.5" customHeight="1" x14ac:dyDescent="0.3">
      <c r="D156" s="70"/>
    </row>
    <row r="157" spans="4:4" ht="19.5" customHeight="1" x14ac:dyDescent="0.3">
      <c r="D157" s="70"/>
    </row>
    <row r="158" spans="4:4" ht="19.5" customHeight="1" x14ac:dyDescent="0.3">
      <c r="D158" s="70"/>
    </row>
    <row r="159" spans="4:4" ht="19.5" customHeight="1" x14ac:dyDescent="0.3">
      <c r="D159" s="70"/>
    </row>
    <row r="160" spans="4:4" ht="19.5" customHeight="1" x14ac:dyDescent="0.3">
      <c r="D160" s="70"/>
    </row>
    <row r="161" spans="4:4" ht="19.5" customHeight="1" x14ac:dyDescent="0.3">
      <c r="D161" s="70"/>
    </row>
    <row r="162" spans="4:4" ht="19.5" customHeight="1" x14ac:dyDescent="0.3">
      <c r="D162" s="70"/>
    </row>
    <row r="163" spans="4:4" ht="19.5" customHeight="1" x14ac:dyDescent="0.3">
      <c r="D163" s="70"/>
    </row>
    <row r="164" spans="4:4" ht="19.5" customHeight="1" x14ac:dyDescent="0.3">
      <c r="D164" s="70"/>
    </row>
    <row r="165" spans="4:4" ht="19.5" customHeight="1" x14ac:dyDescent="0.3">
      <c r="D165" s="70"/>
    </row>
    <row r="166" spans="4:4" ht="19.5" customHeight="1" x14ac:dyDescent="0.3">
      <c r="D166" s="70"/>
    </row>
    <row r="167" spans="4:4" ht="19.5" customHeight="1" x14ac:dyDescent="0.3">
      <c r="D167" s="70"/>
    </row>
    <row r="168" spans="4:4" ht="19.5" customHeight="1" x14ac:dyDescent="0.3">
      <c r="D168" s="70"/>
    </row>
    <row r="169" spans="4:4" ht="19.5" customHeight="1" x14ac:dyDescent="0.3">
      <c r="D169" s="70"/>
    </row>
    <row r="170" spans="4:4" ht="19.5" customHeight="1" x14ac:dyDescent="0.3">
      <c r="D170" s="70"/>
    </row>
    <row r="171" spans="4:4" ht="19.5" customHeight="1" x14ac:dyDescent="0.3">
      <c r="D171" s="70"/>
    </row>
    <row r="172" spans="4:4" ht="19.5" customHeight="1" x14ac:dyDescent="0.3">
      <c r="D172" s="70"/>
    </row>
    <row r="173" spans="4:4" ht="19.5" customHeight="1" x14ac:dyDescent="0.3">
      <c r="D173" s="70"/>
    </row>
    <row r="174" spans="4:4" ht="19.5" customHeight="1" x14ac:dyDescent="0.3">
      <c r="D174" s="70"/>
    </row>
    <row r="175" spans="4:4" ht="19.5" customHeight="1" x14ac:dyDescent="0.3">
      <c r="D175" s="70"/>
    </row>
    <row r="176" spans="4:4" ht="19.5" customHeight="1" x14ac:dyDescent="0.3">
      <c r="D176" s="70"/>
    </row>
    <row r="177" spans="4:4" ht="19.5" customHeight="1" x14ac:dyDescent="0.3">
      <c r="D177" s="70"/>
    </row>
    <row r="178" spans="4:4" ht="19.5" customHeight="1" x14ac:dyDescent="0.3">
      <c r="D178" s="70"/>
    </row>
    <row r="179" spans="4:4" ht="19.5" customHeight="1" x14ac:dyDescent="0.3">
      <c r="D179" s="70"/>
    </row>
    <row r="180" spans="4:4" ht="19.5" customHeight="1" x14ac:dyDescent="0.3">
      <c r="D180" s="70"/>
    </row>
    <row r="181" spans="4:4" ht="19.5" customHeight="1" x14ac:dyDescent="0.3">
      <c r="D181" s="70"/>
    </row>
    <row r="182" spans="4:4" ht="19.5" customHeight="1" x14ac:dyDescent="0.3">
      <c r="D182" s="70"/>
    </row>
    <row r="183" spans="4:4" ht="19.5" customHeight="1" x14ac:dyDescent="0.3">
      <c r="D183" s="70"/>
    </row>
    <row r="184" spans="4:4" ht="19.5" customHeight="1" x14ac:dyDescent="0.3">
      <c r="D184" s="70"/>
    </row>
    <row r="185" spans="4:4" ht="19.5" customHeight="1" x14ac:dyDescent="0.3">
      <c r="D185" s="70"/>
    </row>
    <row r="186" spans="4:4" ht="19.5" customHeight="1" x14ac:dyDescent="0.3">
      <c r="D186" s="70"/>
    </row>
    <row r="187" spans="4:4" ht="19.5" customHeight="1" x14ac:dyDescent="0.3">
      <c r="D187" s="70"/>
    </row>
    <row r="188" spans="4:4" ht="19.5" customHeight="1" x14ac:dyDescent="0.3">
      <c r="D188" s="70"/>
    </row>
    <row r="189" spans="4:4" ht="19.5" customHeight="1" x14ac:dyDescent="0.3">
      <c r="D189" s="70"/>
    </row>
    <row r="190" spans="4:4" ht="19.5" customHeight="1" x14ac:dyDescent="0.3">
      <c r="D190" s="70"/>
    </row>
    <row r="191" spans="4:4" ht="19.5" customHeight="1" x14ac:dyDescent="0.3">
      <c r="D191" s="70"/>
    </row>
    <row r="192" spans="4:4" ht="19.5" customHeight="1" x14ac:dyDescent="0.3">
      <c r="D192" s="70"/>
    </row>
    <row r="193" spans="4:4" ht="19.5" customHeight="1" x14ac:dyDescent="0.3">
      <c r="D193" s="70"/>
    </row>
    <row r="194" spans="4:4" ht="19.5" customHeight="1" x14ac:dyDescent="0.3">
      <c r="D194" s="70"/>
    </row>
    <row r="195" spans="4:4" ht="19.5" customHeight="1" x14ac:dyDescent="0.3">
      <c r="D195" s="70"/>
    </row>
    <row r="196" spans="4:4" ht="19.5" customHeight="1" x14ac:dyDescent="0.3">
      <c r="D196" s="70"/>
    </row>
    <row r="197" spans="4:4" ht="19.5" customHeight="1" x14ac:dyDescent="0.3">
      <c r="D197" s="70"/>
    </row>
    <row r="198" spans="4:4" ht="19.5" customHeight="1" x14ac:dyDescent="0.3">
      <c r="D198" s="70"/>
    </row>
    <row r="199" spans="4:4" ht="19.5" customHeight="1" x14ac:dyDescent="0.3">
      <c r="D199" s="70"/>
    </row>
    <row r="200" spans="4:4" ht="19.5" customHeight="1" x14ac:dyDescent="0.3">
      <c r="D200" s="70"/>
    </row>
    <row r="201" spans="4:4" ht="19.5" customHeight="1" x14ac:dyDescent="0.3">
      <c r="D201" s="70"/>
    </row>
    <row r="202" spans="4:4" ht="19.5" customHeight="1" x14ac:dyDescent="0.3">
      <c r="D202" s="70"/>
    </row>
    <row r="203" spans="4:4" ht="19.5" customHeight="1" x14ac:dyDescent="0.3">
      <c r="D203" s="70"/>
    </row>
    <row r="204" spans="4:4" ht="19.5" customHeight="1" x14ac:dyDescent="0.3">
      <c r="D204" s="70"/>
    </row>
    <row r="205" spans="4:4" ht="19.5" customHeight="1" x14ac:dyDescent="0.3">
      <c r="D205" s="70"/>
    </row>
    <row r="206" spans="4:4" ht="19.5" customHeight="1" x14ac:dyDescent="0.3">
      <c r="D206" s="70"/>
    </row>
    <row r="207" spans="4:4" ht="19.5" customHeight="1" x14ac:dyDescent="0.3">
      <c r="D207" s="70"/>
    </row>
    <row r="208" spans="4:4" ht="19.5" customHeight="1" x14ac:dyDescent="0.3">
      <c r="D208" s="70"/>
    </row>
    <row r="209" spans="4:4" ht="19.5" customHeight="1" x14ac:dyDescent="0.3">
      <c r="D209" s="70"/>
    </row>
    <row r="210" spans="4:4" ht="19.5" customHeight="1" x14ac:dyDescent="0.3">
      <c r="D210" s="70"/>
    </row>
    <row r="211" spans="4:4" ht="19.5" customHeight="1" x14ac:dyDescent="0.3">
      <c r="D211" s="70"/>
    </row>
    <row r="212" spans="4:4" ht="19.5" customHeight="1" x14ac:dyDescent="0.3">
      <c r="D212" s="70"/>
    </row>
    <row r="213" spans="4:4" ht="19.5" customHeight="1" x14ac:dyDescent="0.3">
      <c r="D213" s="70"/>
    </row>
    <row r="214" spans="4:4" ht="19.5" customHeight="1" x14ac:dyDescent="0.3">
      <c r="D214" s="70"/>
    </row>
    <row r="215" spans="4:4" ht="19.5" customHeight="1" x14ac:dyDescent="0.3">
      <c r="D215" s="70"/>
    </row>
    <row r="216" spans="4:4" ht="19.5" customHeight="1" x14ac:dyDescent="0.3">
      <c r="D216" s="70"/>
    </row>
    <row r="217" spans="4:4" ht="19.5" customHeight="1" x14ac:dyDescent="0.3">
      <c r="D217" s="70"/>
    </row>
    <row r="218" spans="4:4" ht="19.5" customHeight="1" x14ac:dyDescent="0.3">
      <c r="D218" s="70"/>
    </row>
    <row r="219" spans="4:4" ht="19.5" customHeight="1" x14ac:dyDescent="0.3">
      <c r="D219" s="70"/>
    </row>
    <row r="220" spans="4:4" ht="19.5" customHeight="1" x14ac:dyDescent="0.3">
      <c r="D220" s="70"/>
    </row>
    <row r="221" spans="4:4" ht="19.5" customHeight="1" x14ac:dyDescent="0.3">
      <c r="D221" s="70"/>
    </row>
    <row r="222" spans="4:4" ht="19.5" customHeight="1" x14ac:dyDescent="0.3">
      <c r="D222" s="70"/>
    </row>
    <row r="223" spans="4:4" ht="19.5" customHeight="1" x14ac:dyDescent="0.3">
      <c r="D223" s="70"/>
    </row>
    <row r="224" spans="4:4" ht="19.5" customHeight="1" x14ac:dyDescent="0.3">
      <c r="D224" s="70"/>
    </row>
    <row r="225" spans="4:4" ht="19.5" customHeight="1" x14ac:dyDescent="0.3">
      <c r="D225" s="70"/>
    </row>
    <row r="226" spans="4:4" ht="19.5" customHeight="1" x14ac:dyDescent="0.3">
      <c r="D226" s="70"/>
    </row>
    <row r="227" spans="4:4" ht="19.5" customHeight="1" x14ac:dyDescent="0.3">
      <c r="D227" s="70"/>
    </row>
    <row r="228" spans="4:4" ht="19.5" customHeight="1" x14ac:dyDescent="0.3">
      <c r="D228" s="70"/>
    </row>
    <row r="229" spans="4:4" ht="19.5" customHeight="1" x14ac:dyDescent="0.3">
      <c r="D229" s="70"/>
    </row>
    <row r="230" spans="4:4" ht="19.5" customHeight="1" x14ac:dyDescent="0.3">
      <c r="D230" s="70"/>
    </row>
    <row r="231" spans="4:4" ht="19.5" customHeight="1" x14ac:dyDescent="0.3">
      <c r="D231" s="70"/>
    </row>
    <row r="232" spans="4:4" ht="19.5" customHeight="1" x14ac:dyDescent="0.3">
      <c r="D232" s="70"/>
    </row>
    <row r="233" spans="4:4" ht="19.5" customHeight="1" x14ac:dyDescent="0.3">
      <c r="D233" s="70"/>
    </row>
    <row r="234" spans="4:4" ht="19.5" customHeight="1" x14ac:dyDescent="0.3">
      <c r="D234" s="70"/>
    </row>
    <row r="235" spans="4:4" ht="19.5" customHeight="1" x14ac:dyDescent="0.3">
      <c r="D235" s="70"/>
    </row>
    <row r="236" spans="4:4" ht="19.5" customHeight="1" x14ac:dyDescent="0.3">
      <c r="D236" s="70"/>
    </row>
    <row r="237" spans="4:4" ht="19.5" customHeight="1" x14ac:dyDescent="0.3">
      <c r="D237" s="70"/>
    </row>
    <row r="238" spans="4:4" ht="19.5" customHeight="1" x14ac:dyDescent="0.3">
      <c r="D238" s="70"/>
    </row>
    <row r="239" spans="4:4" ht="19.5" customHeight="1" x14ac:dyDescent="0.3">
      <c r="D239" s="70"/>
    </row>
    <row r="240" spans="4:4" ht="19.5" customHeight="1" x14ac:dyDescent="0.3">
      <c r="D240" s="70"/>
    </row>
    <row r="241" spans="4:4" ht="19.5" customHeight="1" x14ac:dyDescent="0.3">
      <c r="D241" s="70"/>
    </row>
    <row r="242" spans="4:4" ht="19.5" customHeight="1" x14ac:dyDescent="0.3">
      <c r="D242" s="70"/>
    </row>
    <row r="243" spans="4:4" ht="19.5" customHeight="1" x14ac:dyDescent="0.3">
      <c r="D243" s="70"/>
    </row>
    <row r="244" spans="4:4" ht="19.5" customHeight="1" x14ac:dyDescent="0.3">
      <c r="D244" s="70"/>
    </row>
    <row r="245" spans="4:4" ht="19.5" customHeight="1" x14ac:dyDescent="0.3">
      <c r="D245" s="70"/>
    </row>
    <row r="246" spans="4:4" ht="19.5" customHeight="1" x14ac:dyDescent="0.3">
      <c r="D246" s="70"/>
    </row>
    <row r="247" spans="4:4" ht="19.5" customHeight="1" x14ac:dyDescent="0.3">
      <c r="D247" s="70"/>
    </row>
    <row r="248" spans="4:4" ht="19.5" customHeight="1" x14ac:dyDescent="0.3">
      <c r="D248" s="70"/>
    </row>
    <row r="249" spans="4:4" ht="19.5" customHeight="1" x14ac:dyDescent="0.3">
      <c r="D249" s="70"/>
    </row>
    <row r="250" spans="4:4" ht="19.5" customHeight="1" x14ac:dyDescent="0.3">
      <c r="D250" s="70"/>
    </row>
    <row r="251" spans="4:4" ht="19.5" customHeight="1" x14ac:dyDescent="0.3">
      <c r="D251" s="70"/>
    </row>
    <row r="252" spans="4:4" ht="19.5" customHeight="1" x14ac:dyDescent="0.3">
      <c r="D252" s="70"/>
    </row>
    <row r="253" spans="4:4" ht="19.5" customHeight="1" x14ac:dyDescent="0.3">
      <c r="D253" s="70"/>
    </row>
    <row r="254" spans="4:4" ht="19.5" customHeight="1" x14ac:dyDescent="0.3">
      <c r="D254" s="70"/>
    </row>
    <row r="255" spans="4:4" ht="19.5" customHeight="1" x14ac:dyDescent="0.3">
      <c r="D255" s="70"/>
    </row>
    <row r="256" spans="4:4" ht="19.5" customHeight="1" x14ac:dyDescent="0.3">
      <c r="D256" s="70"/>
    </row>
    <row r="257" spans="4:4" ht="19.5" customHeight="1" x14ac:dyDescent="0.3">
      <c r="D257" s="70"/>
    </row>
    <row r="258" spans="4:4" ht="19.5" customHeight="1" x14ac:dyDescent="0.3">
      <c r="D258" s="70"/>
    </row>
    <row r="259" spans="4:4" ht="19.5" customHeight="1" x14ac:dyDescent="0.3">
      <c r="D259" s="70"/>
    </row>
    <row r="260" spans="4:4" ht="19.5" customHeight="1" x14ac:dyDescent="0.3">
      <c r="D260" s="70"/>
    </row>
    <row r="261" spans="4:4" ht="19.5" customHeight="1" x14ac:dyDescent="0.3">
      <c r="D261" s="70"/>
    </row>
    <row r="262" spans="4:4" ht="19.5" customHeight="1" x14ac:dyDescent="0.3">
      <c r="D262" s="70"/>
    </row>
    <row r="263" spans="4:4" ht="19.5" customHeight="1" x14ac:dyDescent="0.3">
      <c r="D263" s="70"/>
    </row>
    <row r="264" spans="4:4" ht="19.5" customHeight="1" x14ac:dyDescent="0.3">
      <c r="D264" s="70"/>
    </row>
    <row r="265" spans="4:4" ht="19.5" customHeight="1" x14ac:dyDescent="0.3">
      <c r="D265" s="70"/>
    </row>
    <row r="266" spans="4:4" ht="19.5" customHeight="1" x14ac:dyDescent="0.3">
      <c r="D266" s="70"/>
    </row>
    <row r="267" spans="4:4" ht="19.5" customHeight="1" x14ac:dyDescent="0.3">
      <c r="D267" s="70"/>
    </row>
    <row r="268" spans="4:4" ht="19.5" customHeight="1" x14ac:dyDescent="0.3">
      <c r="D268" s="70"/>
    </row>
    <row r="269" spans="4:4" ht="19.5" customHeight="1" x14ac:dyDescent="0.3">
      <c r="D269" s="70"/>
    </row>
    <row r="270" spans="4:4" ht="19.5" customHeight="1" x14ac:dyDescent="0.3">
      <c r="D270" s="70"/>
    </row>
    <row r="271" spans="4:4" ht="19.5" customHeight="1" x14ac:dyDescent="0.3">
      <c r="D271" s="70"/>
    </row>
    <row r="272" spans="4:4" ht="19.5" customHeight="1" x14ac:dyDescent="0.3">
      <c r="D272" s="70"/>
    </row>
    <row r="273" spans="4:4" ht="19.5" customHeight="1" x14ac:dyDescent="0.3">
      <c r="D273" s="70"/>
    </row>
    <row r="274" spans="4:4" ht="19.5" customHeight="1" x14ac:dyDescent="0.3">
      <c r="D274" s="70"/>
    </row>
    <row r="275" spans="4:4" ht="19.5" customHeight="1" x14ac:dyDescent="0.3">
      <c r="D275" s="70"/>
    </row>
    <row r="276" spans="4:4" ht="19.5" customHeight="1" x14ac:dyDescent="0.3">
      <c r="D276" s="70"/>
    </row>
    <row r="277" spans="4:4" ht="19.5" customHeight="1" x14ac:dyDescent="0.3">
      <c r="D277" s="70"/>
    </row>
    <row r="278" spans="4:4" ht="19.5" customHeight="1" x14ac:dyDescent="0.3">
      <c r="D278" s="70"/>
    </row>
    <row r="279" spans="4:4" ht="19.5" customHeight="1" x14ac:dyDescent="0.3">
      <c r="D279" s="70"/>
    </row>
    <row r="280" spans="4:4" ht="19.5" customHeight="1" x14ac:dyDescent="0.3">
      <c r="D280" s="70"/>
    </row>
    <row r="281" spans="4:4" ht="19.5" customHeight="1" x14ac:dyDescent="0.3">
      <c r="D281" s="70"/>
    </row>
    <row r="282" spans="4:4" ht="19.5" customHeight="1" x14ac:dyDescent="0.3">
      <c r="D282" s="70"/>
    </row>
    <row r="283" spans="4:4" ht="19.5" customHeight="1" x14ac:dyDescent="0.3">
      <c r="D283" s="70"/>
    </row>
    <row r="284" spans="4:4" ht="19.5" customHeight="1" x14ac:dyDescent="0.3">
      <c r="D284" s="70"/>
    </row>
    <row r="285" spans="4:4" ht="19.5" customHeight="1" x14ac:dyDescent="0.3">
      <c r="D285" s="70"/>
    </row>
    <row r="286" spans="4:4" ht="19.5" customHeight="1" x14ac:dyDescent="0.3">
      <c r="D286" s="70"/>
    </row>
    <row r="287" spans="4:4" ht="19.5" customHeight="1" x14ac:dyDescent="0.3">
      <c r="D287" s="70"/>
    </row>
    <row r="288" spans="4:4" ht="19.5" customHeight="1" x14ac:dyDescent="0.3">
      <c r="D288" s="70"/>
    </row>
    <row r="289" spans="4:4" ht="19.5" customHeight="1" x14ac:dyDescent="0.3">
      <c r="D289" s="70"/>
    </row>
    <row r="290" spans="4:4" ht="19.5" customHeight="1" x14ac:dyDescent="0.3">
      <c r="D290" s="70"/>
    </row>
    <row r="291" spans="4:4" ht="19.5" customHeight="1" x14ac:dyDescent="0.3">
      <c r="D291" s="70"/>
    </row>
    <row r="292" spans="4:4" ht="19.5" customHeight="1" x14ac:dyDescent="0.3">
      <c r="D292" s="70"/>
    </row>
    <row r="293" spans="4:4" ht="19.5" customHeight="1" x14ac:dyDescent="0.3">
      <c r="D293" s="70"/>
    </row>
    <row r="294" spans="4:4" ht="19.5" customHeight="1" x14ac:dyDescent="0.3">
      <c r="D294" s="70"/>
    </row>
    <row r="295" spans="4:4" ht="19.5" customHeight="1" x14ac:dyDescent="0.3">
      <c r="D295" s="70"/>
    </row>
    <row r="296" spans="4:4" ht="19.5" customHeight="1" x14ac:dyDescent="0.3">
      <c r="D296" s="70"/>
    </row>
    <row r="297" spans="4:4" ht="19.5" customHeight="1" x14ac:dyDescent="0.3">
      <c r="D297" s="70"/>
    </row>
    <row r="298" spans="4:4" ht="19.5" customHeight="1" x14ac:dyDescent="0.3">
      <c r="D298" s="70"/>
    </row>
    <row r="299" spans="4:4" ht="19.5" customHeight="1" x14ac:dyDescent="0.3">
      <c r="D299" s="70"/>
    </row>
    <row r="300" spans="4:4" ht="19.5" customHeight="1" x14ac:dyDescent="0.3">
      <c r="D300" s="70"/>
    </row>
    <row r="301" spans="4:4" ht="19.5" customHeight="1" x14ac:dyDescent="0.3">
      <c r="D301" s="70"/>
    </row>
    <row r="302" spans="4:4" ht="19.5" customHeight="1" x14ac:dyDescent="0.3">
      <c r="D302" s="70"/>
    </row>
    <row r="303" spans="4:4" ht="19.5" customHeight="1" x14ac:dyDescent="0.3">
      <c r="D303" s="70"/>
    </row>
    <row r="304" spans="4:4" ht="19.5" customHeight="1" x14ac:dyDescent="0.3">
      <c r="D304" s="70"/>
    </row>
    <row r="305" spans="4:4" ht="19.5" customHeight="1" x14ac:dyDescent="0.3">
      <c r="D305" s="70"/>
    </row>
    <row r="306" spans="4:4" ht="19.5" customHeight="1" x14ac:dyDescent="0.3">
      <c r="D306" s="70"/>
    </row>
    <row r="307" spans="4:4" ht="19.5" customHeight="1" x14ac:dyDescent="0.3">
      <c r="D307" s="70"/>
    </row>
    <row r="308" spans="4:4" ht="19.5" customHeight="1" x14ac:dyDescent="0.3">
      <c r="D308" s="70"/>
    </row>
    <row r="309" spans="4:4" ht="19.5" customHeight="1" x14ac:dyDescent="0.3">
      <c r="D309" s="70"/>
    </row>
    <row r="310" spans="4:4" ht="19.5" customHeight="1" x14ac:dyDescent="0.3">
      <c r="D310" s="70"/>
    </row>
    <row r="311" spans="4:4" ht="19.5" customHeight="1" x14ac:dyDescent="0.3">
      <c r="D311" s="70"/>
    </row>
    <row r="312" spans="4:4" ht="19.5" customHeight="1" x14ac:dyDescent="0.3">
      <c r="D312" s="70"/>
    </row>
    <row r="313" spans="4:4" ht="19.5" customHeight="1" x14ac:dyDescent="0.3">
      <c r="D313" s="70"/>
    </row>
    <row r="314" spans="4:4" ht="19.5" customHeight="1" x14ac:dyDescent="0.3">
      <c r="D314" s="70"/>
    </row>
    <row r="315" spans="4:4" ht="19.5" customHeight="1" x14ac:dyDescent="0.3">
      <c r="D315" s="70"/>
    </row>
    <row r="316" spans="4:4" ht="19.5" customHeight="1" x14ac:dyDescent="0.3">
      <c r="D316" s="70"/>
    </row>
    <row r="317" spans="4:4" ht="19.5" customHeight="1" x14ac:dyDescent="0.3">
      <c r="D317" s="70"/>
    </row>
    <row r="318" spans="4:4" ht="19.5" customHeight="1" x14ac:dyDescent="0.3">
      <c r="D318" s="70"/>
    </row>
    <row r="319" spans="4:4" ht="19.5" customHeight="1" x14ac:dyDescent="0.3">
      <c r="D319" s="70"/>
    </row>
    <row r="320" spans="4:4" ht="19.5" customHeight="1" x14ac:dyDescent="0.3">
      <c r="D320" s="70"/>
    </row>
    <row r="321" spans="4:4" ht="19.5" customHeight="1" x14ac:dyDescent="0.3">
      <c r="D321" s="70"/>
    </row>
    <row r="322" spans="4:4" ht="19.5" customHeight="1" x14ac:dyDescent="0.3">
      <c r="D322" s="70"/>
    </row>
    <row r="323" spans="4:4" ht="19.5" customHeight="1" x14ac:dyDescent="0.3">
      <c r="D323" s="70"/>
    </row>
    <row r="324" spans="4:4" ht="19.5" customHeight="1" x14ac:dyDescent="0.3">
      <c r="D324" s="70"/>
    </row>
    <row r="325" spans="4:4" ht="19.5" customHeight="1" x14ac:dyDescent="0.3">
      <c r="D325" s="70"/>
    </row>
    <row r="326" spans="4:4" ht="19.5" customHeight="1" x14ac:dyDescent="0.3">
      <c r="D326" s="70"/>
    </row>
    <row r="327" spans="4:4" ht="19.5" customHeight="1" x14ac:dyDescent="0.3">
      <c r="D327" s="70"/>
    </row>
    <row r="328" spans="4:4" ht="19.5" customHeight="1" x14ac:dyDescent="0.3">
      <c r="D328" s="70"/>
    </row>
    <row r="329" spans="4:4" ht="19.5" customHeight="1" x14ac:dyDescent="0.3">
      <c r="D329" s="70"/>
    </row>
    <row r="330" spans="4:4" ht="19.5" customHeight="1" x14ac:dyDescent="0.3">
      <c r="D330" s="70"/>
    </row>
    <row r="331" spans="4:4" ht="19.5" customHeight="1" x14ac:dyDescent="0.3">
      <c r="D331" s="70"/>
    </row>
    <row r="332" spans="4:4" ht="19.5" customHeight="1" x14ac:dyDescent="0.3">
      <c r="D332" s="70"/>
    </row>
    <row r="333" spans="4:4" ht="19.5" customHeight="1" x14ac:dyDescent="0.3">
      <c r="D333" s="70"/>
    </row>
    <row r="334" spans="4:4" ht="19.5" customHeight="1" x14ac:dyDescent="0.3">
      <c r="D334" s="70"/>
    </row>
    <row r="335" spans="4:4" ht="19.5" customHeight="1" x14ac:dyDescent="0.3">
      <c r="D335" s="70"/>
    </row>
    <row r="336" spans="4:4" ht="19.5" customHeight="1" x14ac:dyDescent="0.3">
      <c r="D336" s="70"/>
    </row>
    <row r="337" spans="4:4" ht="19.5" customHeight="1" x14ac:dyDescent="0.3">
      <c r="D337" s="70"/>
    </row>
    <row r="338" spans="4:4" ht="19.5" customHeight="1" x14ac:dyDescent="0.3">
      <c r="D338" s="70"/>
    </row>
    <row r="339" spans="4:4" ht="19.5" customHeight="1" x14ac:dyDescent="0.3">
      <c r="D339" s="70"/>
    </row>
    <row r="340" spans="4:4" ht="19.5" customHeight="1" x14ac:dyDescent="0.3">
      <c r="D340" s="70"/>
    </row>
    <row r="341" spans="4:4" ht="19.5" customHeight="1" x14ac:dyDescent="0.3">
      <c r="D341" s="70"/>
    </row>
    <row r="342" spans="4:4" ht="19.5" customHeight="1" x14ac:dyDescent="0.3">
      <c r="D342" s="70"/>
    </row>
    <row r="343" spans="4:4" ht="19.5" customHeight="1" x14ac:dyDescent="0.3">
      <c r="D343" s="70"/>
    </row>
    <row r="344" spans="4:4" ht="19.5" customHeight="1" x14ac:dyDescent="0.3">
      <c r="D344" s="70"/>
    </row>
    <row r="345" spans="4:4" ht="19.5" customHeight="1" x14ac:dyDescent="0.3">
      <c r="D345" s="70"/>
    </row>
    <row r="346" spans="4:4" ht="19.5" customHeight="1" x14ac:dyDescent="0.3">
      <c r="D346" s="70"/>
    </row>
    <row r="347" spans="4:4" ht="19.5" customHeight="1" x14ac:dyDescent="0.3">
      <c r="D347" s="70"/>
    </row>
    <row r="348" spans="4:4" ht="19.5" customHeight="1" x14ac:dyDescent="0.3">
      <c r="D348" s="70"/>
    </row>
    <row r="349" spans="4:4" ht="19.5" customHeight="1" x14ac:dyDescent="0.3">
      <c r="D349" s="70"/>
    </row>
    <row r="350" spans="4:4" ht="19.5" customHeight="1" x14ac:dyDescent="0.3">
      <c r="D350" s="70"/>
    </row>
    <row r="351" spans="4:4" ht="19.5" customHeight="1" x14ac:dyDescent="0.3">
      <c r="D351" s="70"/>
    </row>
    <row r="352" spans="4:4" ht="19.5" customHeight="1" x14ac:dyDescent="0.3">
      <c r="D352" s="70"/>
    </row>
    <row r="353" spans="4:4" ht="19.5" customHeight="1" x14ac:dyDescent="0.3">
      <c r="D353" s="70"/>
    </row>
    <row r="354" spans="4:4" ht="19.5" customHeight="1" x14ac:dyDescent="0.3">
      <c r="D354" s="70"/>
    </row>
    <row r="355" spans="4:4" ht="19.5" customHeight="1" x14ac:dyDescent="0.3">
      <c r="D355" s="70"/>
    </row>
    <row r="356" spans="4:4" ht="19.5" customHeight="1" x14ac:dyDescent="0.3">
      <c r="D356" s="70"/>
    </row>
    <row r="357" spans="4:4" ht="19.5" customHeight="1" x14ac:dyDescent="0.3">
      <c r="D357" s="70"/>
    </row>
    <row r="358" spans="4:4" ht="19.5" customHeight="1" x14ac:dyDescent="0.3">
      <c r="D358" s="70"/>
    </row>
    <row r="359" spans="4:4" ht="19.5" customHeight="1" x14ac:dyDescent="0.3">
      <c r="D359" s="70"/>
    </row>
    <row r="360" spans="4:4" ht="19.5" customHeight="1" x14ac:dyDescent="0.3">
      <c r="D360" s="70"/>
    </row>
    <row r="361" spans="4:4" ht="19.5" customHeight="1" x14ac:dyDescent="0.3">
      <c r="D361" s="70"/>
    </row>
    <row r="362" spans="4:4" ht="19.5" customHeight="1" x14ac:dyDescent="0.3">
      <c r="D362" s="70"/>
    </row>
    <row r="363" spans="4:4" ht="19.5" customHeight="1" x14ac:dyDescent="0.3">
      <c r="D363" s="70"/>
    </row>
    <row r="364" spans="4:4" ht="19.5" customHeight="1" x14ac:dyDescent="0.3">
      <c r="D364" s="70"/>
    </row>
    <row r="365" spans="4:4" ht="19.5" customHeight="1" x14ac:dyDescent="0.3">
      <c r="D365" s="70"/>
    </row>
    <row r="366" spans="4:4" ht="19.5" customHeight="1" x14ac:dyDescent="0.3">
      <c r="D366" s="70"/>
    </row>
    <row r="367" spans="4:4" ht="19.5" customHeight="1" x14ac:dyDescent="0.3">
      <c r="D367" s="70"/>
    </row>
    <row r="368" spans="4:4" ht="19.5" customHeight="1" x14ac:dyDescent="0.3">
      <c r="D368" s="70"/>
    </row>
    <row r="369" spans="4:4" ht="19.5" customHeight="1" x14ac:dyDescent="0.3">
      <c r="D369" s="70"/>
    </row>
    <row r="370" spans="4:4" ht="19.5" customHeight="1" x14ac:dyDescent="0.3">
      <c r="D370" s="70"/>
    </row>
    <row r="371" spans="4:4" ht="19.5" customHeight="1" x14ac:dyDescent="0.3">
      <c r="D371" s="70"/>
    </row>
    <row r="372" spans="4:4" ht="19.5" customHeight="1" x14ac:dyDescent="0.3">
      <c r="D372" s="70"/>
    </row>
    <row r="373" spans="4:4" ht="19.5" customHeight="1" x14ac:dyDescent="0.3">
      <c r="D373" s="70"/>
    </row>
    <row r="374" spans="4:4" ht="19.5" customHeight="1" x14ac:dyDescent="0.3">
      <c r="D374" s="70"/>
    </row>
    <row r="375" spans="4:4" ht="19.5" customHeight="1" x14ac:dyDescent="0.3">
      <c r="D375" s="70"/>
    </row>
    <row r="376" spans="4:4" ht="19.5" customHeight="1" x14ac:dyDescent="0.3">
      <c r="D376" s="70"/>
    </row>
    <row r="377" spans="4:4" ht="19.5" customHeight="1" x14ac:dyDescent="0.3">
      <c r="D377" s="70"/>
    </row>
    <row r="378" spans="4:4" ht="19.5" customHeight="1" x14ac:dyDescent="0.3">
      <c r="D378" s="70"/>
    </row>
    <row r="379" spans="4:4" ht="19.5" customHeight="1" x14ac:dyDescent="0.3">
      <c r="D379" s="70"/>
    </row>
    <row r="380" spans="4:4" ht="19.5" customHeight="1" x14ac:dyDescent="0.3">
      <c r="D380" s="70"/>
    </row>
    <row r="381" spans="4:4" ht="19.5" customHeight="1" x14ac:dyDescent="0.3">
      <c r="D381" s="70"/>
    </row>
    <row r="382" spans="4:4" ht="19.5" customHeight="1" x14ac:dyDescent="0.3">
      <c r="D382" s="70"/>
    </row>
    <row r="383" spans="4:4" ht="19.5" customHeight="1" x14ac:dyDescent="0.3">
      <c r="D383" s="70"/>
    </row>
    <row r="384" spans="4:4" ht="19.5" customHeight="1" x14ac:dyDescent="0.3">
      <c r="D384" s="70"/>
    </row>
    <row r="385" spans="4:4" ht="19.5" customHeight="1" x14ac:dyDescent="0.3">
      <c r="D385" s="70"/>
    </row>
    <row r="386" spans="4:4" ht="19.5" customHeight="1" x14ac:dyDescent="0.3">
      <c r="D386" s="70"/>
    </row>
    <row r="387" spans="4:4" ht="19.5" customHeight="1" x14ac:dyDescent="0.3">
      <c r="D387" s="70"/>
    </row>
    <row r="388" spans="4:4" ht="19.5" customHeight="1" x14ac:dyDescent="0.3">
      <c r="D388" s="70"/>
    </row>
    <row r="389" spans="4:4" ht="19.5" customHeight="1" x14ac:dyDescent="0.3">
      <c r="D389" s="70"/>
    </row>
    <row r="390" spans="4:4" ht="19.5" customHeight="1" x14ac:dyDescent="0.3">
      <c r="D390" s="70"/>
    </row>
    <row r="391" spans="4:4" ht="19.5" customHeight="1" x14ac:dyDescent="0.3">
      <c r="D391" s="70"/>
    </row>
    <row r="392" spans="4:4" ht="19.5" customHeight="1" x14ac:dyDescent="0.3">
      <c r="D392" s="70"/>
    </row>
    <row r="393" spans="4:4" ht="19.5" customHeight="1" x14ac:dyDescent="0.3">
      <c r="D393" s="70"/>
    </row>
    <row r="394" spans="4:4" ht="19.5" customHeight="1" x14ac:dyDescent="0.3">
      <c r="D394" s="70"/>
    </row>
    <row r="395" spans="4:4" ht="19.5" customHeight="1" x14ac:dyDescent="0.3">
      <c r="D395" s="70"/>
    </row>
    <row r="396" spans="4:4" ht="19.5" customHeight="1" x14ac:dyDescent="0.3">
      <c r="D396" s="70"/>
    </row>
    <row r="397" spans="4:4" ht="19.5" customHeight="1" x14ac:dyDescent="0.3">
      <c r="D397" s="70"/>
    </row>
    <row r="398" spans="4:4" ht="19.5" customHeight="1" x14ac:dyDescent="0.3">
      <c r="D398" s="70"/>
    </row>
    <row r="399" spans="4:4" ht="19.5" customHeight="1" x14ac:dyDescent="0.3">
      <c r="D399" s="70"/>
    </row>
    <row r="400" spans="4:4" ht="19.5" customHeight="1" x14ac:dyDescent="0.3">
      <c r="D400" s="70"/>
    </row>
    <row r="401" spans="4:4" ht="19.5" customHeight="1" x14ac:dyDescent="0.3">
      <c r="D401" s="70"/>
    </row>
    <row r="402" spans="4:4" ht="19.5" customHeight="1" x14ac:dyDescent="0.3">
      <c r="D402" s="70"/>
    </row>
    <row r="403" spans="4:4" ht="19.5" customHeight="1" x14ac:dyDescent="0.3">
      <c r="D403" s="70"/>
    </row>
    <row r="404" spans="4:4" ht="19.5" customHeight="1" x14ac:dyDescent="0.3">
      <c r="D404" s="70"/>
    </row>
    <row r="405" spans="4:4" ht="19.5" customHeight="1" x14ac:dyDescent="0.3">
      <c r="D405" s="70"/>
    </row>
    <row r="406" spans="4:4" ht="19.5" customHeight="1" x14ac:dyDescent="0.3">
      <c r="D406" s="70"/>
    </row>
    <row r="407" spans="4:4" ht="19.5" customHeight="1" x14ac:dyDescent="0.3">
      <c r="D407" s="70"/>
    </row>
    <row r="408" spans="4:4" ht="19.5" customHeight="1" x14ac:dyDescent="0.3">
      <c r="D408" s="70"/>
    </row>
    <row r="409" spans="4:4" ht="19.5" customHeight="1" x14ac:dyDescent="0.3">
      <c r="D409" s="70"/>
    </row>
    <row r="410" spans="4:4" ht="19.5" customHeight="1" x14ac:dyDescent="0.3">
      <c r="D410" s="70"/>
    </row>
    <row r="411" spans="4:4" ht="19.5" customHeight="1" x14ac:dyDescent="0.3">
      <c r="D411" s="70"/>
    </row>
    <row r="412" spans="4:4" ht="19.5" customHeight="1" x14ac:dyDescent="0.3">
      <c r="D412" s="70"/>
    </row>
    <row r="413" spans="4:4" ht="19.5" customHeight="1" x14ac:dyDescent="0.3">
      <c r="D413" s="70"/>
    </row>
    <row r="414" spans="4:4" ht="19.5" customHeight="1" x14ac:dyDescent="0.3">
      <c r="D414" s="70"/>
    </row>
    <row r="415" spans="4:4" ht="19.5" customHeight="1" x14ac:dyDescent="0.3">
      <c r="D415" s="70"/>
    </row>
    <row r="416" spans="4:4" ht="19.5" customHeight="1" x14ac:dyDescent="0.3">
      <c r="D416" s="70"/>
    </row>
    <row r="417" spans="4:4" ht="19.5" customHeight="1" x14ac:dyDescent="0.3">
      <c r="D417" s="70"/>
    </row>
    <row r="418" spans="4:4" ht="19.5" customHeight="1" x14ac:dyDescent="0.3">
      <c r="D418" s="70"/>
    </row>
    <row r="419" spans="4:4" ht="19.5" customHeight="1" x14ac:dyDescent="0.3">
      <c r="D419" s="70"/>
    </row>
    <row r="420" spans="4:4" ht="19.5" customHeight="1" x14ac:dyDescent="0.3">
      <c r="D420" s="70"/>
    </row>
    <row r="421" spans="4:4" ht="19.5" customHeight="1" x14ac:dyDescent="0.3">
      <c r="D421" s="70"/>
    </row>
    <row r="422" spans="4:4" ht="19.5" customHeight="1" x14ac:dyDescent="0.3">
      <c r="D422" s="70"/>
    </row>
    <row r="423" spans="4:4" ht="19.5" customHeight="1" x14ac:dyDescent="0.3">
      <c r="D423" s="70"/>
    </row>
    <row r="424" spans="4:4" ht="19.5" customHeight="1" x14ac:dyDescent="0.3">
      <c r="D424" s="70"/>
    </row>
    <row r="425" spans="4:4" ht="19.5" customHeight="1" x14ac:dyDescent="0.3">
      <c r="D425" s="70"/>
    </row>
    <row r="426" spans="4:4" ht="19.5" customHeight="1" x14ac:dyDescent="0.3">
      <c r="D426" s="70"/>
    </row>
    <row r="427" spans="4:4" ht="19.5" customHeight="1" x14ac:dyDescent="0.3">
      <c r="D427" s="70"/>
    </row>
    <row r="428" spans="4:4" ht="19.5" customHeight="1" x14ac:dyDescent="0.3">
      <c r="D428" s="70"/>
    </row>
    <row r="429" spans="4:4" ht="19.5" customHeight="1" x14ac:dyDescent="0.3">
      <c r="D429" s="70"/>
    </row>
    <row r="430" spans="4:4" ht="19.5" customHeight="1" x14ac:dyDescent="0.3">
      <c r="D430" s="70"/>
    </row>
    <row r="431" spans="4:4" ht="19.5" customHeight="1" x14ac:dyDescent="0.3">
      <c r="D431" s="70"/>
    </row>
    <row r="432" spans="4:4" ht="19.5" customHeight="1" x14ac:dyDescent="0.3">
      <c r="D432" s="70"/>
    </row>
    <row r="433" spans="4:4" ht="19.5" customHeight="1" x14ac:dyDescent="0.3">
      <c r="D433" s="70"/>
    </row>
    <row r="434" spans="4:4" ht="19.5" customHeight="1" x14ac:dyDescent="0.3">
      <c r="D434" s="70"/>
    </row>
    <row r="435" spans="4:4" ht="19.5" customHeight="1" x14ac:dyDescent="0.3">
      <c r="D435" s="70"/>
    </row>
    <row r="436" spans="4:4" ht="19.5" customHeight="1" x14ac:dyDescent="0.3">
      <c r="D436" s="70"/>
    </row>
    <row r="437" spans="4:4" ht="19.5" customHeight="1" x14ac:dyDescent="0.3">
      <c r="D437" s="70"/>
    </row>
    <row r="438" spans="4:4" ht="19.5" customHeight="1" x14ac:dyDescent="0.3">
      <c r="D438" s="70"/>
    </row>
    <row r="439" spans="4:4" ht="19.5" customHeight="1" x14ac:dyDescent="0.3">
      <c r="D439" s="70"/>
    </row>
    <row r="440" spans="4:4" ht="19.5" customHeight="1" x14ac:dyDescent="0.3">
      <c r="D440" s="70"/>
    </row>
    <row r="441" spans="4:4" ht="19.5" customHeight="1" x14ac:dyDescent="0.3">
      <c r="D441" s="70"/>
    </row>
    <row r="442" spans="4:4" ht="19.5" customHeight="1" x14ac:dyDescent="0.3">
      <c r="D442" s="70"/>
    </row>
    <row r="443" spans="4:4" ht="19.5" customHeight="1" x14ac:dyDescent="0.3">
      <c r="D443" s="70"/>
    </row>
    <row r="444" spans="4:4" ht="19.5" customHeight="1" x14ac:dyDescent="0.3">
      <c r="D444" s="70"/>
    </row>
    <row r="445" spans="4:4" ht="19.5" customHeight="1" x14ac:dyDescent="0.3">
      <c r="D445" s="70"/>
    </row>
    <row r="446" spans="4:4" ht="19.5" customHeight="1" x14ac:dyDescent="0.3">
      <c r="D446" s="70"/>
    </row>
    <row r="447" spans="4:4" ht="19.5" customHeight="1" x14ac:dyDescent="0.3">
      <c r="D447" s="70"/>
    </row>
    <row r="448" spans="4:4" ht="19.5" customHeight="1" x14ac:dyDescent="0.3">
      <c r="D448" s="70"/>
    </row>
    <row r="449" spans="4:4" ht="19.5" customHeight="1" x14ac:dyDescent="0.3">
      <c r="D449" s="70"/>
    </row>
    <row r="450" spans="4:4" ht="19.5" customHeight="1" x14ac:dyDescent="0.3">
      <c r="D450" s="70"/>
    </row>
    <row r="451" spans="4:4" ht="19.5" customHeight="1" x14ac:dyDescent="0.3">
      <c r="D451" s="70"/>
    </row>
    <row r="452" spans="4:4" ht="19.5" customHeight="1" x14ac:dyDescent="0.3">
      <c r="D452" s="70"/>
    </row>
    <row r="453" spans="4:4" ht="19.5" customHeight="1" x14ac:dyDescent="0.3">
      <c r="D453" s="70"/>
    </row>
    <row r="454" spans="4:4" ht="19.5" customHeight="1" x14ac:dyDescent="0.3">
      <c r="D454" s="70"/>
    </row>
    <row r="455" spans="4:4" ht="19.5" customHeight="1" x14ac:dyDescent="0.3">
      <c r="D455" s="70"/>
    </row>
    <row r="456" spans="4:4" ht="19.5" customHeight="1" x14ac:dyDescent="0.3">
      <c r="D456" s="70"/>
    </row>
    <row r="457" spans="4:4" ht="19.5" customHeight="1" x14ac:dyDescent="0.3">
      <c r="D457" s="70"/>
    </row>
    <row r="458" spans="4:4" ht="19.5" customHeight="1" x14ac:dyDescent="0.3">
      <c r="D458" s="70"/>
    </row>
    <row r="459" spans="4:4" ht="19.5" customHeight="1" x14ac:dyDescent="0.3">
      <c r="D459" s="70"/>
    </row>
    <row r="460" spans="4:4" ht="19.5" customHeight="1" x14ac:dyDescent="0.3">
      <c r="D460" s="70"/>
    </row>
    <row r="461" spans="4:4" ht="19.5" customHeight="1" x14ac:dyDescent="0.3">
      <c r="D461" s="70"/>
    </row>
    <row r="462" spans="4:4" ht="19.5" customHeight="1" x14ac:dyDescent="0.3">
      <c r="D462" s="70"/>
    </row>
    <row r="463" spans="4:4" ht="19.5" customHeight="1" x14ac:dyDescent="0.3">
      <c r="D463" s="70"/>
    </row>
    <row r="464" spans="4:4" ht="19.5" customHeight="1" x14ac:dyDescent="0.3">
      <c r="D464" s="70"/>
    </row>
    <row r="465" spans="4:4" ht="19.5" customHeight="1" x14ac:dyDescent="0.3">
      <c r="D465" s="70"/>
    </row>
    <row r="466" spans="4:4" ht="19.5" customHeight="1" x14ac:dyDescent="0.3">
      <c r="D466" s="70"/>
    </row>
    <row r="467" spans="4:4" ht="19.5" customHeight="1" x14ac:dyDescent="0.3">
      <c r="D467" s="70"/>
    </row>
    <row r="468" spans="4:4" ht="19.5" customHeight="1" x14ac:dyDescent="0.3">
      <c r="D468" s="70"/>
    </row>
    <row r="469" spans="4:4" ht="19.5" customHeight="1" x14ac:dyDescent="0.3">
      <c r="D469" s="70"/>
    </row>
    <row r="470" spans="4:4" ht="19.5" customHeight="1" x14ac:dyDescent="0.3">
      <c r="D470" s="70"/>
    </row>
    <row r="471" spans="4:4" ht="19.5" customHeight="1" x14ac:dyDescent="0.3">
      <c r="D471" s="70"/>
    </row>
    <row r="472" spans="4:4" ht="19.5" customHeight="1" x14ac:dyDescent="0.3">
      <c r="D472" s="70"/>
    </row>
    <row r="473" spans="4:4" ht="19.5" customHeight="1" x14ac:dyDescent="0.3">
      <c r="D473" s="70"/>
    </row>
    <row r="474" spans="4:4" ht="19.5" customHeight="1" x14ac:dyDescent="0.3">
      <c r="D474" s="70"/>
    </row>
    <row r="475" spans="4:4" ht="19.5" customHeight="1" x14ac:dyDescent="0.3">
      <c r="D475" s="70"/>
    </row>
    <row r="476" spans="4:4" ht="19.5" customHeight="1" x14ac:dyDescent="0.3">
      <c r="D476" s="70"/>
    </row>
    <row r="477" spans="4:4" ht="19.5" customHeight="1" x14ac:dyDescent="0.3">
      <c r="D477" s="70"/>
    </row>
    <row r="478" spans="4:4" ht="19.5" customHeight="1" x14ac:dyDescent="0.3">
      <c r="D478" s="70"/>
    </row>
    <row r="479" spans="4:4" ht="19.5" customHeight="1" x14ac:dyDescent="0.3">
      <c r="D479" s="70"/>
    </row>
    <row r="480" spans="4:4" ht="19.5" customHeight="1" x14ac:dyDescent="0.3">
      <c r="D480" s="70"/>
    </row>
    <row r="481" spans="4:4" ht="19.5" customHeight="1" x14ac:dyDescent="0.3">
      <c r="D481" s="70"/>
    </row>
    <row r="482" spans="4:4" ht="19.5" customHeight="1" x14ac:dyDescent="0.3">
      <c r="D482" s="70"/>
    </row>
    <row r="483" spans="4:4" ht="19.5" customHeight="1" x14ac:dyDescent="0.3">
      <c r="D483" s="70"/>
    </row>
    <row r="484" spans="4:4" ht="19.5" customHeight="1" x14ac:dyDescent="0.3">
      <c r="D484" s="70"/>
    </row>
    <row r="485" spans="4:4" ht="19.5" customHeight="1" x14ac:dyDescent="0.3">
      <c r="D485" s="70"/>
    </row>
    <row r="486" spans="4:4" ht="19.5" customHeight="1" x14ac:dyDescent="0.3">
      <c r="D486" s="70"/>
    </row>
    <row r="487" spans="4:4" ht="19.5" customHeight="1" x14ac:dyDescent="0.3">
      <c r="D487" s="70"/>
    </row>
    <row r="488" spans="4:4" ht="19.5" customHeight="1" x14ac:dyDescent="0.3">
      <c r="D488" s="70"/>
    </row>
    <row r="489" spans="4:4" ht="19.5" customHeight="1" x14ac:dyDescent="0.3">
      <c r="D489" s="70"/>
    </row>
    <row r="490" spans="4:4" ht="19.5" customHeight="1" x14ac:dyDescent="0.3">
      <c r="D490" s="70"/>
    </row>
    <row r="491" spans="4:4" ht="19.5" customHeight="1" x14ac:dyDescent="0.3">
      <c r="D491" s="70"/>
    </row>
    <row r="492" spans="4:4" ht="19.5" customHeight="1" x14ac:dyDescent="0.3">
      <c r="D492" s="70"/>
    </row>
    <row r="493" spans="4:4" ht="19.5" customHeight="1" x14ac:dyDescent="0.3">
      <c r="D493" s="70"/>
    </row>
    <row r="494" spans="4:4" ht="19.5" customHeight="1" x14ac:dyDescent="0.3">
      <c r="D494" s="70"/>
    </row>
    <row r="495" spans="4:4" ht="19.5" customHeight="1" x14ac:dyDescent="0.3">
      <c r="D495" s="70"/>
    </row>
    <row r="496" spans="4:4" ht="19.5" customHeight="1" x14ac:dyDescent="0.3">
      <c r="D496" s="70"/>
    </row>
    <row r="497" spans="4:4" ht="19.5" customHeight="1" x14ac:dyDescent="0.3">
      <c r="D497" s="70"/>
    </row>
    <row r="498" spans="4:4" ht="19.5" customHeight="1" x14ac:dyDescent="0.3">
      <c r="D498" s="70"/>
    </row>
    <row r="499" spans="4:4" ht="19.5" customHeight="1" x14ac:dyDescent="0.3">
      <c r="D499" s="70"/>
    </row>
    <row r="500" spans="4:4" ht="19.5" customHeight="1" x14ac:dyDescent="0.3">
      <c r="D500" s="70"/>
    </row>
    <row r="501" spans="4:4" ht="19.5" customHeight="1" x14ac:dyDescent="0.3">
      <c r="D501" s="70"/>
    </row>
    <row r="502" spans="4:4" ht="19.5" customHeight="1" x14ac:dyDescent="0.3">
      <c r="D502" s="70"/>
    </row>
    <row r="503" spans="4:4" ht="19.5" customHeight="1" x14ac:dyDescent="0.3">
      <c r="D503" s="70"/>
    </row>
    <row r="504" spans="4:4" ht="19.5" customHeight="1" x14ac:dyDescent="0.3">
      <c r="D504" s="70"/>
    </row>
    <row r="505" spans="4:4" ht="19.5" customHeight="1" x14ac:dyDescent="0.3">
      <c r="D505" s="70"/>
    </row>
    <row r="506" spans="4:4" ht="19.5" customHeight="1" x14ac:dyDescent="0.3">
      <c r="D506" s="70"/>
    </row>
    <row r="507" spans="4:4" ht="19.5" customHeight="1" x14ac:dyDescent="0.3">
      <c r="D507" s="70"/>
    </row>
    <row r="508" spans="4:4" ht="19.5" customHeight="1" x14ac:dyDescent="0.3">
      <c r="D508" s="70"/>
    </row>
    <row r="509" spans="4:4" ht="19.5" customHeight="1" x14ac:dyDescent="0.3">
      <c r="D509" s="70"/>
    </row>
    <row r="510" spans="4:4" ht="19.5" customHeight="1" x14ac:dyDescent="0.3">
      <c r="D510" s="70"/>
    </row>
    <row r="511" spans="4:4" ht="19.5" customHeight="1" x14ac:dyDescent="0.3">
      <c r="D511" s="70"/>
    </row>
    <row r="512" spans="4:4" ht="19.5" customHeight="1" x14ac:dyDescent="0.3">
      <c r="D512" s="70"/>
    </row>
    <row r="513" spans="4:4" ht="19.5" customHeight="1" x14ac:dyDescent="0.3">
      <c r="D513" s="70"/>
    </row>
    <row r="514" spans="4:4" ht="19.5" customHeight="1" x14ac:dyDescent="0.3">
      <c r="D514" s="70"/>
    </row>
    <row r="515" spans="4:4" ht="19.5" customHeight="1" x14ac:dyDescent="0.3">
      <c r="D515" s="70"/>
    </row>
    <row r="516" spans="4:4" ht="19.5" customHeight="1" x14ac:dyDescent="0.3">
      <c r="D516" s="70"/>
    </row>
    <row r="517" spans="4:4" ht="19.5" customHeight="1" x14ac:dyDescent="0.3">
      <c r="D517" s="70"/>
    </row>
    <row r="518" spans="4:4" ht="19.5" customHeight="1" x14ac:dyDescent="0.3">
      <c r="D518" s="70"/>
    </row>
    <row r="519" spans="4:4" ht="19.5" customHeight="1" x14ac:dyDescent="0.3">
      <c r="D519" s="70"/>
    </row>
    <row r="520" spans="4:4" ht="19.5" customHeight="1" x14ac:dyDescent="0.3">
      <c r="D520" s="70"/>
    </row>
    <row r="521" spans="4:4" ht="19.5" customHeight="1" x14ac:dyDescent="0.3">
      <c r="D521" s="70"/>
    </row>
    <row r="522" spans="4:4" ht="19.5" customHeight="1" x14ac:dyDescent="0.3">
      <c r="D522" s="70"/>
    </row>
    <row r="523" spans="4:4" ht="19.5" customHeight="1" x14ac:dyDescent="0.3">
      <c r="D523" s="70"/>
    </row>
    <row r="524" spans="4:4" ht="19.5" customHeight="1" x14ac:dyDescent="0.3">
      <c r="D524" s="70"/>
    </row>
    <row r="525" spans="4:4" ht="19.5" customHeight="1" x14ac:dyDescent="0.3">
      <c r="D525" s="70"/>
    </row>
    <row r="526" spans="4:4" ht="19.5" customHeight="1" x14ac:dyDescent="0.3">
      <c r="D526" s="70"/>
    </row>
    <row r="527" spans="4:4" ht="19.5" customHeight="1" x14ac:dyDescent="0.3">
      <c r="D527" s="70"/>
    </row>
    <row r="528" spans="4:4" ht="19.5" customHeight="1" x14ac:dyDescent="0.3">
      <c r="D528" s="70"/>
    </row>
    <row r="529" spans="4:4" ht="19.5" customHeight="1" x14ac:dyDescent="0.3">
      <c r="D529" s="70"/>
    </row>
    <row r="530" spans="4:4" ht="19.5" customHeight="1" x14ac:dyDescent="0.3">
      <c r="D530" s="70"/>
    </row>
    <row r="531" spans="4:4" ht="19.5" customHeight="1" x14ac:dyDescent="0.3">
      <c r="D531" s="70"/>
    </row>
    <row r="532" spans="4:4" ht="19.5" customHeight="1" x14ac:dyDescent="0.3">
      <c r="D532" s="70"/>
    </row>
    <row r="533" spans="4:4" ht="19.5" customHeight="1" x14ac:dyDescent="0.3">
      <c r="D533" s="70"/>
    </row>
    <row r="534" spans="4:4" ht="19.5" customHeight="1" x14ac:dyDescent="0.3">
      <c r="D534" s="70"/>
    </row>
    <row r="535" spans="4:4" ht="19.5" customHeight="1" x14ac:dyDescent="0.3">
      <c r="D535" s="70"/>
    </row>
    <row r="536" spans="4:4" ht="19.5" customHeight="1" x14ac:dyDescent="0.3">
      <c r="D536" s="70"/>
    </row>
    <row r="537" spans="4:4" ht="19.5" customHeight="1" x14ac:dyDescent="0.3">
      <c r="D537" s="70"/>
    </row>
    <row r="538" spans="4:4" ht="19.5" customHeight="1" x14ac:dyDescent="0.3">
      <c r="D538" s="70"/>
    </row>
    <row r="539" spans="4:4" ht="19.5" customHeight="1" x14ac:dyDescent="0.3">
      <c r="D539" s="70"/>
    </row>
    <row r="540" spans="4:4" ht="19.5" customHeight="1" x14ac:dyDescent="0.3">
      <c r="D540" s="70"/>
    </row>
    <row r="541" spans="4:4" ht="19.5" customHeight="1" x14ac:dyDescent="0.3">
      <c r="D541" s="70"/>
    </row>
    <row r="542" spans="4:4" ht="19.5" customHeight="1" x14ac:dyDescent="0.3">
      <c r="D542" s="70"/>
    </row>
    <row r="543" spans="4:4" ht="19.5" customHeight="1" x14ac:dyDescent="0.3">
      <c r="D543" s="70"/>
    </row>
    <row r="544" spans="4:4" ht="19.5" customHeight="1" x14ac:dyDescent="0.3">
      <c r="D544" s="70"/>
    </row>
    <row r="545" spans="4:4" ht="19.5" customHeight="1" x14ac:dyDescent="0.3">
      <c r="D545" s="70"/>
    </row>
    <row r="546" spans="4:4" ht="19.5" customHeight="1" x14ac:dyDescent="0.3">
      <c r="D546" s="70"/>
    </row>
    <row r="547" spans="4:4" ht="19.5" customHeight="1" x14ac:dyDescent="0.3">
      <c r="D547" s="70"/>
    </row>
    <row r="548" spans="4:4" ht="19.5" customHeight="1" x14ac:dyDescent="0.3">
      <c r="D548" s="70"/>
    </row>
    <row r="549" spans="4:4" ht="19.5" customHeight="1" x14ac:dyDescent="0.3">
      <c r="D549" s="70"/>
    </row>
    <row r="550" spans="4:4" ht="19.5" customHeight="1" x14ac:dyDescent="0.3">
      <c r="D550" s="70"/>
    </row>
    <row r="551" spans="4:4" ht="19.5" customHeight="1" x14ac:dyDescent="0.3">
      <c r="D551" s="70"/>
    </row>
    <row r="552" spans="4:4" ht="19.5" customHeight="1" x14ac:dyDescent="0.3">
      <c r="D552" s="70"/>
    </row>
    <row r="553" spans="4:4" ht="19.5" customHeight="1" x14ac:dyDescent="0.3">
      <c r="D553" s="70"/>
    </row>
    <row r="554" spans="4:4" ht="19.5" customHeight="1" x14ac:dyDescent="0.3">
      <c r="D554" s="70"/>
    </row>
    <row r="555" spans="4:4" ht="19.5" customHeight="1" x14ac:dyDescent="0.3">
      <c r="D555" s="70"/>
    </row>
    <row r="556" spans="4:4" ht="19.5" customHeight="1" x14ac:dyDescent="0.3">
      <c r="D556" s="70"/>
    </row>
    <row r="557" spans="4:4" ht="19.5" customHeight="1" x14ac:dyDescent="0.3">
      <c r="D557" s="70"/>
    </row>
    <row r="558" spans="4:4" ht="19.5" customHeight="1" x14ac:dyDescent="0.3">
      <c r="D558" s="70"/>
    </row>
    <row r="559" spans="4:4" ht="19.5" customHeight="1" x14ac:dyDescent="0.3">
      <c r="D559" s="70"/>
    </row>
    <row r="560" spans="4:4" ht="19.5" customHeight="1" x14ac:dyDescent="0.3">
      <c r="D560" s="70"/>
    </row>
    <row r="561" spans="4:4" ht="19.5" customHeight="1" x14ac:dyDescent="0.3">
      <c r="D561" s="70"/>
    </row>
    <row r="562" spans="4:4" ht="19.5" customHeight="1" x14ac:dyDescent="0.3">
      <c r="D562" s="70"/>
    </row>
    <row r="563" spans="4:4" ht="19.5" customHeight="1" x14ac:dyDescent="0.3">
      <c r="D563" s="70"/>
    </row>
    <row r="564" spans="4:4" ht="19.5" customHeight="1" x14ac:dyDescent="0.3">
      <c r="D564" s="70"/>
    </row>
    <row r="565" spans="4:4" ht="19.5" customHeight="1" x14ac:dyDescent="0.3">
      <c r="D565" s="70"/>
    </row>
    <row r="566" spans="4:4" ht="19.5" customHeight="1" x14ac:dyDescent="0.3">
      <c r="D566" s="70"/>
    </row>
    <row r="567" spans="4:4" ht="19.5" customHeight="1" x14ac:dyDescent="0.3">
      <c r="D567" s="70"/>
    </row>
    <row r="568" spans="4:4" ht="19.5" customHeight="1" x14ac:dyDescent="0.3">
      <c r="D568" s="70"/>
    </row>
    <row r="569" spans="4:4" ht="19.5" customHeight="1" x14ac:dyDescent="0.3">
      <c r="D569" s="70"/>
    </row>
    <row r="570" spans="4:4" ht="19.5" customHeight="1" x14ac:dyDescent="0.3">
      <c r="D570" s="70"/>
    </row>
    <row r="571" spans="4:4" ht="19.5" customHeight="1" x14ac:dyDescent="0.3">
      <c r="D571" s="70"/>
    </row>
    <row r="572" spans="4:4" ht="19.5" customHeight="1" x14ac:dyDescent="0.3">
      <c r="D572" s="70"/>
    </row>
    <row r="573" spans="4:4" ht="19.5" customHeight="1" x14ac:dyDescent="0.3">
      <c r="D573" s="70"/>
    </row>
    <row r="574" spans="4:4" ht="19.5" customHeight="1" x14ac:dyDescent="0.3">
      <c r="D574" s="70"/>
    </row>
    <row r="575" spans="4:4" ht="19.5" customHeight="1" x14ac:dyDescent="0.3">
      <c r="D575" s="70"/>
    </row>
    <row r="576" spans="4:4" ht="19.5" customHeight="1" x14ac:dyDescent="0.3">
      <c r="D576" s="70"/>
    </row>
    <row r="577" spans="4:4" ht="19.5" customHeight="1" x14ac:dyDescent="0.3">
      <c r="D577" s="70"/>
    </row>
    <row r="578" spans="4:4" ht="19.5" customHeight="1" x14ac:dyDescent="0.3">
      <c r="D578" s="70"/>
    </row>
    <row r="579" spans="4:4" ht="19.5" customHeight="1" x14ac:dyDescent="0.3">
      <c r="D579" s="70"/>
    </row>
    <row r="580" spans="4:4" ht="19.5" customHeight="1" x14ac:dyDescent="0.3">
      <c r="D580" s="70"/>
    </row>
    <row r="581" spans="4:4" ht="19.5" customHeight="1" x14ac:dyDescent="0.3">
      <c r="D581" s="70"/>
    </row>
    <row r="582" spans="4:4" ht="19.5" customHeight="1" x14ac:dyDescent="0.3">
      <c r="D582" s="70"/>
    </row>
    <row r="583" spans="4:4" ht="19.5" customHeight="1" x14ac:dyDescent="0.3">
      <c r="D583" s="70"/>
    </row>
    <row r="584" spans="4:4" ht="19.5" customHeight="1" x14ac:dyDescent="0.3">
      <c r="D584" s="70"/>
    </row>
    <row r="585" spans="4:4" ht="19.5" customHeight="1" x14ac:dyDescent="0.3">
      <c r="D585" s="70"/>
    </row>
    <row r="586" spans="4:4" ht="19.5" customHeight="1" x14ac:dyDescent="0.3">
      <c r="D586" s="70"/>
    </row>
    <row r="587" spans="4:4" ht="19.5" customHeight="1" x14ac:dyDescent="0.3">
      <c r="D587" s="70"/>
    </row>
    <row r="588" spans="4:4" ht="19.5" customHeight="1" x14ac:dyDescent="0.3">
      <c r="D588" s="70"/>
    </row>
    <row r="589" spans="4:4" ht="19.5" customHeight="1" x14ac:dyDescent="0.3">
      <c r="D589" s="70"/>
    </row>
    <row r="590" spans="4:4" ht="19.5" customHeight="1" x14ac:dyDescent="0.3">
      <c r="D590" s="70"/>
    </row>
    <row r="591" spans="4:4" ht="19.5" customHeight="1" x14ac:dyDescent="0.3">
      <c r="D591" s="70"/>
    </row>
    <row r="592" spans="4:4" ht="19.5" customHeight="1" x14ac:dyDescent="0.3">
      <c r="D592" s="70"/>
    </row>
    <row r="593" spans="4:4" ht="19.5" customHeight="1" x14ac:dyDescent="0.3">
      <c r="D593" s="70"/>
    </row>
    <row r="594" spans="4:4" ht="19.5" customHeight="1" x14ac:dyDescent="0.3">
      <c r="D594" s="70"/>
    </row>
    <row r="595" spans="4:4" ht="19.5" customHeight="1" x14ac:dyDescent="0.3">
      <c r="D595" s="70"/>
    </row>
    <row r="596" spans="4:4" ht="19.5" customHeight="1" x14ac:dyDescent="0.3">
      <c r="D596" s="70"/>
    </row>
    <row r="597" spans="4:4" ht="19.5" customHeight="1" x14ac:dyDescent="0.3">
      <c r="D597" s="70"/>
    </row>
    <row r="598" spans="4:4" ht="19.5" customHeight="1" x14ac:dyDescent="0.3">
      <c r="D598" s="70"/>
    </row>
    <row r="599" spans="4:4" ht="19.5" customHeight="1" x14ac:dyDescent="0.3">
      <c r="D599" s="70"/>
    </row>
    <row r="600" spans="4:4" ht="19.5" customHeight="1" x14ac:dyDescent="0.3">
      <c r="D600" s="70"/>
    </row>
    <row r="601" spans="4:4" ht="19.5" customHeight="1" x14ac:dyDescent="0.3">
      <c r="D601" s="70"/>
    </row>
    <row r="602" spans="4:4" ht="19.5" customHeight="1" x14ac:dyDescent="0.3">
      <c r="D602" s="70"/>
    </row>
    <row r="603" spans="4:4" ht="19.5" customHeight="1" x14ac:dyDescent="0.3">
      <c r="D603" s="70"/>
    </row>
    <row r="604" spans="4:4" ht="19.5" customHeight="1" x14ac:dyDescent="0.3">
      <c r="D604" s="70"/>
    </row>
    <row r="605" spans="4:4" ht="19.5" customHeight="1" x14ac:dyDescent="0.3">
      <c r="D605" s="70"/>
    </row>
    <row r="606" spans="4:4" ht="19.5" customHeight="1" x14ac:dyDescent="0.3">
      <c r="D606" s="70"/>
    </row>
    <row r="607" spans="4:4" ht="19.5" customHeight="1" x14ac:dyDescent="0.3">
      <c r="D607" s="70"/>
    </row>
    <row r="608" spans="4:4" ht="19.5" customHeight="1" x14ac:dyDescent="0.3">
      <c r="D608" s="70"/>
    </row>
    <row r="609" spans="4:4" ht="19.5" customHeight="1" x14ac:dyDescent="0.3">
      <c r="D609" s="70"/>
    </row>
    <row r="610" spans="4:4" ht="19.5" customHeight="1" x14ac:dyDescent="0.3">
      <c r="D610" s="70"/>
    </row>
    <row r="611" spans="4:4" ht="19.5" customHeight="1" x14ac:dyDescent="0.3">
      <c r="D611" s="70"/>
    </row>
    <row r="612" spans="4:4" ht="19.5" customHeight="1" x14ac:dyDescent="0.3">
      <c r="D612" s="70"/>
    </row>
    <row r="613" spans="4:4" ht="19.5" customHeight="1" x14ac:dyDescent="0.3">
      <c r="D613" s="70"/>
    </row>
    <row r="614" spans="4:4" ht="19.5" customHeight="1" x14ac:dyDescent="0.3">
      <c r="D614" s="70"/>
    </row>
    <row r="615" spans="4:4" ht="19.5" customHeight="1" x14ac:dyDescent="0.3">
      <c r="D615" s="70"/>
    </row>
    <row r="616" spans="4:4" ht="19.5" customHeight="1" x14ac:dyDescent="0.3">
      <c r="D616" s="70"/>
    </row>
    <row r="617" spans="4:4" ht="19.5" customHeight="1" x14ac:dyDescent="0.3">
      <c r="D617" s="70"/>
    </row>
    <row r="618" spans="4:4" ht="19.5" customHeight="1" x14ac:dyDescent="0.3">
      <c r="D618" s="70"/>
    </row>
    <row r="619" spans="4:4" ht="19.5" customHeight="1" x14ac:dyDescent="0.3">
      <c r="D619" s="70"/>
    </row>
    <row r="620" spans="4:4" ht="19.5" customHeight="1" x14ac:dyDescent="0.3">
      <c r="D620" s="70"/>
    </row>
    <row r="621" spans="4:4" ht="19.5" customHeight="1" x14ac:dyDescent="0.3">
      <c r="D621" s="70"/>
    </row>
    <row r="622" spans="4:4" ht="19.5" customHeight="1" x14ac:dyDescent="0.3">
      <c r="D622" s="70"/>
    </row>
    <row r="623" spans="4:4" ht="19.5" customHeight="1" x14ac:dyDescent="0.3">
      <c r="D623" s="70"/>
    </row>
    <row r="624" spans="4:4" ht="19.5" customHeight="1" x14ac:dyDescent="0.3">
      <c r="D624" s="70"/>
    </row>
    <row r="625" spans="4:4" ht="19.5" customHeight="1" x14ac:dyDescent="0.3">
      <c r="D625" s="70"/>
    </row>
    <row r="626" spans="4:4" ht="19.5" customHeight="1" x14ac:dyDescent="0.3">
      <c r="D626" s="70"/>
    </row>
    <row r="627" spans="4:4" ht="19.5" customHeight="1" x14ac:dyDescent="0.3">
      <c r="D627" s="70"/>
    </row>
    <row r="628" spans="4:4" ht="19.5" customHeight="1" x14ac:dyDescent="0.3">
      <c r="D628" s="70"/>
    </row>
    <row r="629" spans="4:4" ht="19.5" customHeight="1" x14ac:dyDescent="0.3">
      <c r="D629" s="70"/>
    </row>
    <row r="630" spans="4:4" ht="19.5" customHeight="1" x14ac:dyDescent="0.3">
      <c r="D630" s="70"/>
    </row>
    <row r="631" spans="4:4" ht="19.5" customHeight="1" x14ac:dyDescent="0.3">
      <c r="D631" s="70"/>
    </row>
    <row r="632" spans="4:4" ht="19.5" customHeight="1" x14ac:dyDescent="0.3">
      <c r="D632" s="70"/>
    </row>
    <row r="633" spans="4:4" ht="19.5" customHeight="1" x14ac:dyDescent="0.3">
      <c r="D633" s="70"/>
    </row>
    <row r="634" spans="4:4" ht="19.5" customHeight="1" x14ac:dyDescent="0.3">
      <c r="D634" s="70"/>
    </row>
    <row r="635" spans="4:4" ht="19.5" customHeight="1" x14ac:dyDescent="0.3">
      <c r="D635" s="70"/>
    </row>
    <row r="636" spans="4:4" ht="19.5" customHeight="1" x14ac:dyDescent="0.3">
      <c r="D636" s="70"/>
    </row>
    <row r="637" spans="4:4" ht="19.5" customHeight="1" x14ac:dyDescent="0.3">
      <c r="D637" s="70"/>
    </row>
    <row r="638" spans="4:4" ht="19.5" customHeight="1" x14ac:dyDescent="0.3">
      <c r="D638" s="70"/>
    </row>
    <row r="639" spans="4:4" ht="19.5" customHeight="1" x14ac:dyDescent="0.3">
      <c r="D639" s="70"/>
    </row>
    <row r="640" spans="4:4" ht="19.5" customHeight="1" x14ac:dyDescent="0.3">
      <c r="D640" s="70"/>
    </row>
    <row r="641" spans="4:4" ht="19.5" customHeight="1" x14ac:dyDescent="0.3">
      <c r="D641" s="70"/>
    </row>
    <row r="642" spans="4:4" ht="19.5" customHeight="1" x14ac:dyDescent="0.3">
      <c r="D642" s="70"/>
    </row>
    <row r="643" spans="4:4" ht="19.5" customHeight="1" x14ac:dyDescent="0.3">
      <c r="D643" s="70"/>
    </row>
    <row r="644" spans="4:4" ht="19.5" customHeight="1" x14ac:dyDescent="0.3">
      <c r="D644" s="70"/>
    </row>
    <row r="645" spans="4:4" ht="19.5" customHeight="1" x14ac:dyDescent="0.3">
      <c r="D645" s="70"/>
    </row>
    <row r="646" spans="4:4" ht="19.5" customHeight="1" x14ac:dyDescent="0.3">
      <c r="D646" s="70"/>
    </row>
    <row r="647" spans="4:4" ht="19.5" customHeight="1" x14ac:dyDescent="0.3">
      <c r="D647" s="70"/>
    </row>
    <row r="648" spans="4:4" ht="19.5" customHeight="1" x14ac:dyDescent="0.3">
      <c r="D648" s="70"/>
    </row>
    <row r="649" spans="4:4" ht="19.5" customHeight="1" x14ac:dyDescent="0.3">
      <c r="D649" s="70"/>
    </row>
    <row r="650" spans="4:4" ht="19.5" customHeight="1" x14ac:dyDescent="0.3">
      <c r="D650" s="70"/>
    </row>
    <row r="651" spans="4:4" ht="19.5" customHeight="1" x14ac:dyDescent="0.3">
      <c r="D651" s="70"/>
    </row>
    <row r="652" spans="4:4" ht="19.5" customHeight="1" x14ac:dyDescent="0.3">
      <c r="D652" s="70"/>
    </row>
    <row r="653" spans="4:4" ht="19.5" customHeight="1" x14ac:dyDescent="0.3">
      <c r="D653" s="70"/>
    </row>
    <row r="654" spans="4:4" ht="19.5" customHeight="1" x14ac:dyDescent="0.3">
      <c r="D654" s="70"/>
    </row>
    <row r="655" spans="4:4" ht="19.5" customHeight="1" x14ac:dyDescent="0.3">
      <c r="D655" s="70"/>
    </row>
    <row r="656" spans="4:4" ht="19.5" customHeight="1" x14ac:dyDescent="0.3">
      <c r="D656" s="70"/>
    </row>
    <row r="657" spans="4:4" ht="19.5" customHeight="1" x14ac:dyDescent="0.3">
      <c r="D657" s="70"/>
    </row>
    <row r="658" spans="4:4" ht="19.5" customHeight="1" x14ac:dyDescent="0.3">
      <c r="D658" s="70"/>
    </row>
    <row r="659" spans="4:4" ht="19.5" customHeight="1" x14ac:dyDescent="0.3">
      <c r="D659" s="70"/>
    </row>
    <row r="660" spans="4:4" ht="19.5" customHeight="1" x14ac:dyDescent="0.3">
      <c r="D660" s="70"/>
    </row>
    <row r="661" spans="4:4" ht="19.5" customHeight="1" x14ac:dyDescent="0.3">
      <c r="D661" s="70"/>
    </row>
    <row r="662" spans="4:4" ht="19.5" customHeight="1" x14ac:dyDescent="0.3">
      <c r="D662" s="70"/>
    </row>
    <row r="663" spans="4:4" ht="19.5" customHeight="1" x14ac:dyDescent="0.3">
      <c r="D663" s="70"/>
    </row>
    <row r="664" spans="4:4" ht="19.5" customHeight="1" x14ac:dyDescent="0.3">
      <c r="D664" s="70"/>
    </row>
    <row r="665" spans="4:4" ht="19.5" customHeight="1" x14ac:dyDescent="0.3">
      <c r="D665" s="70"/>
    </row>
    <row r="666" spans="4:4" ht="19.5" customHeight="1" x14ac:dyDescent="0.3">
      <c r="D666" s="70"/>
    </row>
    <row r="667" spans="4:4" ht="19.5" customHeight="1" x14ac:dyDescent="0.3">
      <c r="D667" s="70"/>
    </row>
    <row r="668" spans="4:4" ht="19.5" customHeight="1" x14ac:dyDescent="0.3">
      <c r="D668" s="70"/>
    </row>
    <row r="669" spans="4:4" ht="19.5" customHeight="1" x14ac:dyDescent="0.3">
      <c r="D669" s="70"/>
    </row>
    <row r="670" spans="4:4" ht="19.5" customHeight="1" x14ac:dyDescent="0.3">
      <c r="D670" s="70"/>
    </row>
    <row r="671" spans="4:4" ht="19.5" customHeight="1" x14ac:dyDescent="0.3">
      <c r="D671" s="70"/>
    </row>
    <row r="672" spans="4:4" ht="19.5" customHeight="1" x14ac:dyDescent="0.3">
      <c r="D672" s="70"/>
    </row>
    <row r="673" spans="4:4" ht="19.5" customHeight="1" x14ac:dyDescent="0.3">
      <c r="D673" s="70"/>
    </row>
    <row r="674" spans="4:4" ht="19.5" customHeight="1" x14ac:dyDescent="0.3">
      <c r="D674" s="70"/>
    </row>
    <row r="675" spans="4:4" ht="19.5" customHeight="1" x14ac:dyDescent="0.3">
      <c r="D675" s="70"/>
    </row>
    <row r="676" spans="4:4" ht="19.5" customHeight="1" x14ac:dyDescent="0.3">
      <c r="D676" s="70"/>
    </row>
    <row r="677" spans="4:4" ht="19.5" customHeight="1" x14ac:dyDescent="0.3">
      <c r="D677" s="70"/>
    </row>
    <row r="678" spans="4:4" ht="19.5" customHeight="1" x14ac:dyDescent="0.3">
      <c r="D678" s="70"/>
    </row>
    <row r="679" spans="4:4" ht="19.5" customHeight="1" x14ac:dyDescent="0.3">
      <c r="D679" s="70"/>
    </row>
    <row r="680" spans="4:4" ht="19.5" customHeight="1" x14ac:dyDescent="0.3">
      <c r="D680" s="70"/>
    </row>
    <row r="681" spans="4:4" ht="19.5" customHeight="1" x14ac:dyDescent="0.3">
      <c r="D681" s="70"/>
    </row>
    <row r="682" spans="4:4" ht="19.5" customHeight="1" x14ac:dyDescent="0.3">
      <c r="D682" s="70"/>
    </row>
    <row r="683" spans="4:4" ht="19.5" customHeight="1" x14ac:dyDescent="0.3">
      <c r="D683" s="70"/>
    </row>
    <row r="684" spans="4:4" ht="19.5" customHeight="1" x14ac:dyDescent="0.3">
      <c r="D684" s="70"/>
    </row>
    <row r="685" spans="4:4" ht="19.5" customHeight="1" x14ac:dyDescent="0.3">
      <c r="D685" s="70"/>
    </row>
    <row r="686" spans="4:4" ht="19.5" customHeight="1" x14ac:dyDescent="0.3">
      <c r="D686" s="70"/>
    </row>
    <row r="687" spans="4:4" ht="19.5" customHeight="1" x14ac:dyDescent="0.3">
      <c r="D687" s="70"/>
    </row>
    <row r="688" spans="4:4" ht="19.5" customHeight="1" x14ac:dyDescent="0.3">
      <c r="D688" s="70"/>
    </row>
    <row r="689" spans="4:4" ht="19.5" customHeight="1" x14ac:dyDescent="0.3">
      <c r="D689" s="70"/>
    </row>
    <row r="690" spans="4:4" ht="19.5" customHeight="1" x14ac:dyDescent="0.3">
      <c r="D690" s="70"/>
    </row>
    <row r="691" spans="4:4" ht="19.5" customHeight="1" x14ac:dyDescent="0.3">
      <c r="D691" s="70"/>
    </row>
    <row r="692" spans="4:4" ht="19.5" customHeight="1" x14ac:dyDescent="0.3">
      <c r="D692" s="70"/>
    </row>
    <row r="693" spans="4:4" ht="19.5" customHeight="1" x14ac:dyDescent="0.3">
      <c r="D693" s="70"/>
    </row>
    <row r="694" spans="4:4" ht="19.5" customHeight="1" x14ac:dyDescent="0.3">
      <c r="D694" s="70"/>
    </row>
    <row r="695" spans="4:4" ht="19.5" customHeight="1" x14ac:dyDescent="0.3">
      <c r="D695" s="70"/>
    </row>
    <row r="696" spans="4:4" ht="19.5" customHeight="1" x14ac:dyDescent="0.3">
      <c r="D696" s="70"/>
    </row>
    <row r="697" spans="4:4" ht="19.5" customHeight="1" x14ac:dyDescent="0.3">
      <c r="D697" s="70"/>
    </row>
    <row r="698" spans="4:4" ht="19.5" customHeight="1" x14ac:dyDescent="0.3">
      <c r="D698" s="70"/>
    </row>
    <row r="699" spans="4:4" ht="19.5" customHeight="1" x14ac:dyDescent="0.3">
      <c r="D699" s="70"/>
    </row>
    <row r="700" spans="4:4" ht="19.5" customHeight="1" x14ac:dyDescent="0.3">
      <c r="D700" s="70"/>
    </row>
    <row r="701" spans="4:4" ht="19.5" customHeight="1" x14ac:dyDescent="0.3">
      <c r="D701" s="70"/>
    </row>
    <row r="702" spans="4:4" ht="19.5" customHeight="1" x14ac:dyDescent="0.3">
      <c r="D702" s="70"/>
    </row>
    <row r="703" spans="4:4" ht="19.5" customHeight="1" x14ac:dyDescent="0.3">
      <c r="D703" s="70"/>
    </row>
    <row r="704" spans="4:4" ht="19.5" customHeight="1" x14ac:dyDescent="0.3">
      <c r="D704" s="70"/>
    </row>
    <row r="705" spans="4:4" ht="19.5" customHeight="1" x14ac:dyDescent="0.3">
      <c r="D705" s="70"/>
    </row>
    <row r="706" spans="4:4" ht="19.5" customHeight="1" x14ac:dyDescent="0.3">
      <c r="D706" s="70"/>
    </row>
    <row r="707" spans="4:4" ht="19.5" customHeight="1" x14ac:dyDescent="0.3">
      <c r="D707" s="70"/>
    </row>
    <row r="708" spans="4:4" ht="19.5" customHeight="1" x14ac:dyDescent="0.3">
      <c r="D708" s="70"/>
    </row>
    <row r="709" spans="4:4" ht="19.5" customHeight="1" x14ac:dyDescent="0.3">
      <c r="D709" s="70"/>
    </row>
    <row r="710" spans="4:4" ht="19.5" customHeight="1" x14ac:dyDescent="0.3">
      <c r="D710" s="70"/>
    </row>
    <row r="711" spans="4:4" ht="19.5" customHeight="1" x14ac:dyDescent="0.3">
      <c r="D711" s="70"/>
    </row>
    <row r="712" spans="4:4" ht="19.5" customHeight="1" x14ac:dyDescent="0.3">
      <c r="D712" s="70"/>
    </row>
    <row r="713" spans="4:4" ht="19.5" customHeight="1" x14ac:dyDescent="0.3">
      <c r="D713" s="70"/>
    </row>
  </sheetData>
  <mergeCells count="5">
    <mergeCell ref="B1:F1"/>
    <mergeCell ref="B3:F3"/>
    <mergeCell ref="B10:B11"/>
    <mergeCell ref="B2:E2"/>
    <mergeCell ref="B9:E9"/>
  </mergeCells>
  <pageMargins left="0.5" right="0.5" top="0.5" bottom="0.5" header="0" footer="0"/>
  <pageSetup scale="55" fitToWidth="2" fitToHeight="0" orientation="portrait" r:id="rId1"/>
  <headerFooter>
    <oddHeader>&amp;L&amp;"+,Regular"&amp;16&amp;K04+035Customer&amp;"-,Regular"&amp;K01+000 Contacts</oddHead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autoPageBreaks="0"/>
  </sheetPr>
  <dimension ref="A1:XFD1740"/>
  <sheetViews>
    <sheetView showGridLines="0" view="pageBreakPreview" zoomScaleNormal="10" zoomScaleSheetLayoutView="100" zoomScalePageLayoutView="70" workbookViewId="0">
      <selection activeCell="H42" sqref="H42"/>
    </sheetView>
  </sheetViews>
  <sheetFormatPr baseColWidth="10" defaultColWidth="8.109375" defaultRowHeight="19.5" customHeight="1" x14ac:dyDescent="0.3"/>
  <cols>
    <col min="1" max="1" width="10.109375" style="313" customWidth="1"/>
    <col min="2" max="2" width="63.88671875" style="296" customWidth="1"/>
    <col min="3" max="3" width="13.44140625" style="75" customWidth="1"/>
    <col min="4" max="4" width="11.6640625" style="75" customWidth="1"/>
    <col min="5" max="5" width="15.6640625" style="126" customWidth="1"/>
    <col min="6" max="6" width="17" style="295" customWidth="1"/>
    <col min="7" max="7" width="13.109375" style="25" customWidth="1"/>
    <col min="8" max="8" width="9.6640625" style="25" bestFit="1" customWidth="1"/>
    <col min="9" max="9" width="10.6640625" style="25" customWidth="1"/>
    <col min="10" max="16384" width="8.109375" style="25"/>
  </cols>
  <sheetData>
    <row r="1" spans="1:5" ht="12" customHeight="1" x14ac:dyDescent="0.3">
      <c r="A1" s="312"/>
    </row>
    <row r="2" spans="1:5" ht="30" x14ac:dyDescent="0.3">
      <c r="A2" s="884" t="s">
        <v>149</v>
      </c>
      <c r="B2" s="884"/>
      <c r="C2" s="884"/>
      <c r="D2" s="884"/>
      <c r="E2" s="884"/>
    </row>
    <row r="3" spans="1:5" ht="12" customHeight="1" x14ac:dyDescent="0.3"/>
    <row r="4" spans="1:5" ht="22.8" x14ac:dyDescent="0.3">
      <c r="A4" s="885" t="s">
        <v>150</v>
      </c>
      <c r="B4" s="885"/>
      <c r="C4" s="885"/>
      <c r="D4" s="885"/>
      <c r="E4" s="885"/>
    </row>
    <row r="5" spans="1:5" ht="29.25" customHeight="1" x14ac:dyDescent="0.3">
      <c r="A5" s="128" t="s">
        <v>151</v>
      </c>
      <c r="B5" s="297" t="s">
        <v>20</v>
      </c>
      <c r="C5" s="128" t="s">
        <v>21</v>
      </c>
      <c r="D5" s="128" t="s">
        <v>29</v>
      </c>
      <c r="E5" s="298" t="s">
        <v>152</v>
      </c>
    </row>
    <row r="6" spans="1:5" ht="18" customHeight="1" x14ac:dyDescent="0.3">
      <c r="A6" s="129" t="s">
        <v>153</v>
      </c>
      <c r="B6" s="127" t="s">
        <v>154</v>
      </c>
      <c r="C6" s="128" t="s">
        <v>155</v>
      </c>
      <c r="D6" s="128">
        <v>1</v>
      </c>
      <c r="E6" s="126">
        <f>MO!F35</f>
        <v>106303</v>
      </c>
    </row>
    <row r="7" spans="1:5" ht="18" customHeight="1" x14ac:dyDescent="0.3">
      <c r="A7" s="129" t="s">
        <v>156</v>
      </c>
      <c r="B7" s="127" t="s">
        <v>157</v>
      </c>
      <c r="C7" s="128" t="s">
        <v>155</v>
      </c>
      <c r="D7" s="128">
        <v>1</v>
      </c>
      <c r="E7" s="126">
        <f>MO!F33</f>
        <v>59057</v>
      </c>
    </row>
    <row r="8" spans="1:5" ht="18" customHeight="1" x14ac:dyDescent="0.3">
      <c r="A8" s="129" t="s">
        <v>158</v>
      </c>
      <c r="B8" s="127" t="s">
        <v>159</v>
      </c>
      <c r="C8" s="128" t="s">
        <v>155</v>
      </c>
      <c r="D8" s="128">
        <v>1</v>
      </c>
      <c r="E8" s="126">
        <f>MO!F34</f>
        <v>82680</v>
      </c>
    </row>
    <row r="9" spans="1:5" ht="18" customHeight="1" x14ac:dyDescent="0.3">
      <c r="A9" s="129" t="s">
        <v>160</v>
      </c>
      <c r="B9" s="127" t="s">
        <v>137</v>
      </c>
      <c r="C9" s="128" t="s">
        <v>155</v>
      </c>
      <c r="D9" s="128">
        <v>1</v>
      </c>
      <c r="E9" s="126">
        <f>MO!F51</f>
        <v>342531</v>
      </c>
    </row>
    <row r="10" spans="1:5" ht="18" customHeight="1" x14ac:dyDescent="0.3">
      <c r="A10" s="129" t="s">
        <v>161</v>
      </c>
      <c r="B10" s="127" t="s">
        <v>138</v>
      </c>
      <c r="C10" s="128" t="s">
        <v>155</v>
      </c>
      <c r="D10" s="128">
        <v>1</v>
      </c>
      <c r="E10" s="126">
        <f>MO!F52</f>
        <v>313003</v>
      </c>
    </row>
    <row r="11" spans="1:5" ht="18" customHeight="1" x14ac:dyDescent="0.3">
      <c r="A11" s="129" t="s">
        <v>162</v>
      </c>
      <c r="B11" s="127" t="s">
        <v>163</v>
      </c>
      <c r="C11" s="128" t="s">
        <v>155</v>
      </c>
      <c r="D11" s="128">
        <v>1</v>
      </c>
      <c r="E11" s="126">
        <f>MO!F42</f>
        <v>118115</v>
      </c>
    </row>
    <row r="12" spans="1:5" ht="18" customHeight="1" x14ac:dyDescent="0.3">
      <c r="A12" s="129" t="s">
        <v>164</v>
      </c>
      <c r="B12" s="127" t="s">
        <v>146</v>
      </c>
      <c r="C12" s="128" t="s">
        <v>155</v>
      </c>
      <c r="D12" s="128">
        <v>1</v>
      </c>
      <c r="E12" s="126">
        <f>MO!F60</f>
        <v>188983</v>
      </c>
    </row>
    <row r="13" spans="1:5" ht="18" customHeight="1" x14ac:dyDescent="0.3">
      <c r="A13" s="129" t="s">
        <v>165</v>
      </c>
      <c r="B13" s="127" t="s">
        <v>139</v>
      </c>
      <c r="C13" s="128" t="s">
        <v>155</v>
      </c>
      <c r="D13" s="128">
        <v>1</v>
      </c>
      <c r="E13" s="126">
        <f>MO!F53</f>
        <v>397158</v>
      </c>
    </row>
    <row r="14" spans="1:5" ht="18" customHeight="1" x14ac:dyDescent="0.3">
      <c r="A14" s="129" t="s">
        <v>166</v>
      </c>
      <c r="B14" s="127" t="s">
        <v>167</v>
      </c>
      <c r="C14" s="128" t="s">
        <v>168</v>
      </c>
      <c r="D14" s="128" t="s">
        <v>169</v>
      </c>
      <c r="E14" s="126">
        <v>0</v>
      </c>
    </row>
    <row r="15" spans="1:5" ht="18" customHeight="1" x14ac:dyDescent="0.3">
      <c r="A15" s="129" t="s">
        <v>170</v>
      </c>
      <c r="B15" s="127" t="s">
        <v>133</v>
      </c>
      <c r="C15" s="128" t="s">
        <v>171</v>
      </c>
      <c r="D15" s="128">
        <v>1</v>
      </c>
      <c r="E15" s="126">
        <f>+MO!E47</f>
        <v>4570983</v>
      </c>
    </row>
    <row r="16" spans="1:5" ht="18" customHeight="1" x14ac:dyDescent="0.3">
      <c r="A16" s="129" t="s">
        <v>172</v>
      </c>
      <c r="B16" s="127" t="s">
        <v>140</v>
      </c>
      <c r="C16" s="128" t="s">
        <v>155</v>
      </c>
      <c r="D16" s="128">
        <v>1</v>
      </c>
      <c r="E16" s="126">
        <f>MO!F54</f>
        <v>519702</v>
      </c>
    </row>
    <row r="17" spans="1:10" ht="18" customHeight="1" x14ac:dyDescent="0.3">
      <c r="A17" s="129" t="s">
        <v>173</v>
      </c>
      <c r="B17" s="127" t="s">
        <v>141</v>
      </c>
      <c r="C17" s="128" t="s">
        <v>155</v>
      </c>
      <c r="D17" s="128">
        <v>1</v>
      </c>
      <c r="E17" s="126">
        <f>MO!F55</f>
        <v>448834</v>
      </c>
    </row>
    <row r="18" spans="1:10" ht="18" customHeight="1" x14ac:dyDescent="0.3">
      <c r="A18" s="129" t="s">
        <v>174</v>
      </c>
      <c r="B18" s="127" t="s">
        <v>135</v>
      </c>
      <c r="C18" s="128" t="s">
        <v>155</v>
      </c>
      <c r="D18" s="128">
        <v>1</v>
      </c>
      <c r="E18" s="126">
        <f>MO!F49</f>
        <v>165360</v>
      </c>
    </row>
    <row r="19" spans="1:10" ht="18" customHeight="1" x14ac:dyDescent="0.3">
      <c r="A19" s="129" t="s">
        <v>175</v>
      </c>
      <c r="B19" s="127" t="s">
        <v>142</v>
      </c>
      <c r="C19" s="128" t="s">
        <v>155</v>
      </c>
      <c r="D19" s="128">
        <v>1</v>
      </c>
      <c r="E19" s="126">
        <f>MO!F56</f>
        <v>874046</v>
      </c>
    </row>
    <row r="20" spans="1:10" ht="18" customHeight="1" x14ac:dyDescent="0.3">
      <c r="A20" s="129" t="s">
        <v>176</v>
      </c>
      <c r="B20" s="127" t="s">
        <v>136</v>
      </c>
      <c r="C20" s="128" t="s">
        <v>155</v>
      </c>
      <c r="D20" s="128">
        <v>1</v>
      </c>
      <c r="E20" s="126">
        <f>MO!F50</f>
        <v>224417</v>
      </c>
    </row>
    <row r="21" spans="1:10" ht="18" customHeight="1" x14ac:dyDescent="0.3">
      <c r="A21" s="129" t="s">
        <v>177</v>
      </c>
      <c r="B21" s="127" t="s">
        <v>143</v>
      </c>
      <c r="C21" s="128" t="s">
        <v>155</v>
      </c>
      <c r="D21" s="128">
        <v>1</v>
      </c>
      <c r="E21" s="126">
        <f>MO!F57</f>
        <v>236228</v>
      </c>
    </row>
    <row r="22" spans="1:10" ht="18" customHeight="1" x14ac:dyDescent="0.3">
      <c r="A22" s="129" t="s">
        <v>178</v>
      </c>
      <c r="B22" s="127" t="s">
        <v>179</v>
      </c>
      <c r="C22" s="128" t="s">
        <v>155</v>
      </c>
      <c r="D22" s="128">
        <v>1</v>
      </c>
      <c r="E22" s="126">
        <f>+MO!F48</f>
        <v>87066</v>
      </c>
    </row>
    <row r="23" spans="1:10" ht="18" customHeight="1" x14ac:dyDescent="0.3">
      <c r="A23" s="129" t="s">
        <v>180</v>
      </c>
      <c r="B23" s="127" t="s">
        <v>144</v>
      </c>
      <c r="C23" s="128" t="s">
        <v>155</v>
      </c>
      <c r="D23" s="128">
        <v>1</v>
      </c>
      <c r="E23" s="126">
        <f>MO!F58</f>
        <v>205181</v>
      </c>
    </row>
    <row r="24" spans="1:10" ht="18" customHeight="1" x14ac:dyDescent="0.3">
      <c r="A24" s="129" t="s">
        <v>181</v>
      </c>
      <c r="B24" s="127" t="s">
        <v>145</v>
      </c>
      <c r="C24" s="128" t="s">
        <v>155</v>
      </c>
      <c r="D24" s="128">
        <v>1</v>
      </c>
      <c r="E24" s="126">
        <f>MO!F59</f>
        <v>292247</v>
      </c>
    </row>
    <row r="25" spans="1:10" ht="18" customHeight="1" x14ac:dyDescent="0.3">
      <c r="A25" s="129" t="s">
        <v>182</v>
      </c>
      <c r="B25" s="127" t="s">
        <v>147</v>
      </c>
      <c r="C25" s="128" t="s">
        <v>155</v>
      </c>
      <c r="D25" s="128">
        <v>1</v>
      </c>
      <c r="E25" s="126">
        <f>MO!F61</f>
        <v>685062</v>
      </c>
    </row>
    <row r="26" spans="1:10" ht="19.5" customHeight="1" x14ac:dyDescent="0.3">
      <c r="A26" s="886" t="s">
        <v>183</v>
      </c>
      <c r="B26" s="886"/>
      <c r="C26" s="886"/>
      <c r="D26" s="886"/>
      <c r="E26" s="886"/>
      <c r="F26" s="314"/>
    </row>
    <row r="27" spans="1:10" ht="21" customHeight="1" x14ac:dyDescent="0.3">
      <c r="A27" s="886"/>
      <c r="B27" s="886"/>
      <c r="C27" s="886"/>
      <c r="D27" s="886"/>
      <c r="E27" s="886"/>
      <c r="F27" s="314"/>
    </row>
    <row r="28" spans="1:10" ht="26.25" customHeight="1" x14ac:dyDescent="0.3">
      <c r="A28" s="313" t="s">
        <v>151</v>
      </c>
      <c r="B28" s="296" t="s">
        <v>20</v>
      </c>
      <c r="C28" s="75" t="s">
        <v>21</v>
      </c>
      <c r="D28" s="75" t="s">
        <v>29</v>
      </c>
      <c r="E28" s="298" t="s">
        <v>152</v>
      </c>
      <c r="F28" s="315" t="s">
        <v>184</v>
      </c>
    </row>
    <row r="29" spans="1:10" ht="18.75" customHeight="1" x14ac:dyDescent="0.3">
      <c r="A29" s="312"/>
      <c r="B29" s="299"/>
      <c r="C29" s="300"/>
      <c r="D29" s="300"/>
      <c r="E29" s="139">
        <v>7.0000000000000007E-2</v>
      </c>
      <c r="F29" s="314"/>
    </row>
    <row r="30" spans="1:10" ht="27.75" customHeight="1" x14ac:dyDescent="0.3">
      <c r="A30" s="129" t="s">
        <v>185</v>
      </c>
      <c r="B30" s="127" t="s">
        <v>186</v>
      </c>
      <c r="C30" s="128" t="s">
        <v>187</v>
      </c>
      <c r="D30" s="128">
        <v>1</v>
      </c>
      <c r="E30" s="126">
        <f>+F30*(1+$E$29)</f>
        <v>24610</v>
      </c>
      <c r="F30" s="295">
        <v>23000</v>
      </c>
      <c r="J30" s="301"/>
    </row>
    <row r="31" spans="1:10" ht="19.5" customHeight="1" x14ac:dyDescent="0.3">
      <c r="A31" s="129" t="s">
        <v>188</v>
      </c>
      <c r="B31" s="127" t="s">
        <v>189</v>
      </c>
      <c r="C31" s="128" t="s">
        <v>190</v>
      </c>
      <c r="D31" s="128" t="s">
        <v>191</v>
      </c>
      <c r="E31" s="126">
        <f t="shared" ref="E31:E95" si="0">+F31*(1+$E$29)</f>
        <v>1605</v>
      </c>
      <c r="F31" s="295">
        <v>1500</v>
      </c>
      <c r="G31" s="302"/>
      <c r="J31" s="301"/>
    </row>
    <row r="32" spans="1:10" ht="19.5" customHeight="1" x14ac:dyDescent="0.3">
      <c r="A32" s="129" t="s">
        <v>192</v>
      </c>
      <c r="B32" s="127" t="s">
        <v>193</v>
      </c>
      <c r="C32" s="128" t="s">
        <v>26</v>
      </c>
      <c r="D32" s="128">
        <v>1</v>
      </c>
      <c r="E32" s="126">
        <f t="shared" si="0"/>
        <v>7490</v>
      </c>
      <c r="F32" s="295">
        <v>7000</v>
      </c>
      <c r="J32" s="301"/>
    </row>
    <row r="33" spans="1:10" ht="19.5" customHeight="1" x14ac:dyDescent="0.3">
      <c r="A33" s="129" t="s">
        <v>194</v>
      </c>
      <c r="B33" s="127" t="s">
        <v>195</v>
      </c>
      <c r="C33" s="128" t="s">
        <v>190</v>
      </c>
      <c r="D33" s="128" t="s">
        <v>191</v>
      </c>
      <c r="E33" s="126">
        <f t="shared" si="0"/>
        <v>0</v>
      </c>
      <c r="F33" s="295">
        <v>0</v>
      </c>
      <c r="J33" s="301"/>
    </row>
    <row r="34" spans="1:10" ht="19.5" customHeight="1" x14ac:dyDescent="0.3">
      <c r="A34" s="129" t="s">
        <v>196</v>
      </c>
      <c r="B34" s="127" t="s">
        <v>197</v>
      </c>
      <c r="C34" s="128" t="s">
        <v>190</v>
      </c>
      <c r="D34" s="128" t="s">
        <v>191</v>
      </c>
      <c r="E34" s="126">
        <f t="shared" si="0"/>
        <v>1284</v>
      </c>
      <c r="F34" s="295">
        <v>1200</v>
      </c>
      <c r="J34" s="301"/>
    </row>
    <row r="35" spans="1:10" s="50" customFormat="1" ht="19.5" customHeight="1" x14ac:dyDescent="0.3">
      <c r="A35" s="131" t="s">
        <v>198</v>
      </c>
      <c r="B35" s="127" t="s">
        <v>199</v>
      </c>
      <c r="C35" s="128" t="s">
        <v>190</v>
      </c>
      <c r="D35" s="50" t="s">
        <v>191</v>
      </c>
      <c r="E35" s="126">
        <f t="shared" si="0"/>
        <v>0</v>
      </c>
      <c r="F35" s="295">
        <v>0</v>
      </c>
      <c r="I35" s="25"/>
      <c r="J35" s="301"/>
    </row>
    <row r="36" spans="1:10" ht="19.5" customHeight="1" x14ac:dyDescent="0.3">
      <c r="A36" s="129" t="s">
        <v>200</v>
      </c>
      <c r="B36" s="127" t="s">
        <v>201</v>
      </c>
      <c r="C36" s="128" t="s">
        <v>26</v>
      </c>
      <c r="D36" s="128">
        <v>1</v>
      </c>
      <c r="E36" s="126">
        <f t="shared" si="0"/>
        <v>5885</v>
      </c>
      <c r="F36" s="295">
        <v>5500</v>
      </c>
      <c r="J36" s="301"/>
    </row>
    <row r="37" spans="1:10" ht="19.5" customHeight="1" x14ac:dyDescent="0.3">
      <c r="A37" s="129" t="s">
        <v>202</v>
      </c>
      <c r="B37" s="127" t="s">
        <v>203</v>
      </c>
      <c r="C37" s="128" t="s">
        <v>26</v>
      </c>
      <c r="D37" s="128">
        <v>1</v>
      </c>
      <c r="E37" s="126">
        <f t="shared" si="0"/>
        <v>11235</v>
      </c>
      <c r="F37" s="295">
        <v>10500</v>
      </c>
      <c r="J37" s="301"/>
    </row>
    <row r="38" spans="1:10" ht="19.5" customHeight="1" x14ac:dyDescent="0.3">
      <c r="A38" s="129" t="s">
        <v>204</v>
      </c>
      <c r="B38" s="127" t="s">
        <v>205</v>
      </c>
      <c r="C38" s="128" t="s">
        <v>26</v>
      </c>
      <c r="D38" s="128">
        <v>1</v>
      </c>
      <c r="E38" s="126">
        <f t="shared" si="0"/>
        <v>16050.000000000002</v>
      </c>
      <c r="F38" s="295">
        <v>15000</v>
      </c>
      <c r="J38" s="301"/>
    </row>
    <row r="39" spans="1:10" ht="18.75" customHeight="1" x14ac:dyDescent="0.3">
      <c r="A39" s="129" t="s">
        <v>206</v>
      </c>
      <c r="B39" s="127" t="s">
        <v>207</v>
      </c>
      <c r="C39" s="128" t="s">
        <v>26</v>
      </c>
      <c r="D39" s="128">
        <v>1</v>
      </c>
      <c r="E39" s="126">
        <f t="shared" si="0"/>
        <v>37450</v>
      </c>
      <c r="F39" s="295">
        <v>35000</v>
      </c>
      <c r="J39" s="301"/>
    </row>
    <row r="40" spans="1:10" ht="24.75" customHeight="1" x14ac:dyDescent="0.3">
      <c r="A40" s="129" t="s">
        <v>208</v>
      </c>
      <c r="B40" s="127" t="s">
        <v>209</v>
      </c>
      <c r="C40" s="128" t="s">
        <v>25</v>
      </c>
      <c r="D40" s="128">
        <v>1</v>
      </c>
      <c r="E40" s="126">
        <f t="shared" si="0"/>
        <v>14487.800000000001</v>
      </c>
      <c r="F40" s="295">
        <v>13540</v>
      </c>
      <c r="J40" s="301"/>
    </row>
    <row r="41" spans="1:10" ht="19.5" customHeight="1" x14ac:dyDescent="0.3">
      <c r="A41" s="129" t="s">
        <v>210</v>
      </c>
      <c r="B41" s="127" t="s">
        <v>211</v>
      </c>
      <c r="C41" s="128" t="s">
        <v>25</v>
      </c>
      <c r="D41" s="128">
        <v>1</v>
      </c>
      <c r="E41" s="126">
        <f t="shared" si="0"/>
        <v>3210</v>
      </c>
      <c r="F41" s="295">
        <v>3000</v>
      </c>
      <c r="J41" s="301"/>
    </row>
    <row r="42" spans="1:10" ht="19.5" customHeight="1" x14ac:dyDescent="0.3">
      <c r="A42" s="129" t="s">
        <v>212</v>
      </c>
      <c r="B42" s="127" t="s">
        <v>213</v>
      </c>
      <c r="C42" s="128" t="s">
        <v>25</v>
      </c>
      <c r="D42" s="128">
        <v>1</v>
      </c>
      <c r="E42" s="126">
        <f>+F42*(1+$E$29)</f>
        <v>5182.5147169811326</v>
      </c>
      <c r="F42" s="295">
        <v>4843.4716981132078</v>
      </c>
      <c r="H42" s="402"/>
      <c r="J42" s="301"/>
    </row>
    <row r="43" spans="1:10" ht="19.5" customHeight="1" x14ac:dyDescent="0.3">
      <c r="A43" s="129" t="s">
        <v>214</v>
      </c>
      <c r="B43" s="127" t="s">
        <v>215</v>
      </c>
      <c r="C43" s="128" t="s">
        <v>26</v>
      </c>
      <c r="D43" s="128">
        <v>1</v>
      </c>
      <c r="E43" s="126">
        <f t="shared" si="0"/>
        <v>23058.5</v>
      </c>
      <c r="F43" s="295">
        <v>21550</v>
      </c>
      <c r="J43" s="301"/>
    </row>
    <row r="44" spans="1:10" ht="19.5" customHeight="1" x14ac:dyDescent="0.3">
      <c r="A44" s="129" t="s">
        <v>216</v>
      </c>
      <c r="B44" s="127" t="s">
        <v>217</v>
      </c>
      <c r="C44" s="128" t="s">
        <v>218</v>
      </c>
      <c r="D44" s="128">
        <v>1</v>
      </c>
      <c r="E44" s="126">
        <f t="shared" si="0"/>
        <v>9547.61</v>
      </c>
      <c r="F44" s="295">
        <v>8923</v>
      </c>
      <c r="J44" s="301"/>
    </row>
    <row r="45" spans="1:10" ht="19.5" customHeight="1" x14ac:dyDescent="0.3">
      <c r="A45" s="129" t="s">
        <v>219</v>
      </c>
      <c r="B45" s="127" t="s">
        <v>220</v>
      </c>
      <c r="C45" s="128" t="s">
        <v>26</v>
      </c>
      <c r="D45" s="128">
        <v>1</v>
      </c>
      <c r="E45" s="126">
        <f t="shared" si="0"/>
        <v>67517</v>
      </c>
      <c r="F45" s="295">
        <v>63100</v>
      </c>
      <c r="J45" s="301"/>
    </row>
    <row r="46" spans="1:10" ht="19.5" customHeight="1" x14ac:dyDescent="0.3">
      <c r="A46" s="129" t="s">
        <v>221</v>
      </c>
      <c r="B46" s="127" t="s">
        <v>222</v>
      </c>
      <c r="C46" s="128" t="s">
        <v>26</v>
      </c>
      <c r="D46" s="128">
        <v>1</v>
      </c>
      <c r="E46" s="126">
        <f t="shared" si="0"/>
        <v>6982.8200000000006</v>
      </c>
      <c r="F46" s="295">
        <v>6526</v>
      </c>
      <c r="J46" s="301"/>
    </row>
    <row r="47" spans="1:10" ht="19.5" customHeight="1" x14ac:dyDescent="0.3">
      <c r="A47" s="129" t="s">
        <v>223</v>
      </c>
      <c r="B47" s="127" t="s">
        <v>224</v>
      </c>
      <c r="C47" s="128" t="s">
        <v>26</v>
      </c>
      <c r="D47" s="128">
        <v>1</v>
      </c>
      <c r="E47" s="126">
        <f t="shared" si="0"/>
        <v>2889</v>
      </c>
      <c r="F47" s="295">
        <v>2700</v>
      </c>
      <c r="J47" s="301"/>
    </row>
    <row r="48" spans="1:10" ht="19.5" customHeight="1" x14ac:dyDescent="0.3">
      <c r="A48" s="129" t="s">
        <v>225</v>
      </c>
      <c r="B48" s="127" t="s">
        <v>226</v>
      </c>
      <c r="C48" s="128" t="s">
        <v>26</v>
      </c>
      <c r="D48" s="128">
        <v>1</v>
      </c>
      <c r="E48" s="126">
        <f t="shared" si="0"/>
        <v>2675</v>
      </c>
      <c r="F48" s="295">
        <v>2500</v>
      </c>
      <c r="J48" s="301"/>
    </row>
    <row r="49" spans="1:10" ht="19.5" customHeight="1" x14ac:dyDescent="0.3">
      <c r="A49" s="129" t="s">
        <v>227</v>
      </c>
      <c r="B49" s="127" t="s">
        <v>228</v>
      </c>
      <c r="C49" s="128" t="s">
        <v>26</v>
      </c>
      <c r="D49" s="128">
        <v>1</v>
      </c>
      <c r="E49" s="126">
        <f t="shared" si="0"/>
        <v>1047.53</v>
      </c>
      <c r="F49" s="295">
        <v>979</v>
      </c>
      <c r="J49" s="301"/>
    </row>
    <row r="50" spans="1:10" ht="19.5" customHeight="1" x14ac:dyDescent="0.3">
      <c r="A50" s="129" t="s">
        <v>229</v>
      </c>
      <c r="B50" s="127" t="s">
        <v>230</v>
      </c>
      <c r="C50" s="128" t="s">
        <v>26</v>
      </c>
      <c r="D50" s="128">
        <v>1</v>
      </c>
      <c r="E50" s="126">
        <f t="shared" si="0"/>
        <v>321</v>
      </c>
      <c r="F50" s="295">
        <v>300</v>
      </c>
      <c r="J50" s="301"/>
    </row>
    <row r="51" spans="1:10" ht="19.5" customHeight="1" x14ac:dyDescent="0.3">
      <c r="A51" s="129" t="s">
        <v>231</v>
      </c>
      <c r="B51" s="127" t="s">
        <v>232</v>
      </c>
      <c r="C51" s="128" t="s">
        <v>26</v>
      </c>
      <c r="D51" s="128">
        <v>1</v>
      </c>
      <c r="E51" s="126">
        <f t="shared" si="0"/>
        <v>6313</v>
      </c>
      <c r="F51" s="295">
        <v>5900</v>
      </c>
      <c r="J51" s="301"/>
    </row>
    <row r="52" spans="1:10" s="23" customFormat="1" ht="19.5" customHeight="1" x14ac:dyDescent="0.3">
      <c r="A52" s="129" t="s">
        <v>233</v>
      </c>
      <c r="B52" s="127" t="s">
        <v>234</v>
      </c>
      <c r="C52" s="128" t="s">
        <v>26</v>
      </c>
      <c r="D52" s="128">
        <v>1</v>
      </c>
      <c r="E52" s="126">
        <f t="shared" si="0"/>
        <v>500.76000000000005</v>
      </c>
      <c r="F52" s="295">
        <v>468</v>
      </c>
      <c r="J52" s="301"/>
    </row>
    <row r="53" spans="1:10" ht="30" customHeight="1" x14ac:dyDescent="0.3">
      <c r="A53" s="129" t="s">
        <v>235</v>
      </c>
      <c r="B53" s="127" t="s">
        <v>236</v>
      </c>
      <c r="C53" s="128" t="s">
        <v>25</v>
      </c>
      <c r="D53" s="128">
        <v>1</v>
      </c>
      <c r="E53" s="126">
        <f t="shared" si="0"/>
        <v>74704.19</v>
      </c>
      <c r="F53" s="316">
        <v>69817</v>
      </c>
      <c r="J53" s="301"/>
    </row>
    <row r="54" spans="1:10" ht="27.75" customHeight="1" x14ac:dyDescent="0.3">
      <c r="A54" s="129" t="s">
        <v>237</v>
      </c>
      <c r="B54" s="127" t="s">
        <v>238</v>
      </c>
      <c r="C54" s="128" t="s">
        <v>4</v>
      </c>
      <c r="D54" s="128">
        <v>1</v>
      </c>
      <c r="E54" s="126">
        <f t="shared" si="0"/>
        <v>75698.22</v>
      </c>
      <c r="F54" s="295">
        <v>70746</v>
      </c>
      <c r="J54" s="301"/>
    </row>
    <row r="55" spans="1:10" ht="19.5" customHeight="1" x14ac:dyDescent="0.3">
      <c r="A55" s="129" t="s">
        <v>239</v>
      </c>
      <c r="B55" s="127" t="s">
        <v>240</v>
      </c>
      <c r="C55" s="128" t="s">
        <v>218</v>
      </c>
      <c r="D55" s="128">
        <v>1</v>
      </c>
      <c r="E55" s="126">
        <f t="shared" si="0"/>
        <v>97926.400000000009</v>
      </c>
      <c r="F55" s="295">
        <v>91520</v>
      </c>
      <c r="J55" s="301"/>
    </row>
    <row r="56" spans="1:10" ht="19.5" customHeight="1" x14ac:dyDescent="0.3">
      <c r="A56" s="129" t="s">
        <v>241</v>
      </c>
      <c r="B56" s="127" t="s">
        <v>242</v>
      </c>
      <c r="C56" s="128" t="s">
        <v>26</v>
      </c>
      <c r="D56" s="128">
        <v>1</v>
      </c>
      <c r="E56" s="126">
        <f t="shared" si="0"/>
        <v>53500</v>
      </c>
      <c r="F56" s="295">
        <v>50000</v>
      </c>
      <c r="J56" s="301"/>
    </row>
    <row r="57" spans="1:10" ht="19.5" customHeight="1" x14ac:dyDescent="0.3">
      <c r="A57" s="129" t="s">
        <v>243</v>
      </c>
      <c r="B57" s="127" t="s">
        <v>244</v>
      </c>
      <c r="C57" s="128" t="s">
        <v>39</v>
      </c>
      <c r="D57" s="128">
        <v>1</v>
      </c>
      <c r="E57" s="126">
        <f t="shared" si="0"/>
        <v>481.5</v>
      </c>
      <c r="F57" s="295">
        <v>450</v>
      </c>
      <c r="J57" s="301"/>
    </row>
    <row r="58" spans="1:10" ht="19.5" customHeight="1" x14ac:dyDescent="0.3">
      <c r="A58" s="129" t="s">
        <v>245</v>
      </c>
      <c r="B58" s="127" t="s">
        <v>246</v>
      </c>
      <c r="C58" s="128" t="s">
        <v>39</v>
      </c>
      <c r="D58" s="128">
        <v>1</v>
      </c>
      <c r="E58" s="126">
        <f t="shared" si="0"/>
        <v>50825</v>
      </c>
      <c r="F58" s="295">
        <v>47500</v>
      </c>
      <c r="J58" s="301"/>
    </row>
    <row r="59" spans="1:10" ht="19.5" customHeight="1" x14ac:dyDescent="0.3">
      <c r="A59" s="129" t="s">
        <v>247</v>
      </c>
      <c r="B59" s="127" t="s">
        <v>248</v>
      </c>
      <c r="C59" s="128" t="s">
        <v>39</v>
      </c>
      <c r="D59" s="128">
        <v>1</v>
      </c>
      <c r="E59" s="126">
        <f t="shared" si="0"/>
        <v>61525</v>
      </c>
      <c r="F59" s="295">
        <v>57500</v>
      </c>
      <c r="J59" s="301"/>
    </row>
    <row r="60" spans="1:10" s="130" customFormat="1" ht="18.75" customHeight="1" x14ac:dyDescent="0.3">
      <c r="A60" s="129" t="s">
        <v>249</v>
      </c>
      <c r="B60" s="127" t="s">
        <v>250</v>
      </c>
      <c r="C60" s="128" t="s">
        <v>42</v>
      </c>
      <c r="D60" s="128">
        <v>1</v>
      </c>
      <c r="E60" s="126">
        <f t="shared" si="0"/>
        <v>42800</v>
      </c>
      <c r="F60" s="295">
        <v>40000</v>
      </c>
      <c r="J60" s="301"/>
    </row>
    <row r="61" spans="1:10" s="130" customFormat="1" ht="18.75" customHeight="1" x14ac:dyDescent="0.3">
      <c r="A61" s="129" t="s">
        <v>251</v>
      </c>
      <c r="B61" s="127" t="s">
        <v>252</v>
      </c>
      <c r="C61" s="128" t="s">
        <v>253</v>
      </c>
      <c r="D61" s="128">
        <v>1</v>
      </c>
      <c r="E61" s="126">
        <f t="shared" si="0"/>
        <v>12.84</v>
      </c>
      <c r="F61" s="317">
        <v>12</v>
      </c>
      <c r="J61" s="301"/>
    </row>
    <row r="62" spans="1:10" s="130" customFormat="1" ht="18.75" customHeight="1" x14ac:dyDescent="0.3">
      <c r="A62" s="129" t="s">
        <v>254</v>
      </c>
      <c r="B62" s="127" t="s">
        <v>255</v>
      </c>
      <c r="C62" s="128" t="s">
        <v>32</v>
      </c>
      <c r="D62" s="128">
        <v>1</v>
      </c>
      <c r="E62" s="126">
        <f t="shared" si="0"/>
        <v>428</v>
      </c>
      <c r="F62" s="317">
        <v>400</v>
      </c>
      <c r="J62" s="301"/>
    </row>
    <row r="63" spans="1:10" ht="18.75" customHeight="1" x14ac:dyDescent="0.3">
      <c r="A63" s="129" t="s">
        <v>256</v>
      </c>
      <c r="B63" s="127" t="s">
        <v>257</v>
      </c>
      <c r="C63" s="128" t="s">
        <v>25</v>
      </c>
      <c r="D63" s="128">
        <v>1</v>
      </c>
      <c r="E63" s="126">
        <f t="shared" si="0"/>
        <v>5350</v>
      </c>
      <c r="F63" s="317">
        <v>5000</v>
      </c>
      <c r="J63" s="301"/>
    </row>
    <row r="64" spans="1:10" ht="18.75" customHeight="1" x14ac:dyDescent="0.3">
      <c r="A64" s="129" t="s">
        <v>258</v>
      </c>
      <c r="B64" s="127" t="s">
        <v>259</v>
      </c>
      <c r="C64" s="128" t="s">
        <v>25</v>
      </c>
      <c r="D64" s="128">
        <v>1</v>
      </c>
      <c r="E64" s="126">
        <f t="shared" si="0"/>
        <v>4494</v>
      </c>
      <c r="F64" s="295">
        <v>4200</v>
      </c>
      <c r="J64" s="301"/>
    </row>
    <row r="65" spans="1:10" ht="18.75" customHeight="1" x14ac:dyDescent="0.3">
      <c r="A65" s="129" t="s">
        <v>260</v>
      </c>
      <c r="B65" s="127" t="s">
        <v>261</v>
      </c>
      <c r="C65" s="128" t="s">
        <v>32</v>
      </c>
      <c r="D65" s="128">
        <v>1</v>
      </c>
      <c r="E65" s="126">
        <f t="shared" si="0"/>
        <v>5243</v>
      </c>
      <c r="F65" s="295">
        <v>4900</v>
      </c>
      <c r="J65" s="301"/>
    </row>
    <row r="66" spans="1:10" ht="19.5" customHeight="1" x14ac:dyDescent="0.3">
      <c r="A66" s="129" t="s">
        <v>262</v>
      </c>
      <c r="B66" s="127" t="s">
        <v>263</v>
      </c>
      <c r="C66" s="128" t="s">
        <v>26</v>
      </c>
      <c r="D66" s="128">
        <v>1</v>
      </c>
      <c r="E66" s="126">
        <f t="shared" si="0"/>
        <v>385200</v>
      </c>
      <c r="F66" s="295">
        <v>360000</v>
      </c>
      <c r="J66" s="301"/>
    </row>
    <row r="67" spans="1:10" ht="19.5" customHeight="1" x14ac:dyDescent="0.3">
      <c r="A67" s="129" t="s">
        <v>264</v>
      </c>
      <c r="B67" s="127" t="s">
        <v>265</v>
      </c>
      <c r="C67" s="128" t="s">
        <v>26</v>
      </c>
      <c r="D67" s="128">
        <v>1</v>
      </c>
      <c r="E67" s="126">
        <f t="shared" si="0"/>
        <v>577800</v>
      </c>
      <c r="F67" s="295">
        <v>540000</v>
      </c>
      <c r="J67" s="301"/>
    </row>
    <row r="68" spans="1:10" ht="19.5" customHeight="1" x14ac:dyDescent="0.3">
      <c r="A68" s="129" t="s">
        <v>1747</v>
      </c>
      <c r="B68" s="127" t="s">
        <v>1745</v>
      </c>
      <c r="C68" s="128" t="s">
        <v>171</v>
      </c>
      <c r="D68" s="128">
        <v>1</v>
      </c>
      <c r="E68" s="126">
        <f t="shared" ref="E68" si="1">+F68*(1+$E$29)</f>
        <v>400180</v>
      </c>
      <c r="F68" s="295">
        <v>374000</v>
      </c>
      <c r="J68" s="301"/>
    </row>
    <row r="69" spans="1:10" ht="19.5" customHeight="1" x14ac:dyDescent="0.3">
      <c r="A69" s="129" t="s">
        <v>266</v>
      </c>
      <c r="B69" s="127" t="s">
        <v>267</v>
      </c>
      <c r="C69" s="128" t="s">
        <v>26</v>
      </c>
      <c r="D69" s="128">
        <v>1</v>
      </c>
      <c r="E69" s="126">
        <f t="shared" si="0"/>
        <v>128.4</v>
      </c>
      <c r="F69" s="295">
        <v>120</v>
      </c>
      <c r="J69" s="301"/>
    </row>
    <row r="70" spans="1:10" ht="19.5" customHeight="1" x14ac:dyDescent="0.3">
      <c r="A70" s="129" t="s">
        <v>268</v>
      </c>
      <c r="B70" s="127" t="s">
        <v>269</v>
      </c>
      <c r="C70" s="128" t="s">
        <v>4</v>
      </c>
      <c r="D70" s="128">
        <v>1</v>
      </c>
      <c r="E70" s="126">
        <f t="shared" si="0"/>
        <v>20124.560000000001</v>
      </c>
      <c r="F70" s="295">
        <v>18808</v>
      </c>
      <c r="J70" s="301"/>
    </row>
    <row r="71" spans="1:10" ht="19.5" customHeight="1" x14ac:dyDescent="0.3">
      <c r="A71" s="129" t="s">
        <v>270</v>
      </c>
      <c r="B71" s="127" t="s">
        <v>271</v>
      </c>
      <c r="C71" s="128" t="s">
        <v>32</v>
      </c>
      <c r="D71" s="128">
        <v>1</v>
      </c>
      <c r="E71" s="126">
        <f t="shared" si="0"/>
        <v>5510.5</v>
      </c>
      <c r="F71" s="295">
        <v>5150</v>
      </c>
      <c r="J71" s="301"/>
    </row>
    <row r="72" spans="1:10" ht="19.5" customHeight="1" x14ac:dyDescent="0.3">
      <c r="A72" s="129" t="s">
        <v>272</v>
      </c>
      <c r="B72" s="127" t="s">
        <v>273</v>
      </c>
      <c r="C72" s="128" t="s">
        <v>32</v>
      </c>
      <c r="D72" s="128">
        <v>1</v>
      </c>
      <c r="E72" s="126">
        <f t="shared" si="0"/>
        <v>4815</v>
      </c>
      <c r="F72" s="295">
        <v>4500</v>
      </c>
      <c r="J72" s="301"/>
    </row>
    <row r="73" spans="1:10" ht="18.75" customHeight="1" x14ac:dyDescent="0.3">
      <c r="A73" s="129" t="s">
        <v>274</v>
      </c>
      <c r="B73" s="127" t="s">
        <v>275</v>
      </c>
      <c r="C73" s="128" t="s">
        <v>32</v>
      </c>
      <c r="D73" s="128">
        <v>1</v>
      </c>
      <c r="E73" s="126">
        <f t="shared" si="0"/>
        <v>11556</v>
      </c>
      <c r="F73" s="295">
        <v>10800</v>
      </c>
      <c r="J73" s="301"/>
    </row>
    <row r="74" spans="1:10" ht="19.5" customHeight="1" x14ac:dyDescent="0.3">
      <c r="A74" s="129" t="s">
        <v>276</v>
      </c>
      <c r="B74" s="127" t="s">
        <v>277</v>
      </c>
      <c r="C74" s="128" t="s">
        <v>32</v>
      </c>
      <c r="D74" s="128">
        <v>1</v>
      </c>
      <c r="E74" s="126">
        <f t="shared" si="0"/>
        <v>7832.4000000000005</v>
      </c>
      <c r="F74" s="295">
        <v>7320</v>
      </c>
      <c r="J74" s="301"/>
    </row>
    <row r="75" spans="1:10" ht="19.5" customHeight="1" x14ac:dyDescent="0.3">
      <c r="A75" s="129" t="s">
        <v>278</v>
      </c>
      <c r="B75" s="127" t="s">
        <v>279</v>
      </c>
      <c r="C75" s="128" t="s">
        <v>26</v>
      </c>
      <c r="D75" s="128">
        <v>1</v>
      </c>
      <c r="E75" s="126">
        <f t="shared" si="0"/>
        <v>1926</v>
      </c>
      <c r="F75" s="295">
        <v>1800</v>
      </c>
      <c r="J75" s="301"/>
    </row>
    <row r="76" spans="1:10" ht="19.5" customHeight="1" x14ac:dyDescent="0.3">
      <c r="A76" s="129" t="s">
        <v>280</v>
      </c>
      <c r="B76" s="127" t="s">
        <v>281</v>
      </c>
      <c r="C76" s="128" t="s">
        <v>218</v>
      </c>
      <c r="D76" s="128">
        <v>1</v>
      </c>
      <c r="E76" s="126">
        <f t="shared" si="0"/>
        <v>42693</v>
      </c>
      <c r="F76" s="295">
        <v>39900</v>
      </c>
      <c r="J76" s="301"/>
    </row>
    <row r="77" spans="1:10" ht="19.5" customHeight="1" x14ac:dyDescent="0.3">
      <c r="A77" s="129" t="s">
        <v>282</v>
      </c>
      <c r="B77" s="127" t="s">
        <v>283</v>
      </c>
      <c r="C77" s="128" t="s">
        <v>25</v>
      </c>
      <c r="D77" s="128">
        <v>1</v>
      </c>
      <c r="E77" s="126">
        <f t="shared" si="0"/>
        <v>5174.5200000000004</v>
      </c>
      <c r="F77" s="295">
        <v>4836</v>
      </c>
      <c r="J77" s="301"/>
    </row>
    <row r="78" spans="1:10" ht="19.5" customHeight="1" x14ac:dyDescent="0.3">
      <c r="A78" s="129" t="s">
        <v>284</v>
      </c>
      <c r="B78" s="127" t="s">
        <v>285</v>
      </c>
      <c r="C78" s="128" t="s">
        <v>42</v>
      </c>
      <c r="D78" s="128">
        <v>1</v>
      </c>
      <c r="E78" s="126">
        <f t="shared" si="0"/>
        <v>64200.000000000007</v>
      </c>
      <c r="F78" s="295">
        <v>60000</v>
      </c>
      <c r="G78" s="303"/>
      <c r="J78" s="301"/>
    </row>
    <row r="79" spans="1:10" ht="19.5" customHeight="1" x14ac:dyDescent="0.3">
      <c r="A79" s="129" t="s">
        <v>286</v>
      </c>
      <c r="B79" s="127" t="s">
        <v>287</v>
      </c>
      <c r="C79" s="128" t="s">
        <v>42</v>
      </c>
      <c r="D79" s="128">
        <v>1</v>
      </c>
      <c r="E79" s="126">
        <f t="shared" si="0"/>
        <v>64200.000000000007</v>
      </c>
      <c r="F79" s="295">
        <v>60000</v>
      </c>
      <c r="J79" s="301"/>
    </row>
    <row r="80" spans="1:10" ht="19.5" customHeight="1" x14ac:dyDescent="0.3">
      <c r="A80" s="129" t="s">
        <v>288</v>
      </c>
      <c r="B80" s="127" t="s">
        <v>289</v>
      </c>
      <c r="C80" s="128" t="s">
        <v>26</v>
      </c>
      <c r="D80" s="128">
        <v>1</v>
      </c>
      <c r="E80" s="126">
        <f t="shared" si="0"/>
        <v>376714.9</v>
      </c>
      <c r="F80" s="295">
        <v>352070</v>
      </c>
      <c r="J80" s="301"/>
    </row>
    <row r="81" spans="1:16384" ht="19.5" customHeight="1" x14ac:dyDescent="0.3">
      <c r="A81" s="129" t="s">
        <v>290</v>
      </c>
      <c r="B81" s="127" t="s">
        <v>291</v>
      </c>
      <c r="C81" s="128" t="s">
        <v>26</v>
      </c>
      <c r="D81" s="128">
        <v>1</v>
      </c>
      <c r="E81" s="126">
        <f t="shared" si="0"/>
        <v>128400.00000000001</v>
      </c>
      <c r="F81" s="295">
        <v>120000</v>
      </c>
      <c r="J81" s="301"/>
    </row>
    <row r="82" spans="1:16384" ht="19.5" customHeight="1" x14ac:dyDescent="0.3">
      <c r="A82" s="129" t="s">
        <v>292</v>
      </c>
      <c r="B82" s="127" t="s">
        <v>293</v>
      </c>
      <c r="C82" s="128" t="s">
        <v>294</v>
      </c>
      <c r="D82" s="128">
        <v>1</v>
      </c>
      <c r="E82" s="126">
        <f t="shared" si="0"/>
        <v>1605</v>
      </c>
      <c r="F82" s="295">
        <v>1500</v>
      </c>
      <c r="J82" s="301"/>
    </row>
    <row r="83" spans="1:16384" ht="19.5" customHeight="1" x14ac:dyDescent="0.3">
      <c r="A83" s="129" t="s">
        <v>295</v>
      </c>
      <c r="B83" s="127" t="s">
        <v>296</v>
      </c>
      <c r="C83" s="128" t="s">
        <v>218</v>
      </c>
      <c r="D83" s="128">
        <v>1</v>
      </c>
      <c r="E83" s="126">
        <f t="shared" si="0"/>
        <v>2514.5</v>
      </c>
      <c r="F83" s="295">
        <v>2350</v>
      </c>
      <c r="G83" s="50"/>
      <c r="H83" s="51"/>
      <c r="I83" s="50"/>
      <c r="J83" s="301"/>
      <c r="K83" s="50"/>
      <c r="L83" s="51"/>
      <c r="M83" s="50"/>
      <c r="N83" s="23"/>
      <c r="O83" s="50"/>
      <c r="P83" s="51"/>
      <c r="Q83" s="50"/>
      <c r="R83" s="23"/>
      <c r="S83" s="50"/>
      <c r="T83" s="51"/>
      <c r="U83" s="50"/>
      <c r="V83" s="23"/>
      <c r="W83" s="50"/>
      <c r="X83" s="51"/>
      <c r="Y83" s="50"/>
      <c r="Z83" s="23"/>
      <c r="AA83" s="50"/>
      <c r="AB83" s="51"/>
      <c r="AC83" s="50"/>
      <c r="AD83" s="23"/>
      <c r="AE83" s="50"/>
      <c r="AF83" s="51"/>
      <c r="AG83" s="50"/>
      <c r="AH83" s="23"/>
      <c r="AI83" s="50"/>
      <c r="AJ83" s="51"/>
      <c r="AK83" s="50"/>
      <c r="AL83" s="23"/>
      <c r="AM83" s="50"/>
      <c r="AN83" s="51"/>
      <c r="AO83" s="50"/>
      <c r="AP83" s="23"/>
      <c r="AQ83" s="50"/>
      <c r="AR83" s="51"/>
      <c r="AS83" s="50"/>
      <c r="AT83" s="23"/>
      <c r="AU83" s="50"/>
      <c r="AV83" s="51"/>
      <c r="AW83" s="50"/>
      <c r="AX83" s="23"/>
      <c r="AY83" s="50"/>
      <c r="AZ83" s="51"/>
      <c r="BA83" s="50"/>
      <c r="BB83" s="23"/>
      <c r="BC83" s="50"/>
      <c r="BD83" s="51"/>
      <c r="BE83" s="50"/>
      <c r="BF83" s="23"/>
      <c r="BG83" s="50"/>
      <c r="BH83" s="51"/>
      <c r="BI83" s="50"/>
      <c r="BJ83" s="23"/>
      <c r="BK83" s="50"/>
      <c r="BL83" s="51"/>
      <c r="BM83" s="50"/>
      <c r="BN83" s="23"/>
      <c r="BO83" s="50"/>
      <c r="BP83" s="51"/>
      <c r="BQ83" s="50"/>
      <c r="BR83" s="23"/>
      <c r="BS83" s="50"/>
      <c r="BT83" s="51"/>
      <c r="BU83" s="50"/>
      <c r="BV83" s="23"/>
      <c r="BW83" s="50"/>
      <c r="BX83" s="51"/>
      <c r="BY83" s="50"/>
      <c r="BZ83" s="23"/>
      <c r="CA83" s="50"/>
      <c r="CB83" s="51"/>
      <c r="CC83" s="50"/>
      <c r="CD83" s="23"/>
      <c r="CE83" s="50"/>
      <c r="CF83" s="51"/>
      <c r="CG83" s="50"/>
      <c r="CH83" s="23"/>
      <c r="CI83" s="50"/>
      <c r="CJ83" s="51"/>
      <c r="CK83" s="50"/>
      <c r="CL83" s="23"/>
      <c r="CM83" s="50"/>
      <c r="CN83" s="51"/>
      <c r="CO83" s="50"/>
      <c r="CP83" s="23"/>
      <c r="CQ83" s="50"/>
      <c r="CR83" s="51"/>
      <c r="CS83" s="50"/>
      <c r="CT83" s="23"/>
      <c r="CU83" s="50"/>
      <c r="CV83" s="51"/>
      <c r="CW83" s="50"/>
      <c r="CX83" s="23"/>
      <c r="CY83" s="50"/>
      <c r="CZ83" s="51"/>
      <c r="DA83" s="50"/>
      <c r="DB83" s="23"/>
      <c r="DC83" s="50"/>
      <c r="DD83" s="51"/>
      <c r="DE83" s="50"/>
      <c r="DF83" s="23"/>
      <c r="DG83" s="50"/>
      <c r="DH83" s="51"/>
      <c r="DI83" s="50"/>
      <c r="DJ83" s="23"/>
      <c r="DK83" s="50"/>
      <c r="DL83" s="51"/>
      <c r="DM83" s="50"/>
      <c r="DN83" s="23"/>
      <c r="DO83" s="50"/>
      <c r="DP83" s="51"/>
      <c r="DQ83" s="50"/>
      <c r="DR83" s="23"/>
      <c r="DS83" s="50"/>
      <c r="DT83" s="51"/>
      <c r="DU83" s="50"/>
      <c r="DV83" s="23"/>
      <c r="DW83" s="50"/>
      <c r="DX83" s="51"/>
      <c r="DY83" s="50"/>
      <c r="DZ83" s="23"/>
      <c r="EA83" s="50"/>
      <c r="EB83" s="51"/>
      <c r="EC83" s="50"/>
      <c r="ED83" s="23"/>
      <c r="EE83" s="50"/>
      <c r="EF83" s="51"/>
      <c r="EG83" s="50"/>
      <c r="EH83" s="23"/>
      <c r="EI83" s="50"/>
      <c r="EJ83" s="51"/>
      <c r="EK83" s="50"/>
      <c r="EL83" s="23"/>
      <c r="EM83" s="50"/>
      <c r="EN83" s="51"/>
      <c r="EO83" s="50"/>
      <c r="EP83" s="23"/>
      <c r="EQ83" s="50"/>
      <c r="ER83" s="51"/>
      <c r="ES83" s="50"/>
      <c r="ET83" s="23"/>
      <c r="EU83" s="50"/>
      <c r="EV83" s="51"/>
      <c r="EW83" s="50"/>
      <c r="EX83" s="23"/>
      <c r="EY83" s="50"/>
      <c r="EZ83" s="51"/>
      <c r="FA83" s="50"/>
      <c r="FB83" s="23"/>
      <c r="FC83" s="50"/>
      <c r="FD83" s="51"/>
      <c r="FE83" s="50"/>
      <c r="FF83" s="23"/>
      <c r="FG83" s="50"/>
      <c r="FH83" s="51"/>
      <c r="FI83" s="50"/>
      <c r="FJ83" s="23"/>
      <c r="FK83" s="50"/>
      <c r="FL83" s="51"/>
      <c r="FM83" s="50"/>
      <c r="FN83" s="23"/>
      <c r="FO83" s="50"/>
      <c r="FP83" s="51"/>
      <c r="FQ83" s="50"/>
      <c r="FR83" s="23"/>
      <c r="FS83" s="50"/>
      <c r="FT83" s="51"/>
      <c r="FU83" s="50"/>
      <c r="FV83" s="23"/>
      <c r="FW83" s="50"/>
      <c r="FX83" s="51"/>
      <c r="FY83" s="50"/>
      <c r="FZ83" s="23"/>
      <c r="GA83" s="50"/>
      <c r="GB83" s="51"/>
      <c r="GC83" s="50"/>
      <c r="GD83" s="23"/>
      <c r="GE83" s="50"/>
      <c r="GF83" s="51"/>
      <c r="GG83" s="50"/>
      <c r="GH83" s="23"/>
      <c r="GI83" s="50"/>
      <c r="GJ83" s="51"/>
      <c r="GK83" s="50"/>
      <c r="GL83" s="23"/>
      <c r="GM83" s="50"/>
      <c r="GN83" s="51"/>
      <c r="GO83" s="50"/>
      <c r="GP83" s="23"/>
      <c r="GQ83" s="50"/>
      <c r="GR83" s="51"/>
      <c r="GS83" s="50"/>
      <c r="GT83" s="23"/>
      <c r="GU83" s="50"/>
      <c r="GV83" s="51"/>
      <c r="GW83" s="50"/>
      <c r="GX83" s="23"/>
      <c r="GY83" s="50"/>
      <c r="GZ83" s="51"/>
      <c r="HA83" s="50"/>
      <c r="HB83" s="23"/>
      <c r="HC83" s="50"/>
      <c r="HD83" s="51"/>
      <c r="HE83" s="50"/>
      <c r="HF83" s="23"/>
      <c r="HG83" s="50"/>
      <c r="HH83" s="51"/>
      <c r="HI83" s="50"/>
      <c r="HJ83" s="23"/>
      <c r="HK83" s="50"/>
      <c r="HL83" s="51"/>
      <c r="HM83" s="50"/>
      <c r="HN83" s="23"/>
      <c r="HO83" s="50"/>
      <c r="HP83" s="51"/>
      <c r="HQ83" s="50"/>
      <c r="HR83" s="23"/>
      <c r="HS83" s="50"/>
      <c r="HT83" s="51"/>
      <c r="HU83" s="50"/>
      <c r="HV83" s="23"/>
      <c r="HW83" s="50"/>
      <c r="HX83" s="51"/>
      <c r="HY83" s="50"/>
      <c r="HZ83" s="23"/>
      <c r="IA83" s="50"/>
      <c r="IB83" s="51"/>
      <c r="IC83" s="50"/>
      <c r="ID83" s="23"/>
      <c r="IE83" s="50"/>
      <c r="IF83" s="51"/>
      <c r="IG83" s="50"/>
      <c r="IH83" s="23"/>
      <c r="II83" s="50"/>
      <c r="IJ83" s="51"/>
      <c r="IK83" s="50"/>
      <c r="IL83" s="23"/>
      <c r="IM83" s="50"/>
      <c r="IN83" s="51"/>
      <c r="IO83" s="50"/>
      <c r="IP83" s="23"/>
      <c r="IQ83" s="50"/>
      <c r="IR83" s="51"/>
      <c r="IS83" s="50"/>
      <c r="IT83" s="23"/>
      <c r="IU83" s="50"/>
      <c r="IV83" s="51"/>
      <c r="IW83" s="50"/>
      <c r="IX83" s="23"/>
      <c r="IY83" s="50"/>
      <c r="IZ83" s="51"/>
      <c r="JA83" s="50"/>
      <c r="JB83" s="23"/>
      <c r="JC83" s="50"/>
      <c r="JD83" s="51"/>
      <c r="JE83" s="50"/>
      <c r="JF83" s="23"/>
      <c r="JG83" s="50"/>
      <c r="JH83" s="51"/>
      <c r="JI83" s="50"/>
      <c r="JJ83" s="23"/>
      <c r="JK83" s="50"/>
      <c r="JL83" s="51"/>
      <c r="JM83" s="50"/>
      <c r="JN83" s="23"/>
      <c r="JO83" s="50"/>
      <c r="JP83" s="51"/>
      <c r="JQ83" s="50"/>
      <c r="JR83" s="23"/>
      <c r="JS83" s="50"/>
      <c r="JT83" s="51"/>
      <c r="JU83" s="50"/>
      <c r="JV83" s="23"/>
      <c r="JW83" s="50"/>
      <c r="JX83" s="51"/>
      <c r="JY83" s="50"/>
      <c r="JZ83" s="23"/>
      <c r="KA83" s="50"/>
      <c r="KB83" s="51"/>
      <c r="KC83" s="50"/>
      <c r="KD83" s="23"/>
      <c r="KE83" s="50"/>
      <c r="KF83" s="51"/>
      <c r="KG83" s="50"/>
      <c r="KH83" s="23"/>
      <c r="KI83" s="50"/>
      <c r="KJ83" s="51"/>
      <c r="KK83" s="50"/>
      <c r="KL83" s="23"/>
      <c r="KM83" s="50"/>
      <c r="KN83" s="51"/>
      <c r="KO83" s="50"/>
      <c r="KP83" s="23"/>
      <c r="KQ83" s="50"/>
      <c r="KR83" s="51"/>
      <c r="KS83" s="50"/>
      <c r="KT83" s="23"/>
      <c r="KU83" s="50"/>
      <c r="KV83" s="51"/>
      <c r="KW83" s="50"/>
      <c r="KX83" s="23"/>
      <c r="KY83" s="50"/>
      <c r="KZ83" s="51"/>
      <c r="LA83" s="50"/>
      <c r="LB83" s="23"/>
      <c r="LC83" s="50"/>
      <c r="LD83" s="51"/>
      <c r="LE83" s="50"/>
      <c r="LF83" s="23"/>
      <c r="LG83" s="50"/>
      <c r="LH83" s="51"/>
      <c r="LI83" s="50"/>
      <c r="LJ83" s="23"/>
      <c r="LK83" s="50"/>
      <c r="LL83" s="51"/>
      <c r="LM83" s="50"/>
      <c r="LN83" s="23"/>
      <c r="LO83" s="50"/>
      <c r="LP83" s="51"/>
      <c r="LQ83" s="50"/>
      <c r="LR83" s="23"/>
      <c r="LS83" s="50"/>
      <c r="LT83" s="51"/>
      <c r="LU83" s="50"/>
      <c r="LV83" s="23"/>
      <c r="LW83" s="50"/>
      <c r="LX83" s="51"/>
      <c r="LY83" s="50"/>
      <c r="LZ83" s="23"/>
      <c r="MA83" s="50"/>
      <c r="MB83" s="51"/>
      <c r="MC83" s="50"/>
      <c r="MD83" s="23"/>
      <c r="ME83" s="50"/>
      <c r="MF83" s="51"/>
      <c r="MG83" s="50"/>
      <c r="MH83" s="23"/>
      <c r="MI83" s="50"/>
      <c r="MJ83" s="51"/>
      <c r="MK83" s="50"/>
      <c r="ML83" s="23"/>
      <c r="MM83" s="50"/>
      <c r="MN83" s="51"/>
      <c r="MO83" s="50"/>
      <c r="MP83" s="23"/>
      <c r="MQ83" s="50"/>
      <c r="MR83" s="51"/>
      <c r="MS83" s="50"/>
      <c r="MT83" s="23"/>
      <c r="MU83" s="50"/>
      <c r="MV83" s="51"/>
      <c r="MW83" s="50"/>
      <c r="MX83" s="23"/>
      <c r="MY83" s="50"/>
      <c r="MZ83" s="51"/>
      <c r="NA83" s="50"/>
      <c r="NB83" s="23"/>
      <c r="NC83" s="50"/>
      <c r="ND83" s="51"/>
      <c r="NE83" s="50"/>
      <c r="NF83" s="23"/>
      <c r="NG83" s="50"/>
      <c r="NH83" s="51"/>
      <c r="NI83" s="50"/>
      <c r="NJ83" s="23"/>
      <c r="NK83" s="50"/>
      <c r="NL83" s="51"/>
      <c r="NM83" s="50"/>
      <c r="NN83" s="23"/>
      <c r="NO83" s="50"/>
      <c r="NP83" s="51"/>
      <c r="NQ83" s="50"/>
      <c r="NR83" s="23"/>
      <c r="NS83" s="50"/>
      <c r="NT83" s="51"/>
      <c r="NU83" s="50"/>
      <c r="NV83" s="23"/>
      <c r="NW83" s="50"/>
      <c r="NX83" s="51"/>
      <c r="NY83" s="50"/>
      <c r="NZ83" s="23"/>
      <c r="OA83" s="50"/>
      <c r="OB83" s="51"/>
      <c r="OC83" s="50"/>
      <c r="OD83" s="23"/>
      <c r="OE83" s="50"/>
      <c r="OF83" s="51"/>
      <c r="OG83" s="50"/>
      <c r="OH83" s="23"/>
      <c r="OI83" s="50"/>
      <c r="OJ83" s="51"/>
      <c r="OK83" s="50"/>
      <c r="OL83" s="23"/>
      <c r="OM83" s="50"/>
      <c r="ON83" s="51"/>
      <c r="OO83" s="50"/>
      <c r="OP83" s="23"/>
      <c r="OQ83" s="50"/>
      <c r="OR83" s="51"/>
      <c r="OS83" s="50"/>
      <c r="OT83" s="23"/>
      <c r="OU83" s="50"/>
      <c r="OV83" s="51"/>
      <c r="OW83" s="50"/>
      <c r="OX83" s="23"/>
      <c r="OY83" s="50"/>
      <c r="OZ83" s="51"/>
      <c r="PA83" s="50"/>
      <c r="PB83" s="23"/>
      <c r="PC83" s="50"/>
      <c r="PD83" s="51"/>
      <c r="PE83" s="50"/>
      <c r="PF83" s="23"/>
      <c r="PG83" s="50"/>
      <c r="PH83" s="51"/>
      <c r="PI83" s="50"/>
      <c r="PJ83" s="23"/>
      <c r="PK83" s="50"/>
      <c r="PL83" s="51"/>
      <c r="PM83" s="50"/>
      <c r="PN83" s="23"/>
      <c r="PO83" s="50"/>
      <c r="PP83" s="51"/>
      <c r="PQ83" s="50"/>
      <c r="PR83" s="23"/>
      <c r="PS83" s="50"/>
      <c r="PT83" s="51"/>
      <c r="PU83" s="50"/>
      <c r="PV83" s="23"/>
      <c r="PW83" s="50"/>
      <c r="PX83" s="51"/>
      <c r="PY83" s="50"/>
      <c r="PZ83" s="23"/>
      <c r="QA83" s="50"/>
      <c r="QB83" s="51"/>
      <c r="QC83" s="50"/>
      <c r="QD83" s="23"/>
      <c r="QE83" s="50"/>
      <c r="QF83" s="51"/>
      <c r="QG83" s="50"/>
      <c r="QH83" s="23"/>
      <c r="QI83" s="50"/>
      <c r="QJ83" s="51"/>
      <c r="QK83" s="50"/>
      <c r="QL83" s="23"/>
      <c r="QM83" s="50"/>
      <c r="QN83" s="51"/>
      <c r="QO83" s="50"/>
      <c r="QP83" s="23"/>
      <c r="QQ83" s="50"/>
      <c r="QR83" s="51"/>
      <c r="QS83" s="50"/>
      <c r="QT83" s="23"/>
      <c r="QU83" s="50"/>
      <c r="QV83" s="51"/>
      <c r="QW83" s="50"/>
      <c r="QX83" s="23"/>
      <c r="QY83" s="50"/>
      <c r="QZ83" s="51"/>
      <c r="RA83" s="50"/>
      <c r="RB83" s="23"/>
      <c r="RC83" s="50"/>
      <c r="RD83" s="51"/>
      <c r="RE83" s="50"/>
      <c r="RF83" s="23"/>
      <c r="RG83" s="50"/>
      <c r="RH83" s="51"/>
      <c r="RI83" s="50"/>
      <c r="RJ83" s="23"/>
      <c r="RK83" s="50"/>
      <c r="RL83" s="51"/>
      <c r="RM83" s="50"/>
      <c r="RN83" s="23"/>
      <c r="RO83" s="50"/>
      <c r="RP83" s="51"/>
      <c r="RQ83" s="50"/>
      <c r="RR83" s="23"/>
      <c r="RS83" s="50"/>
      <c r="RT83" s="51"/>
      <c r="RU83" s="50"/>
      <c r="RV83" s="23"/>
      <c r="RW83" s="50"/>
      <c r="RX83" s="51"/>
      <c r="RY83" s="50"/>
      <c r="RZ83" s="23"/>
      <c r="SA83" s="50"/>
      <c r="SB83" s="51"/>
      <c r="SC83" s="50"/>
      <c r="SD83" s="23"/>
      <c r="SE83" s="50"/>
      <c r="SF83" s="51"/>
      <c r="SG83" s="50"/>
      <c r="SH83" s="23"/>
      <c r="SI83" s="50"/>
      <c r="SJ83" s="51"/>
      <c r="SK83" s="50"/>
      <c r="SL83" s="23"/>
      <c r="SM83" s="50"/>
      <c r="SN83" s="51"/>
      <c r="SO83" s="50"/>
      <c r="SP83" s="23"/>
      <c r="SQ83" s="50"/>
      <c r="SR83" s="51"/>
      <c r="SS83" s="50"/>
      <c r="ST83" s="23"/>
      <c r="SU83" s="50"/>
      <c r="SV83" s="51"/>
      <c r="SW83" s="50"/>
      <c r="SX83" s="23"/>
      <c r="SY83" s="50"/>
      <c r="SZ83" s="51"/>
      <c r="TA83" s="50"/>
      <c r="TB83" s="23"/>
      <c r="TC83" s="50"/>
      <c r="TD83" s="51"/>
      <c r="TE83" s="50"/>
      <c r="TF83" s="23"/>
      <c r="TG83" s="50"/>
      <c r="TH83" s="51"/>
      <c r="TI83" s="50"/>
      <c r="TJ83" s="23"/>
      <c r="TK83" s="50"/>
      <c r="TL83" s="51"/>
      <c r="TM83" s="50"/>
      <c r="TN83" s="23"/>
      <c r="TO83" s="50"/>
      <c r="TP83" s="51"/>
      <c r="TQ83" s="50"/>
      <c r="TR83" s="23"/>
      <c r="TS83" s="50"/>
      <c r="TT83" s="51"/>
      <c r="TU83" s="50"/>
      <c r="TV83" s="23"/>
      <c r="TW83" s="50"/>
      <c r="TX83" s="51"/>
      <c r="TY83" s="50"/>
      <c r="TZ83" s="23"/>
      <c r="UA83" s="50"/>
      <c r="UB83" s="51"/>
      <c r="UC83" s="50"/>
      <c r="UD83" s="23"/>
      <c r="UE83" s="50"/>
      <c r="UF83" s="51"/>
      <c r="UG83" s="50"/>
      <c r="UH83" s="23"/>
      <c r="UI83" s="50"/>
      <c r="UJ83" s="51"/>
      <c r="UK83" s="50"/>
      <c r="UL83" s="23"/>
      <c r="UM83" s="50"/>
      <c r="UN83" s="51"/>
      <c r="UO83" s="50"/>
      <c r="UP83" s="23"/>
      <c r="UQ83" s="50"/>
      <c r="UR83" s="51"/>
      <c r="US83" s="50"/>
      <c r="UT83" s="23"/>
      <c r="UU83" s="50"/>
      <c r="UV83" s="51"/>
      <c r="UW83" s="50"/>
      <c r="UX83" s="23"/>
      <c r="UY83" s="50"/>
      <c r="UZ83" s="51"/>
      <c r="VA83" s="50"/>
      <c r="VB83" s="23"/>
      <c r="VC83" s="50"/>
      <c r="VD83" s="51"/>
      <c r="VE83" s="50"/>
      <c r="VF83" s="23"/>
      <c r="VG83" s="50"/>
      <c r="VH83" s="51"/>
      <c r="VI83" s="50"/>
      <c r="VJ83" s="23"/>
      <c r="VK83" s="50"/>
      <c r="VL83" s="51"/>
      <c r="VM83" s="50"/>
      <c r="VN83" s="23"/>
      <c r="VO83" s="50"/>
      <c r="VP83" s="51"/>
      <c r="VQ83" s="50"/>
      <c r="VR83" s="23"/>
      <c r="VS83" s="50"/>
      <c r="VT83" s="51"/>
      <c r="VU83" s="50"/>
      <c r="VV83" s="23"/>
      <c r="VW83" s="50"/>
      <c r="VX83" s="51"/>
      <c r="VY83" s="50"/>
      <c r="VZ83" s="23"/>
      <c r="WA83" s="50"/>
      <c r="WB83" s="51"/>
      <c r="WC83" s="50"/>
      <c r="WD83" s="23"/>
      <c r="WE83" s="50"/>
      <c r="WF83" s="51"/>
      <c r="WG83" s="50"/>
      <c r="WH83" s="23"/>
      <c r="WI83" s="50"/>
      <c r="WJ83" s="51"/>
      <c r="WK83" s="50"/>
      <c r="WL83" s="23"/>
      <c r="WM83" s="50"/>
      <c r="WN83" s="51"/>
      <c r="WO83" s="50"/>
      <c r="WP83" s="23"/>
      <c r="WQ83" s="50"/>
      <c r="WR83" s="51"/>
      <c r="WS83" s="50"/>
      <c r="WT83" s="23"/>
      <c r="WU83" s="50"/>
      <c r="WV83" s="51"/>
      <c r="WW83" s="50"/>
      <c r="WX83" s="23"/>
      <c r="WY83" s="50"/>
      <c r="WZ83" s="51"/>
      <c r="XA83" s="50"/>
      <c r="XB83" s="23"/>
      <c r="XC83" s="50"/>
      <c r="XD83" s="51"/>
      <c r="XE83" s="50"/>
      <c r="XF83" s="23"/>
      <c r="XG83" s="50"/>
      <c r="XH83" s="51"/>
      <c r="XI83" s="50"/>
      <c r="XJ83" s="23"/>
      <c r="XK83" s="50"/>
      <c r="XL83" s="51"/>
      <c r="XM83" s="50"/>
      <c r="XN83" s="23"/>
      <c r="XO83" s="50"/>
      <c r="XP83" s="51"/>
      <c r="XQ83" s="50"/>
      <c r="XR83" s="23"/>
      <c r="XS83" s="50"/>
      <c r="XT83" s="51"/>
      <c r="XU83" s="50"/>
      <c r="XV83" s="23"/>
      <c r="XW83" s="50"/>
      <c r="XX83" s="51"/>
      <c r="XY83" s="50"/>
      <c r="XZ83" s="23"/>
      <c r="YA83" s="50"/>
      <c r="YB83" s="51"/>
      <c r="YC83" s="50"/>
      <c r="YD83" s="23"/>
      <c r="YE83" s="50"/>
      <c r="YF83" s="51"/>
      <c r="YG83" s="50"/>
      <c r="YH83" s="23"/>
      <c r="YI83" s="50"/>
      <c r="YJ83" s="51"/>
      <c r="YK83" s="50"/>
      <c r="YL83" s="23"/>
      <c r="YM83" s="50"/>
      <c r="YN83" s="51"/>
      <c r="YO83" s="50"/>
      <c r="YP83" s="23"/>
      <c r="YQ83" s="50"/>
      <c r="YR83" s="51"/>
      <c r="YS83" s="50"/>
      <c r="YT83" s="23"/>
      <c r="YU83" s="50"/>
      <c r="YV83" s="51"/>
      <c r="YW83" s="50"/>
      <c r="YX83" s="23"/>
      <c r="YY83" s="50"/>
      <c r="YZ83" s="51"/>
      <c r="ZA83" s="50"/>
      <c r="ZB83" s="23"/>
      <c r="ZC83" s="50"/>
      <c r="ZD83" s="51"/>
      <c r="ZE83" s="50"/>
      <c r="ZF83" s="23"/>
      <c r="ZG83" s="50"/>
      <c r="ZH83" s="51"/>
      <c r="ZI83" s="50"/>
      <c r="ZJ83" s="23"/>
      <c r="ZK83" s="50"/>
      <c r="ZL83" s="51"/>
      <c r="ZM83" s="50"/>
      <c r="ZN83" s="23"/>
      <c r="ZO83" s="50"/>
      <c r="ZP83" s="51"/>
      <c r="ZQ83" s="50"/>
      <c r="ZR83" s="23"/>
      <c r="ZS83" s="50"/>
      <c r="ZT83" s="51"/>
      <c r="ZU83" s="50"/>
      <c r="ZV83" s="23"/>
      <c r="ZW83" s="50"/>
      <c r="ZX83" s="51"/>
      <c r="ZY83" s="50"/>
      <c r="ZZ83" s="23"/>
      <c r="AAA83" s="50"/>
      <c r="AAB83" s="51"/>
      <c r="AAC83" s="50"/>
      <c r="AAD83" s="23"/>
      <c r="AAE83" s="50"/>
      <c r="AAF83" s="51"/>
      <c r="AAG83" s="50"/>
      <c r="AAH83" s="23"/>
      <c r="AAI83" s="50"/>
      <c r="AAJ83" s="51"/>
      <c r="AAK83" s="50"/>
      <c r="AAL83" s="23"/>
      <c r="AAM83" s="50"/>
      <c r="AAN83" s="51"/>
      <c r="AAO83" s="50"/>
      <c r="AAP83" s="23"/>
      <c r="AAQ83" s="50"/>
      <c r="AAR83" s="51"/>
      <c r="AAS83" s="50"/>
      <c r="AAT83" s="23"/>
      <c r="AAU83" s="50"/>
      <c r="AAV83" s="51"/>
      <c r="AAW83" s="50"/>
      <c r="AAX83" s="23"/>
      <c r="AAY83" s="50"/>
      <c r="AAZ83" s="51"/>
      <c r="ABA83" s="50"/>
      <c r="ABB83" s="23"/>
      <c r="ABC83" s="50"/>
      <c r="ABD83" s="51"/>
      <c r="ABE83" s="50"/>
      <c r="ABF83" s="23"/>
      <c r="ABG83" s="50"/>
      <c r="ABH83" s="51"/>
      <c r="ABI83" s="50"/>
      <c r="ABJ83" s="23"/>
      <c r="ABK83" s="50"/>
      <c r="ABL83" s="51"/>
      <c r="ABM83" s="50"/>
      <c r="ABN83" s="23"/>
      <c r="ABO83" s="50"/>
      <c r="ABP83" s="51"/>
      <c r="ABQ83" s="50"/>
      <c r="ABR83" s="23"/>
      <c r="ABS83" s="50"/>
      <c r="ABT83" s="51"/>
      <c r="ABU83" s="50"/>
      <c r="ABV83" s="23"/>
      <c r="ABW83" s="50"/>
      <c r="ABX83" s="51"/>
      <c r="ABY83" s="50"/>
      <c r="ABZ83" s="23"/>
      <c r="ACA83" s="50"/>
      <c r="ACB83" s="51"/>
      <c r="ACC83" s="50"/>
      <c r="ACD83" s="23"/>
      <c r="ACE83" s="50"/>
      <c r="ACF83" s="51"/>
      <c r="ACG83" s="50"/>
      <c r="ACH83" s="23"/>
      <c r="ACI83" s="50"/>
      <c r="ACJ83" s="51"/>
      <c r="ACK83" s="50"/>
      <c r="ACL83" s="23"/>
      <c r="ACM83" s="50"/>
      <c r="ACN83" s="51"/>
      <c r="ACO83" s="50"/>
      <c r="ACP83" s="23"/>
      <c r="ACQ83" s="50"/>
      <c r="ACR83" s="51"/>
      <c r="ACS83" s="50"/>
      <c r="ACT83" s="23"/>
      <c r="ACU83" s="50"/>
      <c r="ACV83" s="51"/>
      <c r="ACW83" s="50"/>
      <c r="ACX83" s="23"/>
      <c r="ACY83" s="50"/>
      <c r="ACZ83" s="51"/>
      <c r="ADA83" s="50"/>
      <c r="ADB83" s="23"/>
      <c r="ADC83" s="50"/>
      <c r="ADD83" s="51"/>
      <c r="ADE83" s="50"/>
      <c r="ADF83" s="23"/>
      <c r="ADG83" s="50"/>
      <c r="ADH83" s="51"/>
      <c r="ADI83" s="50"/>
      <c r="ADJ83" s="23"/>
      <c r="ADK83" s="50"/>
      <c r="ADL83" s="51"/>
      <c r="ADM83" s="50"/>
      <c r="ADN83" s="23"/>
      <c r="ADO83" s="50"/>
      <c r="ADP83" s="51"/>
      <c r="ADQ83" s="50"/>
      <c r="ADR83" s="23"/>
      <c r="ADS83" s="50"/>
      <c r="ADT83" s="51"/>
      <c r="ADU83" s="50"/>
      <c r="ADV83" s="23"/>
      <c r="ADW83" s="50"/>
      <c r="ADX83" s="51"/>
      <c r="ADY83" s="50"/>
      <c r="ADZ83" s="23"/>
      <c r="AEA83" s="50"/>
      <c r="AEB83" s="51"/>
      <c r="AEC83" s="50"/>
      <c r="AED83" s="23"/>
      <c r="AEE83" s="50"/>
      <c r="AEF83" s="51"/>
      <c r="AEG83" s="50"/>
      <c r="AEH83" s="23"/>
      <c r="AEI83" s="50"/>
      <c r="AEJ83" s="51"/>
      <c r="AEK83" s="50"/>
      <c r="AEL83" s="23"/>
      <c r="AEM83" s="50"/>
      <c r="AEN83" s="51"/>
      <c r="AEO83" s="50"/>
      <c r="AEP83" s="23"/>
      <c r="AEQ83" s="50"/>
      <c r="AER83" s="51"/>
      <c r="AES83" s="50"/>
      <c r="AET83" s="23"/>
      <c r="AEU83" s="50"/>
      <c r="AEV83" s="51"/>
      <c r="AEW83" s="50"/>
      <c r="AEX83" s="23"/>
      <c r="AEY83" s="50"/>
      <c r="AEZ83" s="51"/>
      <c r="AFA83" s="50"/>
      <c r="AFB83" s="23"/>
      <c r="AFC83" s="50"/>
      <c r="AFD83" s="51"/>
      <c r="AFE83" s="50"/>
      <c r="AFF83" s="23"/>
      <c r="AFG83" s="50"/>
      <c r="AFH83" s="51"/>
      <c r="AFI83" s="50"/>
      <c r="AFJ83" s="23"/>
      <c r="AFK83" s="50"/>
      <c r="AFL83" s="51"/>
      <c r="AFM83" s="50"/>
      <c r="AFN83" s="23"/>
      <c r="AFO83" s="50"/>
      <c r="AFP83" s="51"/>
      <c r="AFQ83" s="50"/>
      <c r="AFR83" s="23"/>
      <c r="AFS83" s="50"/>
      <c r="AFT83" s="51"/>
      <c r="AFU83" s="50"/>
      <c r="AFV83" s="23"/>
      <c r="AFW83" s="50"/>
      <c r="AFX83" s="51"/>
      <c r="AFY83" s="50"/>
      <c r="AFZ83" s="23"/>
      <c r="AGA83" s="50"/>
      <c r="AGB83" s="51"/>
      <c r="AGC83" s="50"/>
      <c r="AGD83" s="23"/>
      <c r="AGE83" s="50"/>
      <c r="AGF83" s="51"/>
      <c r="AGG83" s="50"/>
      <c r="AGH83" s="23"/>
      <c r="AGI83" s="50"/>
      <c r="AGJ83" s="51"/>
      <c r="AGK83" s="50"/>
      <c r="AGL83" s="23"/>
      <c r="AGM83" s="50"/>
      <c r="AGN83" s="51"/>
      <c r="AGO83" s="50"/>
      <c r="AGP83" s="23"/>
      <c r="AGQ83" s="50"/>
      <c r="AGR83" s="51"/>
      <c r="AGS83" s="50"/>
      <c r="AGT83" s="23"/>
      <c r="AGU83" s="50"/>
      <c r="AGV83" s="51"/>
      <c r="AGW83" s="50"/>
      <c r="AGX83" s="23"/>
      <c r="AGY83" s="50"/>
      <c r="AGZ83" s="51"/>
      <c r="AHA83" s="50"/>
      <c r="AHB83" s="23"/>
      <c r="AHC83" s="50"/>
      <c r="AHD83" s="51"/>
      <c r="AHE83" s="50"/>
      <c r="AHF83" s="23"/>
      <c r="AHG83" s="50"/>
      <c r="AHH83" s="51"/>
      <c r="AHI83" s="50"/>
      <c r="AHJ83" s="23"/>
      <c r="AHK83" s="50"/>
      <c r="AHL83" s="51"/>
      <c r="AHM83" s="50"/>
      <c r="AHN83" s="23"/>
      <c r="AHO83" s="50"/>
      <c r="AHP83" s="51"/>
      <c r="AHQ83" s="50"/>
      <c r="AHR83" s="23"/>
      <c r="AHS83" s="50"/>
      <c r="AHT83" s="51"/>
      <c r="AHU83" s="50"/>
      <c r="AHV83" s="23"/>
      <c r="AHW83" s="50"/>
      <c r="AHX83" s="51"/>
      <c r="AHY83" s="50"/>
      <c r="AHZ83" s="23"/>
      <c r="AIA83" s="50"/>
      <c r="AIB83" s="51"/>
      <c r="AIC83" s="50"/>
      <c r="AID83" s="23"/>
      <c r="AIE83" s="50"/>
      <c r="AIF83" s="51"/>
      <c r="AIG83" s="50"/>
      <c r="AIH83" s="23"/>
      <c r="AII83" s="50"/>
      <c r="AIJ83" s="51"/>
      <c r="AIK83" s="50"/>
      <c r="AIL83" s="23"/>
      <c r="AIM83" s="50"/>
      <c r="AIN83" s="51"/>
      <c r="AIO83" s="50"/>
      <c r="AIP83" s="23"/>
      <c r="AIQ83" s="50"/>
      <c r="AIR83" s="51"/>
      <c r="AIS83" s="50"/>
      <c r="AIT83" s="23"/>
      <c r="AIU83" s="50"/>
      <c r="AIV83" s="51"/>
      <c r="AIW83" s="50"/>
      <c r="AIX83" s="23"/>
      <c r="AIY83" s="50"/>
      <c r="AIZ83" s="51"/>
      <c r="AJA83" s="50"/>
      <c r="AJB83" s="23"/>
      <c r="AJC83" s="50"/>
      <c r="AJD83" s="51"/>
      <c r="AJE83" s="50"/>
      <c r="AJF83" s="23"/>
      <c r="AJG83" s="50"/>
      <c r="AJH83" s="51"/>
      <c r="AJI83" s="50"/>
      <c r="AJJ83" s="23"/>
      <c r="AJK83" s="50"/>
      <c r="AJL83" s="51"/>
      <c r="AJM83" s="50"/>
      <c r="AJN83" s="23"/>
      <c r="AJO83" s="50"/>
      <c r="AJP83" s="51"/>
      <c r="AJQ83" s="50"/>
      <c r="AJR83" s="23"/>
      <c r="AJS83" s="50"/>
      <c r="AJT83" s="51"/>
      <c r="AJU83" s="50"/>
      <c r="AJV83" s="23"/>
      <c r="AJW83" s="50"/>
      <c r="AJX83" s="51"/>
      <c r="AJY83" s="50"/>
      <c r="AJZ83" s="23"/>
      <c r="AKA83" s="50"/>
      <c r="AKB83" s="51"/>
      <c r="AKC83" s="50"/>
      <c r="AKD83" s="23"/>
      <c r="AKE83" s="50"/>
      <c r="AKF83" s="51"/>
      <c r="AKG83" s="50"/>
      <c r="AKH83" s="23"/>
      <c r="AKI83" s="50"/>
      <c r="AKJ83" s="51"/>
      <c r="AKK83" s="50"/>
      <c r="AKL83" s="23"/>
      <c r="AKM83" s="50"/>
      <c r="AKN83" s="51"/>
      <c r="AKO83" s="50"/>
      <c r="AKP83" s="23"/>
      <c r="AKQ83" s="50"/>
      <c r="AKR83" s="51"/>
      <c r="AKS83" s="50"/>
      <c r="AKT83" s="23"/>
      <c r="AKU83" s="50"/>
      <c r="AKV83" s="51"/>
      <c r="AKW83" s="50"/>
      <c r="AKX83" s="23"/>
      <c r="AKY83" s="50"/>
      <c r="AKZ83" s="51"/>
      <c r="ALA83" s="50"/>
      <c r="ALB83" s="23"/>
      <c r="ALC83" s="50"/>
      <c r="ALD83" s="51"/>
      <c r="ALE83" s="50"/>
      <c r="ALF83" s="23"/>
      <c r="ALG83" s="50"/>
      <c r="ALH83" s="51"/>
      <c r="ALI83" s="50"/>
      <c r="ALJ83" s="23"/>
      <c r="ALK83" s="50"/>
      <c r="ALL83" s="51"/>
      <c r="ALM83" s="50"/>
      <c r="ALN83" s="23"/>
      <c r="ALO83" s="50"/>
      <c r="ALP83" s="51"/>
      <c r="ALQ83" s="50"/>
      <c r="ALR83" s="23"/>
      <c r="ALS83" s="50"/>
      <c r="ALT83" s="51"/>
      <c r="ALU83" s="50"/>
      <c r="ALV83" s="23"/>
      <c r="ALW83" s="50"/>
      <c r="ALX83" s="51"/>
      <c r="ALY83" s="50"/>
      <c r="ALZ83" s="23"/>
      <c r="AMA83" s="50"/>
      <c r="AMB83" s="51"/>
      <c r="AMC83" s="50"/>
      <c r="AMD83" s="23"/>
      <c r="AME83" s="50"/>
      <c r="AMF83" s="51"/>
      <c r="AMG83" s="50"/>
      <c r="AMH83" s="23"/>
      <c r="AMI83" s="50"/>
      <c r="AMJ83" s="51"/>
      <c r="AMK83" s="50"/>
      <c r="AML83" s="23"/>
      <c r="AMM83" s="50"/>
      <c r="AMN83" s="51"/>
      <c r="AMO83" s="50"/>
      <c r="AMP83" s="23"/>
      <c r="AMQ83" s="50"/>
      <c r="AMR83" s="51"/>
      <c r="AMS83" s="50"/>
      <c r="AMT83" s="23"/>
      <c r="AMU83" s="50"/>
      <c r="AMV83" s="51"/>
      <c r="AMW83" s="50"/>
      <c r="AMX83" s="23"/>
      <c r="AMY83" s="50"/>
      <c r="AMZ83" s="51"/>
      <c r="ANA83" s="50"/>
      <c r="ANB83" s="23"/>
      <c r="ANC83" s="50"/>
      <c r="AND83" s="51"/>
      <c r="ANE83" s="50"/>
      <c r="ANF83" s="23"/>
      <c r="ANG83" s="50"/>
      <c r="ANH83" s="51"/>
      <c r="ANI83" s="50"/>
      <c r="ANJ83" s="23"/>
      <c r="ANK83" s="50"/>
      <c r="ANL83" s="51"/>
      <c r="ANM83" s="50"/>
      <c r="ANN83" s="23"/>
      <c r="ANO83" s="50"/>
      <c r="ANP83" s="51"/>
      <c r="ANQ83" s="50"/>
      <c r="ANR83" s="23"/>
      <c r="ANS83" s="50"/>
      <c r="ANT83" s="51"/>
      <c r="ANU83" s="50"/>
      <c r="ANV83" s="23"/>
      <c r="ANW83" s="50"/>
      <c r="ANX83" s="51"/>
      <c r="ANY83" s="50"/>
      <c r="ANZ83" s="23"/>
      <c r="AOA83" s="50"/>
      <c r="AOB83" s="51"/>
      <c r="AOC83" s="50"/>
      <c r="AOD83" s="23"/>
      <c r="AOE83" s="50"/>
      <c r="AOF83" s="51"/>
      <c r="AOG83" s="50"/>
      <c r="AOH83" s="23"/>
      <c r="AOI83" s="50"/>
      <c r="AOJ83" s="51"/>
      <c r="AOK83" s="50"/>
      <c r="AOL83" s="23"/>
      <c r="AOM83" s="50"/>
      <c r="AON83" s="51"/>
      <c r="AOO83" s="50"/>
      <c r="AOP83" s="23"/>
      <c r="AOQ83" s="50"/>
      <c r="AOR83" s="51"/>
      <c r="AOS83" s="50"/>
      <c r="AOT83" s="23"/>
      <c r="AOU83" s="50"/>
      <c r="AOV83" s="51"/>
      <c r="AOW83" s="50"/>
      <c r="AOX83" s="23"/>
      <c r="AOY83" s="50"/>
      <c r="AOZ83" s="51"/>
      <c r="APA83" s="50"/>
      <c r="APB83" s="23"/>
      <c r="APC83" s="50"/>
      <c r="APD83" s="51"/>
      <c r="APE83" s="50"/>
      <c r="APF83" s="23"/>
      <c r="APG83" s="50"/>
      <c r="APH83" s="51"/>
      <c r="API83" s="50"/>
      <c r="APJ83" s="23"/>
      <c r="APK83" s="50"/>
      <c r="APL83" s="51"/>
      <c r="APM83" s="50"/>
      <c r="APN83" s="23"/>
      <c r="APO83" s="50"/>
      <c r="APP83" s="51"/>
      <c r="APQ83" s="50"/>
      <c r="APR83" s="23"/>
      <c r="APS83" s="50"/>
      <c r="APT83" s="51"/>
      <c r="APU83" s="50"/>
      <c r="APV83" s="23"/>
      <c r="APW83" s="50"/>
      <c r="APX83" s="51"/>
      <c r="APY83" s="50"/>
      <c r="APZ83" s="23"/>
      <c r="AQA83" s="50"/>
      <c r="AQB83" s="51"/>
      <c r="AQC83" s="50"/>
      <c r="AQD83" s="23"/>
      <c r="AQE83" s="50"/>
      <c r="AQF83" s="51"/>
      <c r="AQG83" s="50"/>
      <c r="AQH83" s="23"/>
      <c r="AQI83" s="50"/>
      <c r="AQJ83" s="51"/>
      <c r="AQK83" s="50"/>
      <c r="AQL83" s="23"/>
      <c r="AQM83" s="50"/>
      <c r="AQN83" s="51"/>
      <c r="AQO83" s="50"/>
      <c r="AQP83" s="23"/>
      <c r="AQQ83" s="50"/>
      <c r="AQR83" s="51"/>
      <c r="AQS83" s="50"/>
      <c r="AQT83" s="23"/>
      <c r="AQU83" s="50"/>
      <c r="AQV83" s="51"/>
      <c r="AQW83" s="50"/>
      <c r="AQX83" s="23"/>
      <c r="AQY83" s="50"/>
      <c r="AQZ83" s="51"/>
      <c r="ARA83" s="50"/>
      <c r="ARB83" s="23"/>
      <c r="ARC83" s="50"/>
      <c r="ARD83" s="51"/>
      <c r="ARE83" s="50"/>
      <c r="ARF83" s="23"/>
      <c r="ARG83" s="50"/>
      <c r="ARH83" s="51"/>
      <c r="ARI83" s="50"/>
      <c r="ARJ83" s="23"/>
      <c r="ARK83" s="50"/>
      <c r="ARL83" s="51"/>
      <c r="ARM83" s="50"/>
      <c r="ARN83" s="23"/>
      <c r="ARO83" s="50"/>
      <c r="ARP83" s="51"/>
      <c r="ARQ83" s="50"/>
      <c r="ARR83" s="23"/>
      <c r="ARS83" s="50"/>
      <c r="ART83" s="51"/>
      <c r="ARU83" s="50"/>
      <c r="ARV83" s="23"/>
      <c r="ARW83" s="50"/>
      <c r="ARX83" s="51"/>
      <c r="ARY83" s="50"/>
      <c r="ARZ83" s="23"/>
      <c r="ASA83" s="50"/>
      <c r="ASB83" s="51"/>
      <c r="ASC83" s="50"/>
      <c r="ASD83" s="23"/>
      <c r="ASE83" s="50"/>
      <c r="ASF83" s="51"/>
      <c r="ASG83" s="50"/>
      <c r="ASH83" s="23"/>
      <c r="ASI83" s="50"/>
      <c r="ASJ83" s="51"/>
      <c r="ASK83" s="50"/>
      <c r="ASL83" s="23"/>
      <c r="ASM83" s="50"/>
      <c r="ASN83" s="51"/>
      <c r="ASO83" s="50"/>
      <c r="ASP83" s="23"/>
      <c r="ASQ83" s="50"/>
      <c r="ASR83" s="51"/>
      <c r="ASS83" s="50"/>
      <c r="AST83" s="23"/>
      <c r="ASU83" s="50"/>
      <c r="ASV83" s="51"/>
      <c r="ASW83" s="50"/>
      <c r="ASX83" s="23"/>
      <c r="ASY83" s="50"/>
      <c r="ASZ83" s="51"/>
      <c r="ATA83" s="50"/>
      <c r="ATB83" s="23"/>
      <c r="ATC83" s="50"/>
      <c r="ATD83" s="51"/>
      <c r="ATE83" s="50"/>
      <c r="ATF83" s="23"/>
      <c r="ATG83" s="50"/>
      <c r="ATH83" s="51"/>
      <c r="ATI83" s="50"/>
      <c r="ATJ83" s="23"/>
      <c r="ATK83" s="50"/>
      <c r="ATL83" s="51"/>
      <c r="ATM83" s="50"/>
      <c r="ATN83" s="23"/>
      <c r="ATO83" s="50"/>
      <c r="ATP83" s="51"/>
      <c r="ATQ83" s="50"/>
      <c r="ATR83" s="23"/>
      <c r="ATS83" s="50"/>
      <c r="ATT83" s="51"/>
      <c r="ATU83" s="50"/>
      <c r="ATV83" s="23"/>
      <c r="ATW83" s="50"/>
      <c r="ATX83" s="51"/>
      <c r="ATY83" s="50"/>
      <c r="ATZ83" s="23"/>
      <c r="AUA83" s="50"/>
      <c r="AUB83" s="51"/>
      <c r="AUC83" s="50"/>
      <c r="AUD83" s="23"/>
      <c r="AUE83" s="50"/>
      <c r="AUF83" s="51"/>
      <c r="AUG83" s="50"/>
      <c r="AUH83" s="23"/>
      <c r="AUI83" s="50"/>
      <c r="AUJ83" s="51"/>
      <c r="AUK83" s="50"/>
      <c r="AUL83" s="23"/>
      <c r="AUM83" s="50"/>
      <c r="AUN83" s="51"/>
      <c r="AUO83" s="50"/>
      <c r="AUP83" s="23"/>
      <c r="AUQ83" s="50"/>
      <c r="AUR83" s="51"/>
      <c r="AUS83" s="50"/>
      <c r="AUT83" s="23"/>
      <c r="AUU83" s="50"/>
      <c r="AUV83" s="51"/>
      <c r="AUW83" s="50"/>
      <c r="AUX83" s="23"/>
      <c r="AUY83" s="50"/>
      <c r="AUZ83" s="51"/>
      <c r="AVA83" s="50"/>
      <c r="AVB83" s="23"/>
      <c r="AVC83" s="50"/>
      <c r="AVD83" s="51"/>
      <c r="AVE83" s="50"/>
      <c r="AVF83" s="23"/>
      <c r="AVG83" s="50"/>
      <c r="AVH83" s="51"/>
      <c r="AVI83" s="50"/>
      <c r="AVJ83" s="23"/>
      <c r="AVK83" s="50"/>
      <c r="AVL83" s="51"/>
      <c r="AVM83" s="50"/>
      <c r="AVN83" s="23"/>
      <c r="AVO83" s="50"/>
      <c r="AVP83" s="51"/>
      <c r="AVQ83" s="50"/>
      <c r="AVR83" s="23"/>
      <c r="AVS83" s="50"/>
      <c r="AVT83" s="51"/>
      <c r="AVU83" s="50"/>
      <c r="AVV83" s="23"/>
      <c r="AVW83" s="50"/>
      <c r="AVX83" s="51"/>
      <c r="AVY83" s="50"/>
      <c r="AVZ83" s="23"/>
      <c r="AWA83" s="50"/>
      <c r="AWB83" s="51"/>
      <c r="AWC83" s="50"/>
      <c r="AWD83" s="23"/>
      <c r="AWE83" s="50"/>
      <c r="AWF83" s="51"/>
      <c r="AWG83" s="50"/>
      <c r="AWH83" s="23"/>
      <c r="AWI83" s="50"/>
      <c r="AWJ83" s="51"/>
      <c r="AWK83" s="50"/>
      <c r="AWL83" s="23"/>
      <c r="AWM83" s="50"/>
      <c r="AWN83" s="51"/>
      <c r="AWO83" s="50"/>
      <c r="AWP83" s="23"/>
      <c r="AWQ83" s="50"/>
      <c r="AWR83" s="51"/>
      <c r="AWS83" s="50"/>
      <c r="AWT83" s="23"/>
      <c r="AWU83" s="50"/>
      <c r="AWV83" s="51"/>
      <c r="AWW83" s="50"/>
      <c r="AWX83" s="23"/>
      <c r="AWY83" s="50"/>
      <c r="AWZ83" s="51"/>
      <c r="AXA83" s="50"/>
      <c r="AXB83" s="23"/>
      <c r="AXC83" s="50"/>
      <c r="AXD83" s="51"/>
      <c r="AXE83" s="50"/>
      <c r="AXF83" s="23"/>
      <c r="AXG83" s="50"/>
      <c r="AXH83" s="51"/>
      <c r="AXI83" s="50"/>
      <c r="AXJ83" s="23"/>
      <c r="AXK83" s="50"/>
      <c r="AXL83" s="51"/>
      <c r="AXM83" s="50"/>
      <c r="AXN83" s="23"/>
      <c r="AXO83" s="50"/>
      <c r="AXP83" s="51"/>
      <c r="AXQ83" s="50"/>
      <c r="AXR83" s="23"/>
      <c r="AXS83" s="50"/>
      <c r="AXT83" s="51"/>
      <c r="AXU83" s="50"/>
      <c r="AXV83" s="23"/>
      <c r="AXW83" s="50"/>
      <c r="AXX83" s="51"/>
      <c r="AXY83" s="50"/>
      <c r="AXZ83" s="23"/>
      <c r="AYA83" s="50"/>
      <c r="AYB83" s="51"/>
      <c r="AYC83" s="50"/>
      <c r="AYD83" s="23"/>
      <c r="AYE83" s="50"/>
      <c r="AYF83" s="51"/>
      <c r="AYG83" s="50"/>
      <c r="AYH83" s="23"/>
      <c r="AYI83" s="50"/>
      <c r="AYJ83" s="51"/>
      <c r="AYK83" s="50"/>
      <c r="AYL83" s="23"/>
      <c r="AYM83" s="50"/>
      <c r="AYN83" s="51"/>
      <c r="AYO83" s="50"/>
      <c r="AYP83" s="23"/>
      <c r="AYQ83" s="50"/>
      <c r="AYR83" s="51"/>
      <c r="AYS83" s="50"/>
      <c r="AYT83" s="23"/>
      <c r="AYU83" s="50"/>
      <c r="AYV83" s="51"/>
      <c r="AYW83" s="50"/>
      <c r="AYX83" s="23"/>
      <c r="AYY83" s="50"/>
      <c r="AYZ83" s="51"/>
      <c r="AZA83" s="50"/>
      <c r="AZB83" s="23"/>
      <c r="AZC83" s="50"/>
      <c r="AZD83" s="51"/>
      <c r="AZE83" s="50"/>
      <c r="AZF83" s="23"/>
      <c r="AZG83" s="50"/>
      <c r="AZH83" s="51"/>
      <c r="AZI83" s="50"/>
      <c r="AZJ83" s="23"/>
      <c r="AZK83" s="50"/>
      <c r="AZL83" s="51"/>
      <c r="AZM83" s="50"/>
      <c r="AZN83" s="23"/>
      <c r="AZO83" s="50"/>
      <c r="AZP83" s="51"/>
      <c r="AZQ83" s="50"/>
      <c r="AZR83" s="23"/>
      <c r="AZS83" s="50"/>
      <c r="AZT83" s="51"/>
      <c r="AZU83" s="50"/>
      <c r="AZV83" s="23"/>
      <c r="AZW83" s="50"/>
      <c r="AZX83" s="51"/>
      <c r="AZY83" s="50"/>
      <c r="AZZ83" s="23"/>
      <c r="BAA83" s="50"/>
      <c r="BAB83" s="51"/>
      <c r="BAC83" s="50"/>
      <c r="BAD83" s="23"/>
      <c r="BAE83" s="50"/>
      <c r="BAF83" s="51"/>
      <c r="BAG83" s="50"/>
      <c r="BAH83" s="23"/>
      <c r="BAI83" s="50"/>
      <c r="BAJ83" s="51"/>
      <c r="BAK83" s="50"/>
      <c r="BAL83" s="23"/>
      <c r="BAM83" s="50"/>
      <c r="BAN83" s="51"/>
      <c r="BAO83" s="50"/>
      <c r="BAP83" s="23"/>
      <c r="BAQ83" s="50"/>
      <c r="BAR83" s="51"/>
      <c r="BAS83" s="50"/>
      <c r="BAT83" s="23"/>
      <c r="BAU83" s="50"/>
      <c r="BAV83" s="51"/>
      <c r="BAW83" s="50"/>
      <c r="BAX83" s="23"/>
      <c r="BAY83" s="50"/>
      <c r="BAZ83" s="51"/>
      <c r="BBA83" s="50"/>
      <c r="BBB83" s="23"/>
      <c r="BBC83" s="50"/>
      <c r="BBD83" s="51"/>
      <c r="BBE83" s="50"/>
      <c r="BBF83" s="23"/>
      <c r="BBG83" s="50"/>
      <c r="BBH83" s="51"/>
      <c r="BBI83" s="50"/>
      <c r="BBJ83" s="23"/>
      <c r="BBK83" s="50"/>
      <c r="BBL83" s="51"/>
      <c r="BBM83" s="50"/>
      <c r="BBN83" s="23"/>
      <c r="BBO83" s="50"/>
      <c r="BBP83" s="51"/>
      <c r="BBQ83" s="50"/>
      <c r="BBR83" s="23"/>
      <c r="BBS83" s="50"/>
      <c r="BBT83" s="51"/>
      <c r="BBU83" s="50"/>
      <c r="BBV83" s="23"/>
      <c r="BBW83" s="50"/>
      <c r="BBX83" s="51"/>
      <c r="BBY83" s="50"/>
      <c r="BBZ83" s="23"/>
      <c r="BCA83" s="50"/>
      <c r="BCB83" s="51"/>
      <c r="BCC83" s="50"/>
      <c r="BCD83" s="23"/>
      <c r="BCE83" s="50"/>
      <c r="BCF83" s="51"/>
      <c r="BCG83" s="50"/>
      <c r="BCH83" s="23"/>
      <c r="BCI83" s="50"/>
      <c r="BCJ83" s="51"/>
      <c r="BCK83" s="50"/>
      <c r="BCL83" s="23"/>
      <c r="BCM83" s="50"/>
      <c r="BCN83" s="51"/>
      <c r="BCO83" s="50"/>
      <c r="BCP83" s="23"/>
      <c r="BCQ83" s="50"/>
      <c r="BCR83" s="51"/>
      <c r="BCS83" s="50"/>
      <c r="BCT83" s="23"/>
      <c r="BCU83" s="50"/>
      <c r="BCV83" s="51"/>
      <c r="BCW83" s="50"/>
      <c r="BCX83" s="23"/>
      <c r="BCY83" s="50"/>
      <c r="BCZ83" s="51"/>
      <c r="BDA83" s="50"/>
      <c r="BDB83" s="23"/>
      <c r="BDC83" s="50"/>
      <c r="BDD83" s="51"/>
      <c r="BDE83" s="50"/>
      <c r="BDF83" s="23"/>
      <c r="BDG83" s="50"/>
      <c r="BDH83" s="51"/>
      <c r="BDI83" s="50"/>
      <c r="BDJ83" s="23"/>
      <c r="BDK83" s="50"/>
      <c r="BDL83" s="51"/>
      <c r="BDM83" s="50"/>
      <c r="BDN83" s="23"/>
      <c r="BDO83" s="50"/>
      <c r="BDP83" s="51"/>
      <c r="BDQ83" s="50"/>
      <c r="BDR83" s="23"/>
      <c r="BDS83" s="50"/>
      <c r="BDT83" s="51"/>
      <c r="BDU83" s="50"/>
      <c r="BDV83" s="23"/>
      <c r="BDW83" s="50"/>
      <c r="BDX83" s="51"/>
      <c r="BDY83" s="50"/>
      <c r="BDZ83" s="23"/>
      <c r="BEA83" s="50"/>
      <c r="BEB83" s="51"/>
      <c r="BEC83" s="50"/>
      <c r="BED83" s="23"/>
      <c r="BEE83" s="50"/>
      <c r="BEF83" s="51"/>
      <c r="BEG83" s="50"/>
      <c r="BEH83" s="23"/>
      <c r="BEI83" s="50"/>
      <c r="BEJ83" s="51"/>
      <c r="BEK83" s="50"/>
      <c r="BEL83" s="23"/>
      <c r="BEM83" s="50"/>
      <c r="BEN83" s="51"/>
      <c r="BEO83" s="50"/>
      <c r="BEP83" s="23"/>
      <c r="BEQ83" s="50"/>
      <c r="BER83" s="51"/>
      <c r="BES83" s="50"/>
      <c r="BET83" s="23"/>
      <c r="BEU83" s="50"/>
      <c r="BEV83" s="51"/>
      <c r="BEW83" s="50"/>
      <c r="BEX83" s="23"/>
      <c r="BEY83" s="50"/>
      <c r="BEZ83" s="51"/>
      <c r="BFA83" s="50"/>
      <c r="BFB83" s="23"/>
      <c r="BFC83" s="50"/>
      <c r="BFD83" s="51"/>
      <c r="BFE83" s="50"/>
      <c r="BFF83" s="23"/>
      <c r="BFG83" s="50"/>
      <c r="BFH83" s="51"/>
      <c r="BFI83" s="50"/>
      <c r="BFJ83" s="23"/>
      <c r="BFK83" s="50"/>
      <c r="BFL83" s="51"/>
      <c r="BFM83" s="50"/>
      <c r="BFN83" s="23"/>
      <c r="BFO83" s="50"/>
      <c r="BFP83" s="51"/>
      <c r="BFQ83" s="50"/>
      <c r="BFR83" s="23"/>
      <c r="BFS83" s="50"/>
      <c r="BFT83" s="51"/>
      <c r="BFU83" s="50"/>
      <c r="BFV83" s="23"/>
      <c r="BFW83" s="50"/>
      <c r="BFX83" s="51"/>
      <c r="BFY83" s="50"/>
      <c r="BFZ83" s="23"/>
      <c r="BGA83" s="50"/>
      <c r="BGB83" s="51"/>
      <c r="BGC83" s="50"/>
      <c r="BGD83" s="23"/>
      <c r="BGE83" s="50"/>
      <c r="BGF83" s="51"/>
      <c r="BGG83" s="50"/>
      <c r="BGH83" s="23"/>
      <c r="BGI83" s="50"/>
      <c r="BGJ83" s="51"/>
      <c r="BGK83" s="50"/>
      <c r="BGL83" s="23"/>
      <c r="BGM83" s="50"/>
      <c r="BGN83" s="51"/>
      <c r="BGO83" s="50"/>
      <c r="BGP83" s="23"/>
      <c r="BGQ83" s="50"/>
      <c r="BGR83" s="51"/>
      <c r="BGS83" s="50"/>
      <c r="BGT83" s="23"/>
      <c r="BGU83" s="50"/>
      <c r="BGV83" s="51"/>
      <c r="BGW83" s="50"/>
      <c r="BGX83" s="23"/>
      <c r="BGY83" s="50"/>
      <c r="BGZ83" s="51"/>
      <c r="BHA83" s="50"/>
      <c r="BHB83" s="23"/>
      <c r="BHC83" s="50"/>
      <c r="BHD83" s="51"/>
      <c r="BHE83" s="50"/>
      <c r="BHF83" s="23"/>
      <c r="BHG83" s="50"/>
      <c r="BHH83" s="51"/>
      <c r="BHI83" s="50"/>
      <c r="BHJ83" s="23"/>
      <c r="BHK83" s="50"/>
      <c r="BHL83" s="51"/>
      <c r="BHM83" s="50"/>
      <c r="BHN83" s="23"/>
      <c r="BHO83" s="50"/>
      <c r="BHP83" s="51"/>
      <c r="BHQ83" s="50"/>
      <c r="BHR83" s="23"/>
      <c r="BHS83" s="50"/>
      <c r="BHT83" s="51"/>
      <c r="BHU83" s="50"/>
      <c r="BHV83" s="23"/>
      <c r="BHW83" s="50"/>
      <c r="BHX83" s="51"/>
      <c r="BHY83" s="50"/>
      <c r="BHZ83" s="23"/>
      <c r="BIA83" s="50"/>
      <c r="BIB83" s="51"/>
      <c r="BIC83" s="50"/>
      <c r="BID83" s="23"/>
      <c r="BIE83" s="50"/>
      <c r="BIF83" s="51"/>
      <c r="BIG83" s="50"/>
      <c r="BIH83" s="23"/>
      <c r="BII83" s="50"/>
      <c r="BIJ83" s="51"/>
      <c r="BIK83" s="50"/>
      <c r="BIL83" s="23"/>
      <c r="BIM83" s="50"/>
      <c r="BIN83" s="51"/>
      <c r="BIO83" s="50"/>
      <c r="BIP83" s="23"/>
      <c r="BIQ83" s="50"/>
      <c r="BIR83" s="51"/>
      <c r="BIS83" s="50"/>
      <c r="BIT83" s="23"/>
      <c r="BIU83" s="50"/>
      <c r="BIV83" s="51"/>
      <c r="BIW83" s="50"/>
      <c r="BIX83" s="23"/>
      <c r="BIY83" s="50"/>
      <c r="BIZ83" s="51"/>
      <c r="BJA83" s="50"/>
      <c r="BJB83" s="23"/>
      <c r="BJC83" s="50"/>
      <c r="BJD83" s="51"/>
      <c r="BJE83" s="50"/>
      <c r="BJF83" s="23"/>
      <c r="BJG83" s="50"/>
      <c r="BJH83" s="51"/>
      <c r="BJI83" s="50"/>
      <c r="BJJ83" s="23"/>
      <c r="BJK83" s="50"/>
      <c r="BJL83" s="51"/>
      <c r="BJM83" s="50"/>
      <c r="BJN83" s="23"/>
      <c r="BJO83" s="50"/>
      <c r="BJP83" s="51"/>
      <c r="BJQ83" s="50"/>
      <c r="BJR83" s="23"/>
      <c r="BJS83" s="50"/>
      <c r="BJT83" s="51"/>
      <c r="BJU83" s="50"/>
      <c r="BJV83" s="23"/>
      <c r="BJW83" s="50"/>
      <c r="BJX83" s="51"/>
      <c r="BJY83" s="50"/>
      <c r="BJZ83" s="23"/>
      <c r="BKA83" s="50"/>
      <c r="BKB83" s="51"/>
      <c r="BKC83" s="50"/>
      <c r="BKD83" s="23"/>
      <c r="BKE83" s="50"/>
      <c r="BKF83" s="51"/>
      <c r="BKG83" s="50"/>
      <c r="BKH83" s="23"/>
      <c r="BKI83" s="50"/>
      <c r="BKJ83" s="51"/>
      <c r="BKK83" s="50"/>
      <c r="BKL83" s="23"/>
      <c r="BKM83" s="50"/>
      <c r="BKN83" s="51"/>
      <c r="BKO83" s="50"/>
      <c r="BKP83" s="23"/>
      <c r="BKQ83" s="50"/>
      <c r="BKR83" s="51"/>
      <c r="BKS83" s="50"/>
      <c r="BKT83" s="23"/>
      <c r="BKU83" s="50"/>
      <c r="BKV83" s="51"/>
      <c r="BKW83" s="50"/>
      <c r="BKX83" s="23"/>
      <c r="BKY83" s="50"/>
      <c r="BKZ83" s="51"/>
      <c r="BLA83" s="50"/>
      <c r="BLB83" s="23"/>
      <c r="BLC83" s="50"/>
      <c r="BLD83" s="51"/>
      <c r="BLE83" s="50"/>
      <c r="BLF83" s="23"/>
      <c r="BLG83" s="50"/>
      <c r="BLH83" s="51"/>
      <c r="BLI83" s="50"/>
      <c r="BLJ83" s="23"/>
      <c r="BLK83" s="50"/>
      <c r="BLL83" s="51"/>
      <c r="BLM83" s="50"/>
      <c r="BLN83" s="23"/>
      <c r="BLO83" s="50"/>
      <c r="BLP83" s="51"/>
      <c r="BLQ83" s="50"/>
      <c r="BLR83" s="23"/>
      <c r="BLS83" s="50"/>
      <c r="BLT83" s="51"/>
      <c r="BLU83" s="50"/>
      <c r="BLV83" s="23"/>
      <c r="BLW83" s="50"/>
      <c r="BLX83" s="51"/>
      <c r="BLY83" s="50"/>
      <c r="BLZ83" s="23"/>
      <c r="BMA83" s="50"/>
      <c r="BMB83" s="51"/>
      <c r="BMC83" s="50"/>
      <c r="BMD83" s="23"/>
      <c r="BME83" s="50"/>
      <c r="BMF83" s="51"/>
      <c r="BMG83" s="50"/>
      <c r="BMH83" s="23"/>
      <c r="BMI83" s="50"/>
      <c r="BMJ83" s="51"/>
      <c r="BMK83" s="50"/>
      <c r="BML83" s="23"/>
      <c r="BMM83" s="50"/>
      <c r="BMN83" s="51"/>
      <c r="BMO83" s="50"/>
      <c r="BMP83" s="23"/>
      <c r="BMQ83" s="50"/>
      <c r="BMR83" s="51"/>
      <c r="BMS83" s="50"/>
      <c r="BMT83" s="23"/>
      <c r="BMU83" s="50"/>
      <c r="BMV83" s="51"/>
      <c r="BMW83" s="50"/>
      <c r="BMX83" s="23"/>
      <c r="BMY83" s="50"/>
      <c r="BMZ83" s="51"/>
      <c r="BNA83" s="50"/>
      <c r="BNB83" s="23"/>
      <c r="BNC83" s="50"/>
      <c r="BND83" s="51"/>
      <c r="BNE83" s="50"/>
      <c r="BNF83" s="23"/>
      <c r="BNG83" s="50"/>
      <c r="BNH83" s="51"/>
      <c r="BNI83" s="50"/>
      <c r="BNJ83" s="23"/>
      <c r="BNK83" s="50"/>
      <c r="BNL83" s="51"/>
      <c r="BNM83" s="50"/>
      <c r="BNN83" s="23"/>
      <c r="BNO83" s="50"/>
      <c r="BNP83" s="51"/>
      <c r="BNQ83" s="50"/>
      <c r="BNR83" s="23"/>
      <c r="BNS83" s="50"/>
      <c r="BNT83" s="51"/>
      <c r="BNU83" s="50"/>
      <c r="BNV83" s="23"/>
      <c r="BNW83" s="50"/>
      <c r="BNX83" s="51"/>
      <c r="BNY83" s="50"/>
      <c r="BNZ83" s="23"/>
      <c r="BOA83" s="50"/>
      <c r="BOB83" s="51"/>
      <c r="BOC83" s="50"/>
      <c r="BOD83" s="23"/>
      <c r="BOE83" s="50"/>
      <c r="BOF83" s="51"/>
      <c r="BOG83" s="50"/>
      <c r="BOH83" s="23"/>
      <c r="BOI83" s="50"/>
      <c r="BOJ83" s="51"/>
      <c r="BOK83" s="50"/>
      <c r="BOL83" s="23"/>
      <c r="BOM83" s="50"/>
      <c r="BON83" s="51"/>
      <c r="BOO83" s="50"/>
      <c r="BOP83" s="23"/>
      <c r="BOQ83" s="50"/>
      <c r="BOR83" s="51"/>
      <c r="BOS83" s="50"/>
      <c r="BOT83" s="23"/>
      <c r="BOU83" s="50"/>
      <c r="BOV83" s="51"/>
      <c r="BOW83" s="50"/>
      <c r="BOX83" s="23"/>
      <c r="BOY83" s="50"/>
      <c r="BOZ83" s="51"/>
      <c r="BPA83" s="50"/>
      <c r="BPB83" s="23"/>
      <c r="BPC83" s="50"/>
      <c r="BPD83" s="51"/>
      <c r="BPE83" s="50"/>
      <c r="BPF83" s="23"/>
      <c r="BPG83" s="50"/>
      <c r="BPH83" s="51"/>
      <c r="BPI83" s="50"/>
      <c r="BPJ83" s="23"/>
      <c r="BPK83" s="50"/>
      <c r="BPL83" s="51"/>
      <c r="BPM83" s="50"/>
      <c r="BPN83" s="23"/>
      <c r="BPO83" s="50"/>
      <c r="BPP83" s="51"/>
      <c r="BPQ83" s="50"/>
      <c r="BPR83" s="23"/>
      <c r="BPS83" s="50"/>
      <c r="BPT83" s="51"/>
      <c r="BPU83" s="50"/>
      <c r="BPV83" s="23"/>
      <c r="BPW83" s="50"/>
      <c r="BPX83" s="51"/>
      <c r="BPY83" s="50"/>
      <c r="BPZ83" s="23"/>
      <c r="BQA83" s="50"/>
      <c r="BQB83" s="51"/>
      <c r="BQC83" s="50"/>
      <c r="BQD83" s="23"/>
      <c r="BQE83" s="50"/>
      <c r="BQF83" s="51"/>
      <c r="BQG83" s="50"/>
      <c r="BQH83" s="23"/>
      <c r="BQI83" s="50"/>
      <c r="BQJ83" s="51"/>
      <c r="BQK83" s="50"/>
      <c r="BQL83" s="23"/>
      <c r="BQM83" s="50"/>
      <c r="BQN83" s="51"/>
      <c r="BQO83" s="50"/>
      <c r="BQP83" s="23"/>
      <c r="BQQ83" s="50"/>
      <c r="BQR83" s="51"/>
      <c r="BQS83" s="50"/>
      <c r="BQT83" s="23"/>
      <c r="BQU83" s="50"/>
      <c r="BQV83" s="51"/>
      <c r="BQW83" s="50"/>
      <c r="BQX83" s="23"/>
      <c r="BQY83" s="50"/>
      <c r="BQZ83" s="51"/>
      <c r="BRA83" s="50"/>
      <c r="BRB83" s="23"/>
      <c r="BRC83" s="50"/>
      <c r="BRD83" s="51"/>
      <c r="BRE83" s="50"/>
      <c r="BRF83" s="23"/>
      <c r="BRG83" s="50"/>
      <c r="BRH83" s="51"/>
      <c r="BRI83" s="50"/>
      <c r="BRJ83" s="23"/>
      <c r="BRK83" s="50"/>
      <c r="BRL83" s="51"/>
      <c r="BRM83" s="50"/>
      <c r="BRN83" s="23"/>
      <c r="BRO83" s="50"/>
      <c r="BRP83" s="51"/>
      <c r="BRQ83" s="50"/>
      <c r="BRR83" s="23"/>
      <c r="BRS83" s="50"/>
      <c r="BRT83" s="51"/>
      <c r="BRU83" s="50"/>
      <c r="BRV83" s="23"/>
      <c r="BRW83" s="50"/>
      <c r="BRX83" s="51"/>
      <c r="BRY83" s="50"/>
      <c r="BRZ83" s="23"/>
      <c r="BSA83" s="50"/>
      <c r="BSB83" s="51"/>
      <c r="BSC83" s="50"/>
      <c r="BSD83" s="23"/>
      <c r="BSE83" s="50"/>
      <c r="BSF83" s="51"/>
      <c r="BSG83" s="50"/>
      <c r="BSH83" s="23"/>
      <c r="BSI83" s="50"/>
      <c r="BSJ83" s="51"/>
      <c r="BSK83" s="50"/>
      <c r="BSL83" s="23"/>
      <c r="BSM83" s="50"/>
      <c r="BSN83" s="51"/>
      <c r="BSO83" s="50"/>
      <c r="BSP83" s="23"/>
      <c r="BSQ83" s="50"/>
      <c r="BSR83" s="51"/>
      <c r="BSS83" s="50"/>
      <c r="BST83" s="23"/>
      <c r="BSU83" s="50"/>
      <c r="BSV83" s="51"/>
      <c r="BSW83" s="50"/>
      <c r="BSX83" s="23"/>
      <c r="BSY83" s="50"/>
      <c r="BSZ83" s="51"/>
      <c r="BTA83" s="50"/>
      <c r="BTB83" s="23"/>
      <c r="BTC83" s="50"/>
      <c r="BTD83" s="51"/>
      <c r="BTE83" s="50"/>
      <c r="BTF83" s="23"/>
      <c r="BTG83" s="50"/>
      <c r="BTH83" s="51"/>
      <c r="BTI83" s="50"/>
      <c r="BTJ83" s="23"/>
      <c r="BTK83" s="50"/>
      <c r="BTL83" s="51"/>
      <c r="BTM83" s="50"/>
      <c r="BTN83" s="23"/>
      <c r="BTO83" s="50"/>
      <c r="BTP83" s="51"/>
      <c r="BTQ83" s="50"/>
      <c r="BTR83" s="23"/>
      <c r="BTS83" s="50"/>
      <c r="BTT83" s="51"/>
      <c r="BTU83" s="50"/>
      <c r="BTV83" s="23"/>
      <c r="BTW83" s="50"/>
      <c r="BTX83" s="51"/>
      <c r="BTY83" s="50"/>
      <c r="BTZ83" s="23"/>
      <c r="BUA83" s="50"/>
      <c r="BUB83" s="51"/>
      <c r="BUC83" s="50"/>
      <c r="BUD83" s="23"/>
      <c r="BUE83" s="50"/>
      <c r="BUF83" s="51"/>
      <c r="BUG83" s="50"/>
      <c r="BUH83" s="23"/>
      <c r="BUI83" s="50"/>
      <c r="BUJ83" s="51"/>
      <c r="BUK83" s="50"/>
      <c r="BUL83" s="23"/>
      <c r="BUM83" s="50"/>
      <c r="BUN83" s="51"/>
      <c r="BUO83" s="50"/>
      <c r="BUP83" s="23"/>
      <c r="BUQ83" s="50"/>
      <c r="BUR83" s="51"/>
      <c r="BUS83" s="50"/>
      <c r="BUT83" s="23"/>
      <c r="BUU83" s="50"/>
      <c r="BUV83" s="51"/>
      <c r="BUW83" s="50"/>
      <c r="BUX83" s="23"/>
      <c r="BUY83" s="50"/>
      <c r="BUZ83" s="51"/>
      <c r="BVA83" s="50"/>
      <c r="BVB83" s="23"/>
      <c r="BVC83" s="50"/>
      <c r="BVD83" s="51"/>
      <c r="BVE83" s="50"/>
      <c r="BVF83" s="23"/>
      <c r="BVG83" s="50"/>
      <c r="BVH83" s="51"/>
      <c r="BVI83" s="50"/>
      <c r="BVJ83" s="23"/>
      <c r="BVK83" s="50"/>
      <c r="BVL83" s="51"/>
      <c r="BVM83" s="50"/>
      <c r="BVN83" s="23"/>
      <c r="BVO83" s="50"/>
      <c r="BVP83" s="51"/>
      <c r="BVQ83" s="50"/>
      <c r="BVR83" s="23"/>
      <c r="BVS83" s="50"/>
      <c r="BVT83" s="51"/>
      <c r="BVU83" s="50"/>
      <c r="BVV83" s="23"/>
      <c r="BVW83" s="50"/>
      <c r="BVX83" s="51"/>
      <c r="BVY83" s="50"/>
      <c r="BVZ83" s="23"/>
      <c r="BWA83" s="50"/>
      <c r="BWB83" s="51"/>
      <c r="BWC83" s="50"/>
      <c r="BWD83" s="23"/>
      <c r="BWE83" s="50"/>
      <c r="BWF83" s="51"/>
      <c r="BWG83" s="50"/>
      <c r="BWH83" s="23"/>
      <c r="BWI83" s="50"/>
      <c r="BWJ83" s="51"/>
      <c r="BWK83" s="50"/>
      <c r="BWL83" s="23"/>
      <c r="BWM83" s="50"/>
      <c r="BWN83" s="51"/>
      <c r="BWO83" s="50"/>
      <c r="BWP83" s="23"/>
      <c r="BWQ83" s="50"/>
      <c r="BWR83" s="51"/>
      <c r="BWS83" s="50"/>
      <c r="BWT83" s="23"/>
      <c r="BWU83" s="50"/>
      <c r="BWV83" s="51"/>
      <c r="BWW83" s="50"/>
      <c r="BWX83" s="23"/>
      <c r="BWY83" s="50"/>
      <c r="BWZ83" s="51"/>
      <c r="BXA83" s="50"/>
      <c r="BXB83" s="23"/>
      <c r="BXC83" s="50"/>
      <c r="BXD83" s="51"/>
      <c r="BXE83" s="50"/>
      <c r="BXF83" s="23"/>
      <c r="BXG83" s="50"/>
      <c r="BXH83" s="51"/>
      <c r="BXI83" s="50"/>
      <c r="BXJ83" s="23"/>
      <c r="BXK83" s="50"/>
      <c r="BXL83" s="51"/>
      <c r="BXM83" s="50"/>
      <c r="BXN83" s="23"/>
      <c r="BXO83" s="50"/>
      <c r="BXP83" s="51"/>
      <c r="BXQ83" s="50"/>
      <c r="BXR83" s="23"/>
      <c r="BXS83" s="50"/>
      <c r="BXT83" s="51"/>
      <c r="BXU83" s="50"/>
      <c r="BXV83" s="23"/>
      <c r="BXW83" s="50"/>
      <c r="BXX83" s="51"/>
      <c r="BXY83" s="50"/>
      <c r="BXZ83" s="23"/>
      <c r="BYA83" s="50"/>
      <c r="BYB83" s="51"/>
      <c r="BYC83" s="50"/>
      <c r="BYD83" s="23"/>
      <c r="BYE83" s="50"/>
      <c r="BYF83" s="51"/>
      <c r="BYG83" s="50"/>
      <c r="BYH83" s="23"/>
      <c r="BYI83" s="50"/>
      <c r="BYJ83" s="51"/>
      <c r="BYK83" s="50"/>
      <c r="BYL83" s="23"/>
      <c r="BYM83" s="50"/>
      <c r="BYN83" s="51"/>
      <c r="BYO83" s="50"/>
      <c r="BYP83" s="23"/>
      <c r="BYQ83" s="50"/>
      <c r="BYR83" s="51"/>
      <c r="BYS83" s="50"/>
      <c r="BYT83" s="23"/>
      <c r="BYU83" s="50"/>
      <c r="BYV83" s="51"/>
      <c r="BYW83" s="50"/>
      <c r="BYX83" s="23"/>
      <c r="BYY83" s="50"/>
      <c r="BYZ83" s="51"/>
      <c r="BZA83" s="50"/>
      <c r="BZB83" s="23"/>
      <c r="BZC83" s="50"/>
      <c r="BZD83" s="51"/>
      <c r="BZE83" s="50"/>
      <c r="BZF83" s="23"/>
      <c r="BZG83" s="50"/>
      <c r="BZH83" s="51"/>
      <c r="BZI83" s="50"/>
      <c r="BZJ83" s="23"/>
      <c r="BZK83" s="50"/>
      <c r="BZL83" s="51"/>
      <c r="BZM83" s="50"/>
      <c r="BZN83" s="23"/>
      <c r="BZO83" s="50"/>
      <c r="BZP83" s="51"/>
      <c r="BZQ83" s="50"/>
      <c r="BZR83" s="23"/>
      <c r="BZS83" s="50"/>
      <c r="BZT83" s="51"/>
      <c r="BZU83" s="50"/>
      <c r="BZV83" s="23"/>
      <c r="BZW83" s="50"/>
      <c r="BZX83" s="51"/>
      <c r="BZY83" s="50"/>
      <c r="BZZ83" s="23"/>
      <c r="CAA83" s="50"/>
      <c r="CAB83" s="51"/>
      <c r="CAC83" s="50"/>
      <c r="CAD83" s="23"/>
      <c r="CAE83" s="50"/>
      <c r="CAF83" s="51"/>
      <c r="CAG83" s="50"/>
      <c r="CAH83" s="23"/>
      <c r="CAI83" s="50"/>
      <c r="CAJ83" s="51"/>
      <c r="CAK83" s="50"/>
      <c r="CAL83" s="23"/>
      <c r="CAM83" s="50"/>
      <c r="CAN83" s="51"/>
      <c r="CAO83" s="50"/>
      <c r="CAP83" s="23"/>
      <c r="CAQ83" s="50"/>
      <c r="CAR83" s="51"/>
      <c r="CAS83" s="50"/>
      <c r="CAT83" s="23"/>
      <c r="CAU83" s="50"/>
      <c r="CAV83" s="51"/>
      <c r="CAW83" s="50"/>
      <c r="CAX83" s="23"/>
      <c r="CAY83" s="50"/>
      <c r="CAZ83" s="51"/>
      <c r="CBA83" s="50"/>
      <c r="CBB83" s="23"/>
      <c r="CBC83" s="50"/>
      <c r="CBD83" s="51"/>
      <c r="CBE83" s="50"/>
      <c r="CBF83" s="23"/>
      <c r="CBG83" s="50"/>
      <c r="CBH83" s="51"/>
      <c r="CBI83" s="50"/>
      <c r="CBJ83" s="23"/>
      <c r="CBK83" s="50"/>
      <c r="CBL83" s="51"/>
      <c r="CBM83" s="50"/>
      <c r="CBN83" s="23"/>
      <c r="CBO83" s="50"/>
      <c r="CBP83" s="51"/>
      <c r="CBQ83" s="50"/>
      <c r="CBR83" s="23"/>
      <c r="CBS83" s="50"/>
      <c r="CBT83" s="51"/>
      <c r="CBU83" s="50"/>
      <c r="CBV83" s="23"/>
      <c r="CBW83" s="50"/>
      <c r="CBX83" s="51"/>
      <c r="CBY83" s="50"/>
      <c r="CBZ83" s="23"/>
      <c r="CCA83" s="50"/>
      <c r="CCB83" s="51"/>
      <c r="CCC83" s="50"/>
      <c r="CCD83" s="23"/>
      <c r="CCE83" s="50"/>
      <c r="CCF83" s="51"/>
      <c r="CCG83" s="50"/>
      <c r="CCH83" s="23"/>
      <c r="CCI83" s="50"/>
      <c r="CCJ83" s="51"/>
      <c r="CCK83" s="50"/>
      <c r="CCL83" s="23"/>
      <c r="CCM83" s="50"/>
      <c r="CCN83" s="51"/>
      <c r="CCO83" s="50"/>
      <c r="CCP83" s="23"/>
      <c r="CCQ83" s="50"/>
      <c r="CCR83" s="51"/>
      <c r="CCS83" s="50"/>
      <c r="CCT83" s="23"/>
      <c r="CCU83" s="50"/>
      <c r="CCV83" s="51"/>
      <c r="CCW83" s="50"/>
      <c r="CCX83" s="23"/>
      <c r="CCY83" s="50"/>
      <c r="CCZ83" s="51"/>
      <c r="CDA83" s="50"/>
      <c r="CDB83" s="23"/>
      <c r="CDC83" s="50"/>
      <c r="CDD83" s="51"/>
      <c r="CDE83" s="50"/>
      <c r="CDF83" s="23"/>
      <c r="CDG83" s="50"/>
      <c r="CDH83" s="51"/>
      <c r="CDI83" s="50"/>
      <c r="CDJ83" s="23"/>
      <c r="CDK83" s="50"/>
      <c r="CDL83" s="51"/>
      <c r="CDM83" s="50"/>
      <c r="CDN83" s="23"/>
      <c r="CDO83" s="50"/>
      <c r="CDP83" s="51"/>
      <c r="CDQ83" s="50"/>
      <c r="CDR83" s="23"/>
      <c r="CDS83" s="50"/>
      <c r="CDT83" s="51"/>
      <c r="CDU83" s="50"/>
      <c r="CDV83" s="23"/>
      <c r="CDW83" s="50"/>
      <c r="CDX83" s="51"/>
      <c r="CDY83" s="50"/>
      <c r="CDZ83" s="23"/>
      <c r="CEA83" s="50"/>
      <c r="CEB83" s="51"/>
      <c r="CEC83" s="50"/>
      <c r="CED83" s="23"/>
      <c r="CEE83" s="50"/>
      <c r="CEF83" s="51"/>
      <c r="CEG83" s="50"/>
      <c r="CEH83" s="23"/>
      <c r="CEI83" s="50"/>
      <c r="CEJ83" s="51"/>
      <c r="CEK83" s="50"/>
      <c r="CEL83" s="23"/>
      <c r="CEM83" s="50"/>
      <c r="CEN83" s="51"/>
      <c r="CEO83" s="50"/>
      <c r="CEP83" s="23"/>
      <c r="CEQ83" s="50"/>
      <c r="CER83" s="51"/>
      <c r="CES83" s="50"/>
      <c r="CET83" s="23"/>
      <c r="CEU83" s="50"/>
      <c r="CEV83" s="51"/>
      <c r="CEW83" s="50"/>
      <c r="CEX83" s="23"/>
      <c r="CEY83" s="50"/>
      <c r="CEZ83" s="51"/>
      <c r="CFA83" s="50"/>
      <c r="CFB83" s="23"/>
      <c r="CFC83" s="50"/>
      <c r="CFD83" s="51"/>
      <c r="CFE83" s="50"/>
      <c r="CFF83" s="23"/>
      <c r="CFG83" s="50"/>
      <c r="CFH83" s="51"/>
      <c r="CFI83" s="50"/>
      <c r="CFJ83" s="23"/>
      <c r="CFK83" s="50"/>
      <c r="CFL83" s="51"/>
      <c r="CFM83" s="50"/>
      <c r="CFN83" s="23"/>
      <c r="CFO83" s="50"/>
      <c r="CFP83" s="51"/>
      <c r="CFQ83" s="50"/>
      <c r="CFR83" s="23"/>
      <c r="CFS83" s="50"/>
      <c r="CFT83" s="51"/>
      <c r="CFU83" s="50"/>
      <c r="CFV83" s="23"/>
      <c r="CFW83" s="50"/>
      <c r="CFX83" s="51"/>
      <c r="CFY83" s="50"/>
      <c r="CFZ83" s="23"/>
      <c r="CGA83" s="50"/>
      <c r="CGB83" s="51"/>
      <c r="CGC83" s="50"/>
      <c r="CGD83" s="23"/>
      <c r="CGE83" s="50"/>
      <c r="CGF83" s="51"/>
      <c r="CGG83" s="50"/>
      <c r="CGH83" s="23"/>
      <c r="CGI83" s="50"/>
      <c r="CGJ83" s="51"/>
      <c r="CGK83" s="50"/>
      <c r="CGL83" s="23"/>
      <c r="CGM83" s="50"/>
      <c r="CGN83" s="51"/>
      <c r="CGO83" s="50"/>
      <c r="CGP83" s="23"/>
      <c r="CGQ83" s="50"/>
      <c r="CGR83" s="51"/>
      <c r="CGS83" s="50"/>
      <c r="CGT83" s="23"/>
      <c r="CGU83" s="50"/>
      <c r="CGV83" s="51"/>
      <c r="CGW83" s="50"/>
      <c r="CGX83" s="23"/>
      <c r="CGY83" s="50"/>
      <c r="CGZ83" s="51"/>
      <c r="CHA83" s="50"/>
      <c r="CHB83" s="23"/>
      <c r="CHC83" s="50"/>
      <c r="CHD83" s="51"/>
      <c r="CHE83" s="50"/>
      <c r="CHF83" s="23"/>
      <c r="CHG83" s="50"/>
      <c r="CHH83" s="51"/>
      <c r="CHI83" s="50"/>
      <c r="CHJ83" s="23"/>
      <c r="CHK83" s="50"/>
      <c r="CHL83" s="51"/>
      <c r="CHM83" s="50"/>
      <c r="CHN83" s="23"/>
      <c r="CHO83" s="50"/>
      <c r="CHP83" s="51"/>
      <c r="CHQ83" s="50"/>
      <c r="CHR83" s="23"/>
      <c r="CHS83" s="50"/>
      <c r="CHT83" s="51"/>
      <c r="CHU83" s="50"/>
      <c r="CHV83" s="23"/>
      <c r="CHW83" s="50"/>
      <c r="CHX83" s="51"/>
      <c r="CHY83" s="50"/>
      <c r="CHZ83" s="23"/>
      <c r="CIA83" s="50"/>
      <c r="CIB83" s="51"/>
      <c r="CIC83" s="50"/>
      <c r="CID83" s="23"/>
      <c r="CIE83" s="50"/>
      <c r="CIF83" s="51"/>
      <c r="CIG83" s="50"/>
      <c r="CIH83" s="23"/>
      <c r="CII83" s="50"/>
      <c r="CIJ83" s="51"/>
      <c r="CIK83" s="50"/>
      <c r="CIL83" s="23"/>
      <c r="CIM83" s="50"/>
      <c r="CIN83" s="51"/>
      <c r="CIO83" s="50"/>
      <c r="CIP83" s="23"/>
      <c r="CIQ83" s="50"/>
      <c r="CIR83" s="51"/>
      <c r="CIS83" s="50"/>
      <c r="CIT83" s="23"/>
      <c r="CIU83" s="50"/>
      <c r="CIV83" s="51"/>
      <c r="CIW83" s="50"/>
      <c r="CIX83" s="23"/>
      <c r="CIY83" s="50"/>
      <c r="CIZ83" s="51"/>
      <c r="CJA83" s="50"/>
      <c r="CJB83" s="23"/>
      <c r="CJC83" s="50"/>
      <c r="CJD83" s="51"/>
      <c r="CJE83" s="50"/>
      <c r="CJF83" s="23"/>
      <c r="CJG83" s="50"/>
      <c r="CJH83" s="51"/>
      <c r="CJI83" s="50"/>
      <c r="CJJ83" s="23"/>
      <c r="CJK83" s="50"/>
      <c r="CJL83" s="51"/>
      <c r="CJM83" s="50"/>
      <c r="CJN83" s="23"/>
      <c r="CJO83" s="50"/>
      <c r="CJP83" s="51"/>
      <c r="CJQ83" s="50"/>
      <c r="CJR83" s="23"/>
      <c r="CJS83" s="50"/>
      <c r="CJT83" s="51"/>
      <c r="CJU83" s="50"/>
      <c r="CJV83" s="23"/>
      <c r="CJW83" s="50"/>
      <c r="CJX83" s="51"/>
      <c r="CJY83" s="50"/>
      <c r="CJZ83" s="23"/>
      <c r="CKA83" s="50"/>
      <c r="CKB83" s="51"/>
      <c r="CKC83" s="50"/>
      <c r="CKD83" s="23"/>
      <c r="CKE83" s="50"/>
      <c r="CKF83" s="51"/>
      <c r="CKG83" s="50"/>
      <c r="CKH83" s="23"/>
      <c r="CKI83" s="50"/>
      <c r="CKJ83" s="51"/>
      <c r="CKK83" s="50"/>
      <c r="CKL83" s="23"/>
      <c r="CKM83" s="50"/>
      <c r="CKN83" s="51"/>
      <c r="CKO83" s="50"/>
      <c r="CKP83" s="23"/>
      <c r="CKQ83" s="50"/>
      <c r="CKR83" s="51"/>
      <c r="CKS83" s="50"/>
      <c r="CKT83" s="23"/>
      <c r="CKU83" s="50"/>
      <c r="CKV83" s="51"/>
      <c r="CKW83" s="50"/>
      <c r="CKX83" s="23"/>
      <c r="CKY83" s="50"/>
      <c r="CKZ83" s="51"/>
      <c r="CLA83" s="50"/>
      <c r="CLB83" s="23"/>
      <c r="CLC83" s="50"/>
      <c r="CLD83" s="51"/>
      <c r="CLE83" s="50"/>
      <c r="CLF83" s="23"/>
      <c r="CLG83" s="50"/>
      <c r="CLH83" s="51"/>
      <c r="CLI83" s="50"/>
      <c r="CLJ83" s="23"/>
      <c r="CLK83" s="50"/>
      <c r="CLL83" s="51"/>
      <c r="CLM83" s="50"/>
      <c r="CLN83" s="23"/>
      <c r="CLO83" s="50"/>
      <c r="CLP83" s="51"/>
      <c r="CLQ83" s="50"/>
      <c r="CLR83" s="23"/>
      <c r="CLS83" s="50"/>
      <c r="CLT83" s="51"/>
      <c r="CLU83" s="50"/>
      <c r="CLV83" s="23"/>
      <c r="CLW83" s="50"/>
      <c r="CLX83" s="51"/>
      <c r="CLY83" s="50"/>
      <c r="CLZ83" s="23"/>
      <c r="CMA83" s="50"/>
      <c r="CMB83" s="51"/>
      <c r="CMC83" s="50"/>
      <c r="CMD83" s="23"/>
      <c r="CME83" s="50"/>
      <c r="CMF83" s="51"/>
      <c r="CMG83" s="50"/>
      <c r="CMH83" s="23"/>
      <c r="CMI83" s="50"/>
      <c r="CMJ83" s="51"/>
      <c r="CMK83" s="50"/>
      <c r="CML83" s="23"/>
      <c r="CMM83" s="50"/>
      <c r="CMN83" s="51"/>
      <c r="CMO83" s="50"/>
      <c r="CMP83" s="23"/>
      <c r="CMQ83" s="50"/>
      <c r="CMR83" s="51"/>
      <c r="CMS83" s="50"/>
      <c r="CMT83" s="23"/>
      <c r="CMU83" s="50"/>
      <c r="CMV83" s="51"/>
      <c r="CMW83" s="50"/>
      <c r="CMX83" s="23"/>
      <c r="CMY83" s="50"/>
      <c r="CMZ83" s="51"/>
      <c r="CNA83" s="50"/>
      <c r="CNB83" s="23"/>
      <c r="CNC83" s="50"/>
      <c r="CND83" s="51"/>
      <c r="CNE83" s="50"/>
      <c r="CNF83" s="23"/>
      <c r="CNG83" s="50"/>
      <c r="CNH83" s="51"/>
      <c r="CNI83" s="50"/>
      <c r="CNJ83" s="23"/>
      <c r="CNK83" s="50"/>
      <c r="CNL83" s="51"/>
      <c r="CNM83" s="50"/>
      <c r="CNN83" s="23"/>
      <c r="CNO83" s="50"/>
      <c r="CNP83" s="51"/>
      <c r="CNQ83" s="50"/>
      <c r="CNR83" s="23"/>
      <c r="CNS83" s="50"/>
      <c r="CNT83" s="51"/>
      <c r="CNU83" s="50"/>
      <c r="CNV83" s="23"/>
      <c r="CNW83" s="50"/>
      <c r="CNX83" s="51"/>
      <c r="CNY83" s="50"/>
      <c r="CNZ83" s="23"/>
      <c r="COA83" s="50"/>
      <c r="COB83" s="51"/>
      <c r="COC83" s="50"/>
      <c r="COD83" s="23"/>
      <c r="COE83" s="50"/>
      <c r="COF83" s="51"/>
      <c r="COG83" s="50"/>
      <c r="COH83" s="23"/>
      <c r="COI83" s="50"/>
      <c r="COJ83" s="51"/>
      <c r="COK83" s="50"/>
      <c r="COL83" s="23"/>
      <c r="COM83" s="50"/>
      <c r="CON83" s="51"/>
      <c r="COO83" s="50"/>
      <c r="COP83" s="23"/>
      <c r="COQ83" s="50"/>
      <c r="COR83" s="51"/>
      <c r="COS83" s="50"/>
      <c r="COT83" s="23"/>
      <c r="COU83" s="50"/>
      <c r="COV83" s="51"/>
      <c r="COW83" s="50"/>
      <c r="COX83" s="23"/>
      <c r="COY83" s="50"/>
      <c r="COZ83" s="51"/>
      <c r="CPA83" s="50"/>
      <c r="CPB83" s="23"/>
      <c r="CPC83" s="50"/>
      <c r="CPD83" s="51"/>
      <c r="CPE83" s="50"/>
      <c r="CPF83" s="23"/>
      <c r="CPG83" s="50"/>
      <c r="CPH83" s="51"/>
      <c r="CPI83" s="50"/>
      <c r="CPJ83" s="23"/>
      <c r="CPK83" s="50"/>
      <c r="CPL83" s="51"/>
      <c r="CPM83" s="50"/>
      <c r="CPN83" s="23"/>
      <c r="CPO83" s="50"/>
      <c r="CPP83" s="51"/>
      <c r="CPQ83" s="50"/>
      <c r="CPR83" s="23"/>
      <c r="CPS83" s="50"/>
      <c r="CPT83" s="51"/>
      <c r="CPU83" s="50"/>
      <c r="CPV83" s="23"/>
      <c r="CPW83" s="50"/>
      <c r="CPX83" s="51"/>
      <c r="CPY83" s="50"/>
      <c r="CPZ83" s="23"/>
      <c r="CQA83" s="50"/>
      <c r="CQB83" s="51"/>
      <c r="CQC83" s="50"/>
      <c r="CQD83" s="23"/>
      <c r="CQE83" s="50"/>
      <c r="CQF83" s="51"/>
      <c r="CQG83" s="50"/>
      <c r="CQH83" s="23"/>
      <c r="CQI83" s="50"/>
      <c r="CQJ83" s="51"/>
      <c r="CQK83" s="50"/>
      <c r="CQL83" s="23"/>
      <c r="CQM83" s="50"/>
      <c r="CQN83" s="51"/>
      <c r="CQO83" s="50"/>
      <c r="CQP83" s="23"/>
      <c r="CQQ83" s="50"/>
      <c r="CQR83" s="51"/>
      <c r="CQS83" s="50"/>
      <c r="CQT83" s="23"/>
      <c r="CQU83" s="50"/>
      <c r="CQV83" s="51"/>
      <c r="CQW83" s="50"/>
      <c r="CQX83" s="23"/>
      <c r="CQY83" s="50"/>
      <c r="CQZ83" s="51"/>
      <c r="CRA83" s="50"/>
      <c r="CRB83" s="23"/>
      <c r="CRC83" s="50"/>
      <c r="CRD83" s="51"/>
      <c r="CRE83" s="50"/>
      <c r="CRF83" s="23"/>
      <c r="CRG83" s="50"/>
      <c r="CRH83" s="51"/>
      <c r="CRI83" s="50"/>
      <c r="CRJ83" s="23"/>
      <c r="CRK83" s="50"/>
      <c r="CRL83" s="51"/>
      <c r="CRM83" s="50"/>
      <c r="CRN83" s="23"/>
      <c r="CRO83" s="50"/>
      <c r="CRP83" s="51"/>
      <c r="CRQ83" s="50"/>
      <c r="CRR83" s="23"/>
      <c r="CRS83" s="50"/>
      <c r="CRT83" s="51"/>
      <c r="CRU83" s="50"/>
      <c r="CRV83" s="23"/>
      <c r="CRW83" s="50"/>
      <c r="CRX83" s="51"/>
      <c r="CRY83" s="50"/>
      <c r="CRZ83" s="23"/>
      <c r="CSA83" s="50"/>
      <c r="CSB83" s="51"/>
      <c r="CSC83" s="50"/>
      <c r="CSD83" s="23"/>
      <c r="CSE83" s="50"/>
      <c r="CSF83" s="51"/>
      <c r="CSG83" s="50"/>
      <c r="CSH83" s="23"/>
      <c r="CSI83" s="50"/>
      <c r="CSJ83" s="51"/>
      <c r="CSK83" s="50"/>
      <c r="CSL83" s="23"/>
      <c r="CSM83" s="50"/>
      <c r="CSN83" s="51"/>
      <c r="CSO83" s="50"/>
      <c r="CSP83" s="23"/>
      <c r="CSQ83" s="50"/>
      <c r="CSR83" s="51"/>
      <c r="CSS83" s="50"/>
      <c r="CST83" s="23"/>
      <c r="CSU83" s="50"/>
      <c r="CSV83" s="51"/>
      <c r="CSW83" s="50"/>
      <c r="CSX83" s="23"/>
      <c r="CSY83" s="50"/>
      <c r="CSZ83" s="51"/>
      <c r="CTA83" s="50"/>
      <c r="CTB83" s="23"/>
      <c r="CTC83" s="50"/>
      <c r="CTD83" s="51"/>
      <c r="CTE83" s="50"/>
      <c r="CTF83" s="23"/>
      <c r="CTG83" s="50"/>
      <c r="CTH83" s="51"/>
      <c r="CTI83" s="50"/>
      <c r="CTJ83" s="23"/>
      <c r="CTK83" s="50"/>
      <c r="CTL83" s="51"/>
      <c r="CTM83" s="50"/>
      <c r="CTN83" s="23"/>
      <c r="CTO83" s="50"/>
      <c r="CTP83" s="51"/>
      <c r="CTQ83" s="50"/>
      <c r="CTR83" s="23"/>
      <c r="CTS83" s="50"/>
      <c r="CTT83" s="51"/>
      <c r="CTU83" s="50"/>
      <c r="CTV83" s="23"/>
      <c r="CTW83" s="50"/>
      <c r="CTX83" s="51"/>
      <c r="CTY83" s="50"/>
      <c r="CTZ83" s="23"/>
      <c r="CUA83" s="50"/>
      <c r="CUB83" s="51"/>
      <c r="CUC83" s="50"/>
      <c r="CUD83" s="23"/>
      <c r="CUE83" s="50"/>
      <c r="CUF83" s="51"/>
      <c r="CUG83" s="50"/>
      <c r="CUH83" s="23"/>
      <c r="CUI83" s="50"/>
      <c r="CUJ83" s="51"/>
      <c r="CUK83" s="50"/>
      <c r="CUL83" s="23"/>
      <c r="CUM83" s="50"/>
      <c r="CUN83" s="51"/>
      <c r="CUO83" s="50"/>
      <c r="CUP83" s="23"/>
      <c r="CUQ83" s="50"/>
      <c r="CUR83" s="51"/>
      <c r="CUS83" s="50"/>
      <c r="CUT83" s="23"/>
      <c r="CUU83" s="50"/>
      <c r="CUV83" s="51"/>
      <c r="CUW83" s="50"/>
      <c r="CUX83" s="23"/>
      <c r="CUY83" s="50"/>
      <c r="CUZ83" s="51"/>
      <c r="CVA83" s="50"/>
      <c r="CVB83" s="23"/>
      <c r="CVC83" s="50"/>
      <c r="CVD83" s="51"/>
      <c r="CVE83" s="50"/>
      <c r="CVF83" s="23"/>
      <c r="CVG83" s="50"/>
      <c r="CVH83" s="51"/>
      <c r="CVI83" s="50"/>
      <c r="CVJ83" s="23"/>
      <c r="CVK83" s="50"/>
      <c r="CVL83" s="51"/>
      <c r="CVM83" s="50"/>
      <c r="CVN83" s="23"/>
      <c r="CVO83" s="50"/>
      <c r="CVP83" s="51"/>
      <c r="CVQ83" s="50"/>
      <c r="CVR83" s="23"/>
      <c r="CVS83" s="50"/>
      <c r="CVT83" s="51"/>
      <c r="CVU83" s="50"/>
      <c r="CVV83" s="23"/>
      <c r="CVW83" s="50"/>
      <c r="CVX83" s="51"/>
      <c r="CVY83" s="50"/>
      <c r="CVZ83" s="23"/>
      <c r="CWA83" s="50"/>
      <c r="CWB83" s="51"/>
      <c r="CWC83" s="50"/>
      <c r="CWD83" s="23"/>
      <c r="CWE83" s="50"/>
      <c r="CWF83" s="51"/>
      <c r="CWG83" s="50"/>
      <c r="CWH83" s="23"/>
      <c r="CWI83" s="50"/>
      <c r="CWJ83" s="51"/>
      <c r="CWK83" s="50"/>
      <c r="CWL83" s="23"/>
      <c r="CWM83" s="50"/>
      <c r="CWN83" s="51"/>
      <c r="CWO83" s="50"/>
      <c r="CWP83" s="23"/>
      <c r="CWQ83" s="50"/>
      <c r="CWR83" s="51"/>
      <c r="CWS83" s="50"/>
      <c r="CWT83" s="23"/>
      <c r="CWU83" s="50"/>
      <c r="CWV83" s="51"/>
      <c r="CWW83" s="50"/>
      <c r="CWX83" s="23"/>
      <c r="CWY83" s="50"/>
      <c r="CWZ83" s="51"/>
      <c r="CXA83" s="50"/>
      <c r="CXB83" s="23"/>
      <c r="CXC83" s="50"/>
      <c r="CXD83" s="51"/>
      <c r="CXE83" s="50"/>
      <c r="CXF83" s="23"/>
      <c r="CXG83" s="50"/>
      <c r="CXH83" s="51"/>
      <c r="CXI83" s="50"/>
      <c r="CXJ83" s="23"/>
      <c r="CXK83" s="50"/>
      <c r="CXL83" s="51"/>
      <c r="CXM83" s="50"/>
      <c r="CXN83" s="23"/>
      <c r="CXO83" s="50"/>
      <c r="CXP83" s="51"/>
      <c r="CXQ83" s="50"/>
      <c r="CXR83" s="23"/>
      <c r="CXS83" s="50"/>
      <c r="CXT83" s="51"/>
      <c r="CXU83" s="50"/>
      <c r="CXV83" s="23"/>
      <c r="CXW83" s="50"/>
      <c r="CXX83" s="51"/>
      <c r="CXY83" s="50"/>
      <c r="CXZ83" s="23"/>
      <c r="CYA83" s="50"/>
      <c r="CYB83" s="51"/>
      <c r="CYC83" s="50"/>
      <c r="CYD83" s="23"/>
      <c r="CYE83" s="50"/>
      <c r="CYF83" s="51"/>
      <c r="CYG83" s="50"/>
      <c r="CYH83" s="23"/>
      <c r="CYI83" s="50"/>
      <c r="CYJ83" s="51"/>
      <c r="CYK83" s="50"/>
      <c r="CYL83" s="23"/>
      <c r="CYM83" s="50"/>
      <c r="CYN83" s="51"/>
      <c r="CYO83" s="50"/>
      <c r="CYP83" s="23"/>
      <c r="CYQ83" s="50"/>
      <c r="CYR83" s="51"/>
      <c r="CYS83" s="50"/>
      <c r="CYT83" s="23"/>
      <c r="CYU83" s="50"/>
      <c r="CYV83" s="51"/>
      <c r="CYW83" s="50"/>
      <c r="CYX83" s="23"/>
      <c r="CYY83" s="50"/>
      <c r="CYZ83" s="51"/>
      <c r="CZA83" s="50"/>
      <c r="CZB83" s="23"/>
      <c r="CZC83" s="50"/>
      <c r="CZD83" s="51"/>
      <c r="CZE83" s="50"/>
      <c r="CZF83" s="23"/>
      <c r="CZG83" s="50"/>
      <c r="CZH83" s="51"/>
      <c r="CZI83" s="50"/>
      <c r="CZJ83" s="23"/>
      <c r="CZK83" s="50"/>
      <c r="CZL83" s="51"/>
      <c r="CZM83" s="50"/>
      <c r="CZN83" s="23"/>
      <c r="CZO83" s="50"/>
      <c r="CZP83" s="51"/>
      <c r="CZQ83" s="50"/>
      <c r="CZR83" s="23"/>
      <c r="CZS83" s="50"/>
      <c r="CZT83" s="51"/>
      <c r="CZU83" s="50"/>
      <c r="CZV83" s="23"/>
      <c r="CZW83" s="50"/>
      <c r="CZX83" s="51"/>
      <c r="CZY83" s="50"/>
      <c r="CZZ83" s="23"/>
      <c r="DAA83" s="50"/>
      <c r="DAB83" s="51"/>
      <c r="DAC83" s="50"/>
      <c r="DAD83" s="23"/>
      <c r="DAE83" s="50"/>
      <c r="DAF83" s="51"/>
      <c r="DAG83" s="50"/>
      <c r="DAH83" s="23"/>
      <c r="DAI83" s="50"/>
      <c r="DAJ83" s="51"/>
      <c r="DAK83" s="50"/>
      <c r="DAL83" s="23"/>
      <c r="DAM83" s="50"/>
      <c r="DAN83" s="51"/>
      <c r="DAO83" s="50"/>
      <c r="DAP83" s="23"/>
      <c r="DAQ83" s="50"/>
      <c r="DAR83" s="51"/>
      <c r="DAS83" s="50"/>
      <c r="DAT83" s="23"/>
      <c r="DAU83" s="50"/>
      <c r="DAV83" s="51"/>
      <c r="DAW83" s="50"/>
      <c r="DAX83" s="23"/>
      <c r="DAY83" s="50"/>
      <c r="DAZ83" s="51"/>
      <c r="DBA83" s="50"/>
      <c r="DBB83" s="23"/>
      <c r="DBC83" s="50"/>
      <c r="DBD83" s="51"/>
      <c r="DBE83" s="50"/>
      <c r="DBF83" s="23"/>
      <c r="DBG83" s="50"/>
      <c r="DBH83" s="51"/>
      <c r="DBI83" s="50"/>
      <c r="DBJ83" s="23"/>
      <c r="DBK83" s="50"/>
      <c r="DBL83" s="51"/>
      <c r="DBM83" s="50"/>
      <c r="DBN83" s="23"/>
      <c r="DBO83" s="50"/>
      <c r="DBP83" s="51"/>
      <c r="DBQ83" s="50"/>
      <c r="DBR83" s="23"/>
      <c r="DBS83" s="50"/>
      <c r="DBT83" s="51"/>
      <c r="DBU83" s="50"/>
      <c r="DBV83" s="23"/>
      <c r="DBW83" s="50"/>
      <c r="DBX83" s="51"/>
      <c r="DBY83" s="50"/>
      <c r="DBZ83" s="23"/>
      <c r="DCA83" s="50"/>
      <c r="DCB83" s="51"/>
      <c r="DCC83" s="50"/>
      <c r="DCD83" s="23"/>
      <c r="DCE83" s="50"/>
      <c r="DCF83" s="51"/>
      <c r="DCG83" s="50"/>
      <c r="DCH83" s="23"/>
      <c r="DCI83" s="50"/>
      <c r="DCJ83" s="51"/>
      <c r="DCK83" s="50"/>
      <c r="DCL83" s="23"/>
      <c r="DCM83" s="50"/>
      <c r="DCN83" s="51"/>
      <c r="DCO83" s="50"/>
      <c r="DCP83" s="23"/>
      <c r="DCQ83" s="50"/>
      <c r="DCR83" s="51"/>
      <c r="DCS83" s="50"/>
      <c r="DCT83" s="23"/>
      <c r="DCU83" s="50"/>
      <c r="DCV83" s="51"/>
      <c r="DCW83" s="50"/>
      <c r="DCX83" s="23"/>
      <c r="DCY83" s="50"/>
      <c r="DCZ83" s="51"/>
      <c r="DDA83" s="50"/>
      <c r="DDB83" s="23"/>
      <c r="DDC83" s="50"/>
      <c r="DDD83" s="51"/>
      <c r="DDE83" s="50"/>
      <c r="DDF83" s="23"/>
      <c r="DDG83" s="50"/>
      <c r="DDH83" s="51"/>
      <c r="DDI83" s="50"/>
      <c r="DDJ83" s="23"/>
      <c r="DDK83" s="50"/>
      <c r="DDL83" s="51"/>
      <c r="DDM83" s="50"/>
      <c r="DDN83" s="23"/>
      <c r="DDO83" s="50"/>
      <c r="DDP83" s="51"/>
      <c r="DDQ83" s="50"/>
      <c r="DDR83" s="23"/>
      <c r="DDS83" s="50"/>
      <c r="DDT83" s="51"/>
      <c r="DDU83" s="50"/>
      <c r="DDV83" s="23"/>
      <c r="DDW83" s="50"/>
      <c r="DDX83" s="51"/>
      <c r="DDY83" s="50"/>
      <c r="DDZ83" s="23"/>
      <c r="DEA83" s="50"/>
      <c r="DEB83" s="51"/>
      <c r="DEC83" s="50"/>
      <c r="DED83" s="23"/>
      <c r="DEE83" s="50"/>
      <c r="DEF83" s="51"/>
      <c r="DEG83" s="50"/>
      <c r="DEH83" s="23"/>
      <c r="DEI83" s="50"/>
      <c r="DEJ83" s="51"/>
      <c r="DEK83" s="50"/>
      <c r="DEL83" s="23"/>
      <c r="DEM83" s="50"/>
      <c r="DEN83" s="51"/>
      <c r="DEO83" s="50"/>
      <c r="DEP83" s="23"/>
      <c r="DEQ83" s="50"/>
      <c r="DER83" s="51"/>
      <c r="DES83" s="50"/>
      <c r="DET83" s="23"/>
      <c r="DEU83" s="50"/>
      <c r="DEV83" s="51"/>
      <c r="DEW83" s="50"/>
      <c r="DEX83" s="23"/>
      <c r="DEY83" s="50"/>
      <c r="DEZ83" s="51"/>
      <c r="DFA83" s="50"/>
      <c r="DFB83" s="23"/>
      <c r="DFC83" s="50"/>
      <c r="DFD83" s="51"/>
      <c r="DFE83" s="50"/>
      <c r="DFF83" s="23"/>
      <c r="DFG83" s="50"/>
      <c r="DFH83" s="51"/>
      <c r="DFI83" s="50"/>
      <c r="DFJ83" s="23"/>
      <c r="DFK83" s="50"/>
      <c r="DFL83" s="51"/>
      <c r="DFM83" s="50"/>
      <c r="DFN83" s="23"/>
      <c r="DFO83" s="50"/>
      <c r="DFP83" s="51"/>
      <c r="DFQ83" s="50"/>
      <c r="DFR83" s="23"/>
      <c r="DFS83" s="50"/>
      <c r="DFT83" s="51"/>
      <c r="DFU83" s="50"/>
      <c r="DFV83" s="23"/>
      <c r="DFW83" s="50"/>
      <c r="DFX83" s="51"/>
      <c r="DFY83" s="50"/>
      <c r="DFZ83" s="23"/>
      <c r="DGA83" s="50"/>
      <c r="DGB83" s="51"/>
      <c r="DGC83" s="50"/>
      <c r="DGD83" s="23"/>
      <c r="DGE83" s="50"/>
      <c r="DGF83" s="51"/>
      <c r="DGG83" s="50"/>
      <c r="DGH83" s="23"/>
      <c r="DGI83" s="50"/>
      <c r="DGJ83" s="51"/>
      <c r="DGK83" s="50"/>
      <c r="DGL83" s="23"/>
      <c r="DGM83" s="50"/>
      <c r="DGN83" s="51"/>
      <c r="DGO83" s="50"/>
      <c r="DGP83" s="23"/>
      <c r="DGQ83" s="50"/>
      <c r="DGR83" s="51"/>
      <c r="DGS83" s="50"/>
      <c r="DGT83" s="23"/>
      <c r="DGU83" s="50"/>
      <c r="DGV83" s="51"/>
      <c r="DGW83" s="50"/>
      <c r="DGX83" s="23"/>
      <c r="DGY83" s="50"/>
      <c r="DGZ83" s="51"/>
      <c r="DHA83" s="50"/>
      <c r="DHB83" s="23"/>
      <c r="DHC83" s="50"/>
      <c r="DHD83" s="51"/>
      <c r="DHE83" s="50"/>
      <c r="DHF83" s="23"/>
      <c r="DHG83" s="50"/>
      <c r="DHH83" s="51"/>
      <c r="DHI83" s="50"/>
      <c r="DHJ83" s="23"/>
      <c r="DHK83" s="50"/>
      <c r="DHL83" s="51"/>
      <c r="DHM83" s="50"/>
      <c r="DHN83" s="23"/>
      <c r="DHO83" s="50"/>
      <c r="DHP83" s="51"/>
      <c r="DHQ83" s="50"/>
      <c r="DHR83" s="23"/>
      <c r="DHS83" s="50"/>
      <c r="DHT83" s="51"/>
      <c r="DHU83" s="50"/>
      <c r="DHV83" s="23"/>
      <c r="DHW83" s="50"/>
      <c r="DHX83" s="51"/>
      <c r="DHY83" s="50"/>
      <c r="DHZ83" s="23"/>
      <c r="DIA83" s="50"/>
      <c r="DIB83" s="51"/>
      <c r="DIC83" s="50"/>
      <c r="DID83" s="23"/>
      <c r="DIE83" s="50"/>
      <c r="DIF83" s="51"/>
      <c r="DIG83" s="50"/>
      <c r="DIH83" s="23"/>
      <c r="DII83" s="50"/>
      <c r="DIJ83" s="51"/>
      <c r="DIK83" s="50"/>
      <c r="DIL83" s="23"/>
      <c r="DIM83" s="50"/>
      <c r="DIN83" s="51"/>
      <c r="DIO83" s="50"/>
      <c r="DIP83" s="23"/>
      <c r="DIQ83" s="50"/>
      <c r="DIR83" s="51"/>
      <c r="DIS83" s="50"/>
      <c r="DIT83" s="23"/>
      <c r="DIU83" s="50"/>
      <c r="DIV83" s="51"/>
      <c r="DIW83" s="50"/>
      <c r="DIX83" s="23"/>
      <c r="DIY83" s="50"/>
      <c r="DIZ83" s="51"/>
      <c r="DJA83" s="50"/>
      <c r="DJB83" s="23"/>
      <c r="DJC83" s="50"/>
      <c r="DJD83" s="51"/>
      <c r="DJE83" s="50"/>
      <c r="DJF83" s="23"/>
      <c r="DJG83" s="50"/>
      <c r="DJH83" s="51"/>
      <c r="DJI83" s="50"/>
      <c r="DJJ83" s="23"/>
      <c r="DJK83" s="50"/>
      <c r="DJL83" s="51"/>
      <c r="DJM83" s="50"/>
      <c r="DJN83" s="23"/>
      <c r="DJO83" s="50"/>
      <c r="DJP83" s="51"/>
      <c r="DJQ83" s="50"/>
      <c r="DJR83" s="23"/>
      <c r="DJS83" s="50"/>
      <c r="DJT83" s="51"/>
      <c r="DJU83" s="50"/>
      <c r="DJV83" s="23"/>
      <c r="DJW83" s="50"/>
      <c r="DJX83" s="51"/>
      <c r="DJY83" s="50"/>
      <c r="DJZ83" s="23"/>
      <c r="DKA83" s="50"/>
      <c r="DKB83" s="51"/>
      <c r="DKC83" s="50"/>
      <c r="DKD83" s="23"/>
      <c r="DKE83" s="50"/>
      <c r="DKF83" s="51"/>
      <c r="DKG83" s="50"/>
      <c r="DKH83" s="23"/>
      <c r="DKI83" s="50"/>
      <c r="DKJ83" s="51"/>
      <c r="DKK83" s="50"/>
      <c r="DKL83" s="23"/>
      <c r="DKM83" s="50"/>
      <c r="DKN83" s="51"/>
      <c r="DKO83" s="50"/>
      <c r="DKP83" s="23"/>
      <c r="DKQ83" s="50"/>
      <c r="DKR83" s="51"/>
      <c r="DKS83" s="50"/>
      <c r="DKT83" s="23"/>
      <c r="DKU83" s="50"/>
      <c r="DKV83" s="51"/>
      <c r="DKW83" s="50"/>
      <c r="DKX83" s="23"/>
      <c r="DKY83" s="50"/>
      <c r="DKZ83" s="51"/>
      <c r="DLA83" s="50"/>
      <c r="DLB83" s="23"/>
      <c r="DLC83" s="50"/>
      <c r="DLD83" s="51"/>
      <c r="DLE83" s="50"/>
      <c r="DLF83" s="23"/>
      <c r="DLG83" s="50"/>
      <c r="DLH83" s="51"/>
      <c r="DLI83" s="50"/>
      <c r="DLJ83" s="23"/>
      <c r="DLK83" s="50"/>
      <c r="DLL83" s="51"/>
      <c r="DLM83" s="50"/>
      <c r="DLN83" s="23"/>
      <c r="DLO83" s="50"/>
      <c r="DLP83" s="51"/>
      <c r="DLQ83" s="50"/>
      <c r="DLR83" s="23"/>
      <c r="DLS83" s="50"/>
      <c r="DLT83" s="51"/>
      <c r="DLU83" s="50"/>
      <c r="DLV83" s="23"/>
      <c r="DLW83" s="50"/>
      <c r="DLX83" s="51"/>
      <c r="DLY83" s="50"/>
      <c r="DLZ83" s="23"/>
      <c r="DMA83" s="50"/>
      <c r="DMB83" s="51"/>
      <c r="DMC83" s="50"/>
      <c r="DMD83" s="23"/>
      <c r="DME83" s="50"/>
      <c r="DMF83" s="51"/>
      <c r="DMG83" s="50"/>
      <c r="DMH83" s="23"/>
      <c r="DMI83" s="50"/>
      <c r="DMJ83" s="51"/>
      <c r="DMK83" s="50"/>
      <c r="DML83" s="23"/>
      <c r="DMM83" s="50"/>
      <c r="DMN83" s="51"/>
      <c r="DMO83" s="50"/>
      <c r="DMP83" s="23"/>
      <c r="DMQ83" s="50"/>
      <c r="DMR83" s="51"/>
      <c r="DMS83" s="50"/>
      <c r="DMT83" s="23"/>
      <c r="DMU83" s="50"/>
      <c r="DMV83" s="51"/>
      <c r="DMW83" s="50"/>
      <c r="DMX83" s="23"/>
      <c r="DMY83" s="50"/>
      <c r="DMZ83" s="51"/>
      <c r="DNA83" s="50"/>
      <c r="DNB83" s="23"/>
      <c r="DNC83" s="50"/>
      <c r="DND83" s="51"/>
      <c r="DNE83" s="50"/>
      <c r="DNF83" s="23"/>
      <c r="DNG83" s="50"/>
      <c r="DNH83" s="51"/>
      <c r="DNI83" s="50"/>
      <c r="DNJ83" s="23"/>
      <c r="DNK83" s="50"/>
      <c r="DNL83" s="51"/>
      <c r="DNM83" s="50"/>
      <c r="DNN83" s="23"/>
      <c r="DNO83" s="50"/>
      <c r="DNP83" s="51"/>
      <c r="DNQ83" s="50"/>
      <c r="DNR83" s="23"/>
      <c r="DNS83" s="50"/>
      <c r="DNT83" s="51"/>
      <c r="DNU83" s="50"/>
      <c r="DNV83" s="23"/>
      <c r="DNW83" s="50"/>
      <c r="DNX83" s="51"/>
      <c r="DNY83" s="50"/>
      <c r="DNZ83" s="23"/>
      <c r="DOA83" s="50"/>
      <c r="DOB83" s="51"/>
      <c r="DOC83" s="50"/>
      <c r="DOD83" s="23"/>
      <c r="DOE83" s="50"/>
      <c r="DOF83" s="51"/>
      <c r="DOG83" s="50"/>
      <c r="DOH83" s="23"/>
      <c r="DOI83" s="50"/>
      <c r="DOJ83" s="51"/>
      <c r="DOK83" s="50"/>
      <c r="DOL83" s="23"/>
      <c r="DOM83" s="50"/>
      <c r="DON83" s="51"/>
      <c r="DOO83" s="50"/>
      <c r="DOP83" s="23"/>
      <c r="DOQ83" s="50"/>
      <c r="DOR83" s="51"/>
      <c r="DOS83" s="50"/>
      <c r="DOT83" s="23"/>
      <c r="DOU83" s="50"/>
      <c r="DOV83" s="51"/>
      <c r="DOW83" s="50"/>
      <c r="DOX83" s="23"/>
      <c r="DOY83" s="50"/>
      <c r="DOZ83" s="51"/>
      <c r="DPA83" s="50"/>
      <c r="DPB83" s="23"/>
      <c r="DPC83" s="50"/>
      <c r="DPD83" s="51"/>
      <c r="DPE83" s="50"/>
      <c r="DPF83" s="23"/>
      <c r="DPG83" s="50"/>
      <c r="DPH83" s="51"/>
      <c r="DPI83" s="50"/>
      <c r="DPJ83" s="23"/>
      <c r="DPK83" s="50"/>
      <c r="DPL83" s="51"/>
      <c r="DPM83" s="50"/>
      <c r="DPN83" s="23"/>
      <c r="DPO83" s="50"/>
      <c r="DPP83" s="51"/>
      <c r="DPQ83" s="50"/>
      <c r="DPR83" s="23"/>
      <c r="DPS83" s="50"/>
      <c r="DPT83" s="51"/>
      <c r="DPU83" s="50"/>
      <c r="DPV83" s="23"/>
      <c r="DPW83" s="50"/>
      <c r="DPX83" s="51"/>
      <c r="DPY83" s="50"/>
      <c r="DPZ83" s="23"/>
      <c r="DQA83" s="50"/>
      <c r="DQB83" s="51"/>
      <c r="DQC83" s="50"/>
      <c r="DQD83" s="23"/>
      <c r="DQE83" s="50"/>
      <c r="DQF83" s="51"/>
      <c r="DQG83" s="50"/>
      <c r="DQH83" s="23"/>
      <c r="DQI83" s="50"/>
      <c r="DQJ83" s="51"/>
      <c r="DQK83" s="50"/>
      <c r="DQL83" s="23"/>
      <c r="DQM83" s="50"/>
      <c r="DQN83" s="51"/>
      <c r="DQO83" s="50"/>
      <c r="DQP83" s="23"/>
      <c r="DQQ83" s="50"/>
      <c r="DQR83" s="51"/>
      <c r="DQS83" s="50"/>
      <c r="DQT83" s="23"/>
      <c r="DQU83" s="50"/>
      <c r="DQV83" s="51"/>
      <c r="DQW83" s="50"/>
      <c r="DQX83" s="23"/>
      <c r="DQY83" s="50"/>
      <c r="DQZ83" s="51"/>
      <c r="DRA83" s="50"/>
      <c r="DRB83" s="23"/>
      <c r="DRC83" s="50"/>
      <c r="DRD83" s="51"/>
      <c r="DRE83" s="50"/>
      <c r="DRF83" s="23"/>
      <c r="DRG83" s="50"/>
      <c r="DRH83" s="51"/>
      <c r="DRI83" s="50"/>
      <c r="DRJ83" s="23"/>
      <c r="DRK83" s="50"/>
      <c r="DRL83" s="51"/>
      <c r="DRM83" s="50"/>
      <c r="DRN83" s="23"/>
      <c r="DRO83" s="50"/>
      <c r="DRP83" s="51"/>
      <c r="DRQ83" s="50"/>
      <c r="DRR83" s="23"/>
      <c r="DRS83" s="50"/>
      <c r="DRT83" s="51"/>
      <c r="DRU83" s="50"/>
      <c r="DRV83" s="23"/>
      <c r="DRW83" s="50"/>
      <c r="DRX83" s="51"/>
      <c r="DRY83" s="50"/>
      <c r="DRZ83" s="23"/>
      <c r="DSA83" s="50"/>
      <c r="DSB83" s="51"/>
      <c r="DSC83" s="50"/>
      <c r="DSD83" s="23"/>
      <c r="DSE83" s="50"/>
      <c r="DSF83" s="51"/>
      <c r="DSG83" s="50"/>
      <c r="DSH83" s="23"/>
      <c r="DSI83" s="50"/>
      <c r="DSJ83" s="51"/>
      <c r="DSK83" s="50"/>
      <c r="DSL83" s="23"/>
      <c r="DSM83" s="50"/>
      <c r="DSN83" s="51"/>
      <c r="DSO83" s="50"/>
      <c r="DSP83" s="23"/>
      <c r="DSQ83" s="50"/>
      <c r="DSR83" s="51"/>
      <c r="DSS83" s="50"/>
      <c r="DST83" s="23"/>
      <c r="DSU83" s="50"/>
      <c r="DSV83" s="51"/>
      <c r="DSW83" s="50"/>
      <c r="DSX83" s="23"/>
      <c r="DSY83" s="50"/>
      <c r="DSZ83" s="51"/>
      <c r="DTA83" s="50"/>
      <c r="DTB83" s="23"/>
      <c r="DTC83" s="50"/>
      <c r="DTD83" s="51"/>
      <c r="DTE83" s="50"/>
      <c r="DTF83" s="23"/>
      <c r="DTG83" s="50"/>
      <c r="DTH83" s="51"/>
      <c r="DTI83" s="50"/>
      <c r="DTJ83" s="23"/>
      <c r="DTK83" s="50"/>
      <c r="DTL83" s="51"/>
      <c r="DTM83" s="50"/>
      <c r="DTN83" s="23"/>
      <c r="DTO83" s="50"/>
      <c r="DTP83" s="51"/>
      <c r="DTQ83" s="50"/>
      <c r="DTR83" s="23"/>
      <c r="DTS83" s="50"/>
      <c r="DTT83" s="51"/>
      <c r="DTU83" s="50"/>
      <c r="DTV83" s="23"/>
      <c r="DTW83" s="50"/>
      <c r="DTX83" s="51"/>
      <c r="DTY83" s="50"/>
      <c r="DTZ83" s="23"/>
      <c r="DUA83" s="50"/>
      <c r="DUB83" s="51"/>
      <c r="DUC83" s="50"/>
      <c r="DUD83" s="23"/>
      <c r="DUE83" s="50"/>
      <c r="DUF83" s="51"/>
      <c r="DUG83" s="50"/>
      <c r="DUH83" s="23"/>
      <c r="DUI83" s="50"/>
      <c r="DUJ83" s="51"/>
      <c r="DUK83" s="50"/>
      <c r="DUL83" s="23"/>
      <c r="DUM83" s="50"/>
      <c r="DUN83" s="51"/>
      <c r="DUO83" s="50"/>
      <c r="DUP83" s="23"/>
      <c r="DUQ83" s="50"/>
      <c r="DUR83" s="51"/>
      <c r="DUS83" s="50"/>
      <c r="DUT83" s="23"/>
      <c r="DUU83" s="50"/>
      <c r="DUV83" s="51"/>
      <c r="DUW83" s="50"/>
      <c r="DUX83" s="23"/>
      <c r="DUY83" s="50"/>
      <c r="DUZ83" s="51"/>
      <c r="DVA83" s="50"/>
      <c r="DVB83" s="23"/>
      <c r="DVC83" s="50"/>
      <c r="DVD83" s="51"/>
      <c r="DVE83" s="50"/>
      <c r="DVF83" s="23"/>
      <c r="DVG83" s="50"/>
      <c r="DVH83" s="51"/>
      <c r="DVI83" s="50"/>
      <c r="DVJ83" s="23"/>
      <c r="DVK83" s="50"/>
      <c r="DVL83" s="51"/>
      <c r="DVM83" s="50"/>
      <c r="DVN83" s="23"/>
      <c r="DVO83" s="50"/>
      <c r="DVP83" s="51"/>
      <c r="DVQ83" s="50"/>
      <c r="DVR83" s="23"/>
      <c r="DVS83" s="50"/>
      <c r="DVT83" s="51"/>
      <c r="DVU83" s="50"/>
      <c r="DVV83" s="23"/>
      <c r="DVW83" s="50"/>
      <c r="DVX83" s="51"/>
      <c r="DVY83" s="50"/>
      <c r="DVZ83" s="23"/>
      <c r="DWA83" s="50"/>
      <c r="DWB83" s="51"/>
      <c r="DWC83" s="50"/>
      <c r="DWD83" s="23"/>
      <c r="DWE83" s="50"/>
      <c r="DWF83" s="51"/>
      <c r="DWG83" s="50"/>
      <c r="DWH83" s="23"/>
      <c r="DWI83" s="50"/>
      <c r="DWJ83" s="51"/>
      <c r="DWK83" s="50"/>
      <c r="DWL83" s="23"/>
      <c r="DWM83" s="50"/>
      <c r="DWN83" s="51"/>
      <c r="DWO83" s="50"/>
      <c r="DWP83" s="23"/>
      <c r="DWQ83" s="50"/>
      <c r="DWR83" s="51"/>
      <c r="DWS83" s="50"/>
      <c r="DWT83" s="23"/>
      <c r="DWU83" s="50"/>
      <c r="DWV83" s="51"/>
      <c r="DWW83" s="50"/>
      <c r="DWX83" s="23"/>
      <c r="DWY83" s="50"/>
      <c r="DWZ83" s="51"/>
      <c r="DXA83" s="50"/>
      <c r="DXB83" s="23"/>
      <c r="DXC83" s="50"/>
      <c r="DXD83" s="51"/>
      <c r="DXE83" s="50"/>
      <c r="DXF83" s="23"/>
      <c r="DXG83" s="50"/>
      <c r="DXH83" s="51"/>
      <c r="DXI83" s="50"/>
      <c r="DXJ83" s="23"/>
      <c r="DXK83" s="50"/>
      <c r="DXL83" s="51"/>
      <c r="DXM83" s="50"/>
      <c r="DXN83" s="23"/>
      <c r="DXO83" s="50"/>
      <c r="DXP83" s="51"/>
      <c r="DXQ83" s="50"/>
      <c r="DXR83" s="23"/>
      <c r="DXS83" s="50"/>
      <c r="DXT83" s="51"/>
      <c r="DXU83" s="50"/>
      <c r="DXV83" s="23"/>
      <c r="DXW83" s="50"/>
      <c r="DXX83" s="51"/>
      <c r="DXY83" s="50"/>
      <c r="DXZ83" s="23"/>
      <c r="DYA83" s="50"/>
      <c r="DYB83" s="51"/>
      <c r="DYC83" s="50"/>
      <c r="DYD83" s="23"/>
      <c r="DYE83" s="50"/>
      <c r="DYF83" s="51"/>
      <c r="DYG83" s="50"/>
      <c r="DYH83" s="23"/>
      <c r="DYI83" s="50"/>
      <c r="DYJ83" s="51"/>
      <c r="DYK83" s="50"/>
      <c r="DYL83" s="23"/>
      <c r="DYM83" s="50"/>
      <c r="DYN83" s="51"/>
      <c r="DYO83" s="50"/>
      <c r="DYP83" s="23"/>
      <c r="DYQ83" s="50"/>
      <c r="DYR83" s="51"/>
      <c r="DYS83" s="50"/>
      <c r="DYT83" s="23"/>
      <c r="DYU83" s="50"/>
      <c r="DYV83" s="51"/>
      <c r="DYW83" s="50"/>
      <c r="DYX83" s="23"/>
      <c r="DYY83" s="50"/>
      <c r="DYZ83" s="51"/>
      <c r="DZA83" s="50"/>
      <c r="DZB83" s="23"/>
      <c r="DZC83" s="50"/>
      <c r="DZD83" s="51"/>
      <c r="DZE83" s="50"/>
      <c r="DZF83" s="23"/>
      <c r="DZG83" s="50"/>
      <c r="DZH83" s="51"/>
      <c r="DZI83" s="50"/>
      <c r="DZJ83" s="23"/>
      <c r="DZK83" s="50"/>
      <c r="DZL83" s="51"/>
      <c r="DZM83" s="50"/>
      <c r="DZN83" s="23"/>
      <c r="DZO83" s="50"/>
      <c r="DZP83" s="51"/>
      <c r="DZQ83" s="50"/>
      <c r="DZR83" s="23"/>
      <c r="DZS83" s="50"/>
      <c r="DZT83" s="51"/>
      <c r="DZU83" s="50"/>
      <c r="DZV83" s="23"/>
      <c r="DZW83" s="50"/>
      <c r="DZX83" s="51"/>
      <c r="DZY83" s="50"/>
      <c r="DZZ83" s="23"/>
      <c r="EAA83" s="50"/>
      <c r="EAB83" s="51"/>
      <c r="EAC83" s="50"/>
      <c r="EAD83" s="23"/>
      <c r="EAE83" s="50"/>
      <c r="EAF83" s="51"/>
      <c r="EAG83" s="50"/>
      <c r="EAH83" s="23"/>
      <c r="EAI83" s="50"/>
      <c r="EAJ83" s="51"/>
      <c r="EAK83" s="50"/>
      <c r="EAL83" s="23"/>
      <c r="EAM83" s="50"/>
      <c r="EAN83" s="51"/>
      <c r="EAO83" s="50"/>
      <c r="EAP83" s="23"/>
      <c r="EAQ83" s="50"/>
      <c r="EAR83" s="51"/>
      <c r="EAS83" s="50"/>
      <c r="EAT83" s="23"/>
      <c r="EAU83" s="50"/>
      <c r="EAV83" s="51"/>
      <c r="EAW83" s="50"/>
      <c r="EAX83" s="23"/>
      <c r="EAY83" s="50"/>
      <c r="EAZ83" s="51"/>
      <c r="EBA83" s="50"/>
      <c r="EBB83" s="23"/>
      <c r="EBC83" s="50"/>
      <c r="EBD83" s="51"/>
      <c r="EBE83" s="50"/>
      <c r="EBF83" s="23"/>
      <c r="EBG83" s="50"/>
      <c r="EBH83" s="51"/>
      <c r="EBI83" s="50"/>
      <c r="EBJ83" s="23"/>
      <c r="EBK83" s="50"/>
      <c r="EBL83" s="51"/>
      <c r="EBM83" s="50"/>
      <c r="EBN83" s="23"/>
      <c r="EBO83" s="50"/>
      <c r="EBP83" s="51"/>
      <c r="EBQ83" s="50"/>
      <c r="EBR83" s="23"/>
      <c r="EBS83" s="50"/>
      <c r="EBT83" s="51"/>
      <c r="EBU83" s="50"/>
      <c r="EBV83" s="23"/>
      <c r="EBW83" s="50"/>
      <c r="EBX83" s="51"/>
      <c r="EBY83" s="50"/>
      <c r="EBZ83" s="23"/>
      <c r="ECA83" s="50"/>
      <c r="ECB83" s="51"/>
      <c r="ECC83" s="50"/>
      <c r="ECD83" s="23"/>
      <c r="ECE83" s="50"/>
      <c r="ECF83" s="51"/>
      <c r="ECG83" s="50"/>
      <c r="ECH83" s="23"/>
      <c r="ECI83" s="50"/>
      <c r="ECJ83" s="51"/>
      <c r="ECK83" s="50"/>
      <c r="ECL83" s="23"/>
      <c r="ECM83" s="50"/>
      <c r="ECN83" s="51"/>
      <c r="ECO83" s="50"/>
      <c r="ECP83" s="23"/>
      <c r="ECQ83" s="50"/>
      <c r="ECR83" s="51"/>
      <c r="ECS83" s="50"/>
      <c r="ECT83" s="23"/>
      <c r="ECU83" s="50"/>
      <c r="ECV83" s="51"/>
      <c r="ECW83" s="50"/>
      <c r="ECX83" s="23"/>
      <c r="ECY83" s="50"/>
      <c r="ECZ83" s="51"/>
      <c r="EDA83" s="50"/>
      <c r="EDB83" s="23"/>
      <c r="EDC83" s="50"/>
      <c r="EDD83" s="51"/>
      <c r="EDE83" s="50"/>
      <c r="EDF83" s="23"/>
      <c r="EDG83" s="50"/>
      <c r="EDH83" s="51"/>
      <c r="EDI83" s="50"/>
      <c r="EDJ83" s="23"/>
      <c r="EDK83" s="50"/>
      <c r="EDL83" s="51"/>
      <c r="EDM83" s="50"/>
      <c r="EDN83" s="23"/>
      <c r="EDO83" s="50"/>
      <c r="EDP83" s="51"/>
      <c r="EDQ83" s="50"/>
      <c r="EDR83" s="23"/>
      <c r="EDS83" s="50"/>
      <c r="EDT83" s="51"/>
      <c r="EDU83" s="50"/>
      <c r="EDV83" s="23"/>
      <c r="EDW83" s="50"/>
      <c r="EDX83" s="51"/>
      <c r="EDY83" s="50"/>
      <c r="EDZ83" s="23"/>
      <c r="EEA83" s="50"/>
      <c r="EEB83" s="51"/>
      <c r="EEC83" s="50"/>
      <c r="EED83" s="23"/>
      <c r="EEE83" s="50"/>
      <c r="EEF83" s="51"/>
      <c r="EEG83" s="50"/>
      <c r="EEH83" s="23"/>
      <c r="EEI83" s="50"/>
      <c r="EEJ83" s="51"/>
      <c r="EEK83" s="50"/>
      <c r="EEL83" s="23"/>
      <c r="EEM83" s="50"/>
      <c r="EEN83" s="51"/>
      <c r="EEO83" s="50"/>
      <c r="EEP83" s="23"/>
      <c r="EEQ83" s="50"/>
      <c r="EER83" s="51"/>
      <c r="EES83" s="50"/>
      <c r="EET83" s="23"/>
      <c r="EEU83" s="50"/>
      <c r="EEV83" s="51"/>
      <c r="EEW83" s="50"/>
      <c r="EEX83" s="23"/>
      <c r="EEY83" s="50"/>
      <c r="EEZ83" s="51"/>
      <c r="EFA83" s="50"/>
      <c r="EFB83" s="23"/>
      <c r="EFC83" s="50"/>
      <c r="EFD83" s="51"/>
      <c r="EFE83" s="50"/>
      <c r="EFF83" s="23"/>
      <c r="EFG83" s="50"/>
      <c r="EFH83" s="51"/>
      <c r="EFI83" s="50"/>
      <c r="EFJ83" s="23"/>
      <c r="EFK83" s="50"/>
      <c r="EFL83" s="51"/>
      <c r="EFM83" s="50"/>
      <c r="EFN83" s="23"/>
      <c r="EFO83" s="50"/>
      <c r="EFP83" s="51"/>
      <c r="EFQ83" s="50"/>
      <c r="EFR83" s="23"/>
      <c r="EFS83" s="50"/>
      <c r="EFT83" s="51"/>
      <c r="EFU83" s="50"/>
      <c r="EFV83" s="23"/>
      <c r="EFW83" s="50"/>
      <c r="EFX83" s="51"/>
      <c r="EFY83" s="50"/>
      <c r="EFZ83" s="23"/>
      <c r="EGA83" s="50"/>
      <c r="EGB83" s="51"/>
      <c r="EGC83" s="50"/>
      <c r="EGD83" s="23"/>
      <c r="EGE83" s="50"/>
      <c r="EGF83" s="51"/>
      <c r="EGG83" s="50"/>
      <c r="EGH83" s="23"/>
      <c r="EGI83" s="50"/>
      <c r="EGJ83" s="51"/>
      <c r="EGK83" s="50"/>
      <c r="EGL83" s="23"/>
      <c r="EGM83" s="50"/>
      <c r="EGN83" s="51"/>
      <c r="EGO83" s="50"/>
      <c r="EGP83" s="23"/>
      <c r="EGQ83" s="50"/>
      <c r="EGR83" s="51"/>
      <c r="EGS83" s="50"/>
      <c r="EGT83" s="23"/>
      <c r="EGU83" s="50"/>
      <c r="EGV83" s="51"/>
      <c r="EGW83" s="50"/>
      <c r="EGX83" s="23"/>
      <c r="EGY83" s="50"/>
      <c r="EGZ83" s="51"/>
      <c r="EHA83" s="50"/>
      <c r="EHB83" s="23"/>
      <c r="EHC83" s="50"/>
      <c r="EHD83" s="51"/>
      <c r="EHE83" s="50"/>
      <c r="EHF83" s="23"/>
      <c r="EHG83" s="50"/>
      <c r="EHH83" s="51"/>
      <c r="EHI83" s="50"/>
      <c r="EHJ83" s="23"/>
      <c r="EHK83" s="50"/>
      <c r="EHL83" s="51"/>
      <c r="EHM83" s="50"/>
      <c r="EHN83" s="23"/>
      <c r="EHO83" s="50"/>
      <c r="EHP83" s="51"/>
      <c r="EHQ83" s="50"/>
      <c r="EHR83" s="23"/>
      <c r="EHS83" s="50"/>
      <c r="EHT83" s="51"/>
      <c r="EHU83" s="50"/>
      <c r="EHV83" s="23"/>
      <c r="EHW83" s="50"/>
      <c r="EHX83" s="51"/>
      <c r="EHY83" s="50"/>
      <c r="EHZ83" s="23"/>
      <c r="EIA83" s="50"/>
      <c r="EIB83" s="51"/>
      <c r="EIC83" s="50"/>
      <c r="EID83" s="23"/>
      <c r="EIE83" s="50"/>
      <c r="EIF83" s="51"/>
      <c r="EIG83" s="50"/>
      <c r="EIH83" s="23"/>
      <c r="EII83" s="50"/>
      <c r="EIJ83" s="51"/>
      <c r="EIK83" s="50"/>
      <c r="EIL83" s="23"/>
      <c r="EIM83" s="50"/>
      <c r="EIN83" s="51"/>
      <c r="EIO83" s="50"/>
      <c r="EIP83" s="23"/>
      <c r="EIQ83" s="50"/>
      <c r="EIR83" s="51"/>
      <c r="EIS83" s="50"/>
      <c r="EIT83" s="23"/>
      <c r="EIU83" s="50"/>
      <c r="EIV83" s="51"/>
      <c r="EIW83" s="50"/>
      <c r="EIX83" s="23"/>
      <c r="EIY83" s="50"/>
      <c r="EIZ83" s="51"/>
      <c r="EJA83" s="50"/>
      <c r="EJB83" s="23"/>
      <c r="EJC83" s="50"/>
      <c r="EJD83" s="51"/>
      <c r="EJE83" s="50"/>
      <c r="EJF83" s="23"/>
      <c r="EJG83" s="50"/>
      <c r="EJH83" s="51"/>
      <c r="EJI83" s="50"/>
      <c r="EJJ83" s="23"/>
      <c r="EJK83" s="50"/>
      <c r="EJL83" s="51"/>
      <c r="EJM83" s="50"/>
      <c r="EJN83" s="23"/>
      <c r="EJO83" s="50"/>
      <c r="EJP83" s="51"/>
      <c r="EJQ83" s="50"/>
      <c r="EJR83" s="23"/>
      <c r="EJS83" s="50"/>
      <c r="EJT83" s="51"/>
      <c r="EJU83" s="50"/>
      <c r="EJV83" s="23"/>
      <c r="EJW83" s="50"/>
      <c r="EJX83" s="51"/>
      <c r="EJY83" s="50"/>
      <c r="EJZ83" s="23"/>
      <c r="EKA83" s="50"/>
      <c r="EKB83" s="51"/>
      <c r="EKC83" s="50"/>
      <c r="EKD83" s="23"/>
      <c r="EKE83" s="50"/>
      <c r="EKF83" s="51"/>
      <c r="EKG83" s="50"/>
      <c r="EKH83" s="23"/>
      <c r="EKI83" s="50"/>
      <c r="EKJ83" s="51"/>
      <c r="EKK83" s="50"/>
      <c r="EKL83" s="23"/>
      <c r="EKM83" s="50"/>
      <c r="EKN83" s="51"/>
      <c r="EKO83" s="50"/>
      <c r="EKP83" s="23"/>
      <c r="EKQ83" s="50"/>
      <c r="EKR83" s="51"/>
      <c r="EKS83" s="50"/>
      <c r="EKT83" s="23"/>
      <c r="EKU83" s="50"/>
      <c r="EKV83" s="51"/>
      <c r="EKW83" s="50"/>
      <c r="EKX83" s="23"/>
      <c r="EKY83" s="50"/>
      <c r="EKZ83" s="51"/>
      <c r="ELA83" s="50"/>
      <c r="ELB83" s="23"/>
      <c r="ELC83" s="50"/>
      <c r="ELD83" s="51"/>
      <c r="ELE83" s="50"/>
      <c r="ELF83" s="23"/>
      <c r="ELG83" s="50"/>
      <c r="ELH83" s="51"/>
      <c r="ELI83" s="50"/>
      <c r="ELJ83" s="23"/>
      <c r="ELK83" s="50"/>
      <c r="ELL83" s="51"/>
      <c r="ELM83" s="50"/>
      <c r="ELN83" s="23"/>
      <c r="ELO83" s="50"/>
      <c r="ELP83" s="51"/>
      <c r="ELQ83" s="50"/>
      <c r="ELR83" s="23"/>
      <c r="ELS83" s="50"/>
      <c r="ELT83" s="51"/>
      <c r="ELU83" s="50"/>
      <c r="ELV83" s="23"/>
      <c r="ELW83" s="50"/>
      <c r="ELX83" s="51"/>
      <c r="ELY83" s="50"/>
      <c r="ELZ83" s="23"/>
      <c r="EMA83" s="50"/>
      <c r="EMB83" s="51"/>
      <c r="EMC83" s="50"/>
      <c r="EMD83" s="23"/>
      <c r="EME83" s="50"/>
      <c r="EMF83" s="51"/>
      <c r="EMG83" s="50"/>
      <c r="EMH83" s="23"/>
      <c r="EMI83" s="50"/>
      <c r="EMJ83" s="51"/>
      <c r="EMK83" s="50"/>
      <c r="EML83" s="23"/>
      <c r="EMM83" s="50"/>
      <c r="EMN83" s="51"/>
      <c r="EMO83" s="50"/>
      <c r="EMP83" s="23"/>
      <c r="EMQ83" s="50"/>
      <c r="EMR83" s="51"/>
      <c r="EMS83" s="50"/>
      <c r="EMT83" s="23"/>
      <c r="EMU83" s="50"/>
      <c r="EMV83" s="51"/>
      <c r="EMW83" s="50"/>
      <c r="EMX83" s="23"/>
      <c r="EMY83" s="50"/>
      <c r="EMZ83" s="51"/>
      <c r="ENA83" s="50"/>
      <c r="ENB83" s="23"/>
      <c r="ENC83" s="50"/>
      <c r="END83" s="51"/>
      <c r="ENE83" s="50"/>
      <c r="ENF83" s="23"/>
      <c r="ENG83" s="50"/>
      <c r="ENH83" s="51"/>
      <c r="ENI83" s="50"/>
      <c r="ENJ83" s="23"/>
      <c r="ENK83" s="50"/>
      <c r="ENL83" s="51"/>
      <c r="ENM83" s="50"/>
      <c r="ENN83" s="23"/>
      <c r="ENO83" s="50"/>
      <c r="ENP83" s="51"/>
      <c r="ENQ83" s="50"/>
      <c r="ENR83" s="23"/>
      <c r="ENS83" s="50"/>
      <c r="ENT83" s="51"/>
      <c r="ENU83" s="50"/>
      <c r="ENV83" s="23"/>
      <c r="ENW83" s="50"/>
      <c r="ENX83" s="51"/>
      <c r="ENY83" s="50"/>
      <c r="ENZ83" s="23"/>
      <c r="EOA83" s="50"/>
      <c r="EOB83" s="51"/>
      <c r="EOC83" s="50"/>
      <c r="EOD83" s="23"/>
      <c r="EOE83" s="50"/>
      <c r="EOF83" s="51"/>
      <c r="EOG83" s="50"/>
      <c r="EOH83" s="23"/>
      <c r="EOI83" s="50"/>
      <c r="EOJ83" s="51"/>
      <c r="EOK83" s="50"/>
      <c r="EOL83" s="23"/>
      <c r="EOM83" s="50"/>
      <c r="EON83" s="51"/>
      <c r="EOO83" s="50"/>
      <c r="EOP83" s="23"/>
      <c r="EOQ83" s="50"/>
      <c r="EOR83" s="51"/>
      <c r="EOS83" s="50"/>
      <c r="EOT83" s="23"/>
      <c r="EOU83" s="50"/>
      <c r="EOV83" s="51"/>
      <c r="EOW83" s="50"/>
      <c r="EOX83" s="23"/>
      <c r="EOY83" s="50"/>
      <c r="EOZ83" s="51"/>
      <c r="EPA83" s="50"/>
      <c r="EPB83" s="23"/>
      <c r="EPC83" s="50"/>
      <c r="EPD83" s="51"/>
      <c r="EPE83" s="50"/>
      <c r="EPF83" s="23"/>
      <c r="EPG83" s="50"/>
      <c r="EPH83" s="51"/>
      <c r="EPI83" s="50"/>
      <c r="EPJ83" s="23"/>
      <c r="EPK83" s="50"/>
      <c r="EPL83" s="51"/>
      <c r="EPM83" s="50"/>
      <c r="EPN83" s="23"/>
      <c r="EPO83" s="50"/>
      <c r="EPP83" s="51"/>
      <c r="EPQ83" s="50"/>
      <c r="EPR83" s="23"/>
      <c r="EPS83" s="50"/>
      <c r="EPT83" s="51"/>
      <c r="EPU83" s="50"/>
      <c r="EPV83" s="23"/>
      <c r="EPW83" s="50"/>
      <c r="EPX83" s="51"/>
      <c r="EPY83" s="50"/>
      <c r="EPZ83" s="23"/>
      <c r="EQA83" s="50"/>
      <c r="EQB83" s="51"/>
      <c r="EQC83" s="50"/>
      <c r="EQD83" s="23"/>
      <c r="EQE83" s="50"/>
      <c r="EQF83" s="51"/>
      <c r="EQG83" s="50"/>
      <c r="EQH83" s="23"/>
      <c r="EQI83" s="50"/>
      <c r="EQJ83" s="51"/>
      <c r="EQK83" s="50"/>
      <c r="EQL83" s="23"/>
      <c r="EQM83" s="50"/>
      <c r="EQN83" s="51"/>
      <c r="EQO83" s="50"/>
      <c r="EQP83" s="23"/>
      <c r="EQQ83" s="50"/>
      <c r="EQR83" s="51"/>
      <c r="EQS83" s="50"/>
      <c r="EQT83" s="23"/>
      <c r="EQU83" s="50"/>
      <c r="EQV83" s="51"/>
      <c r="EQW83" s="50"/>
      <c r="EQX83" s="23"/>
      <c r="EQY83" s="50"/>
      <c r="EQZ83" s="51"/>
      <c r="ERA83" s="50"/>
      <c r="ERB83" s="23"/>
      <c r="ERC83" s="50"/>
      <c r="ERD83" s="51"/>
      <c r="ERE83" s="50"/>
      <c r="ERF83" s="23"/>
      <c r="ERG83" s="50"/>
      <c r="ERH83" s="51"/>
      <c r="ERI83" s="50"/>
      <c r="ERJ83" s="23"/>
      <c r="ERK83" s="50"/>
      <c r="ERL83" s="51"/>
      <c r="ERM83" s="50"/>
      <c r="ERN83" s="23"/>
      <c r="ERO83" s="50"/>
      <c r="ERP83" s="51"/>
      <c r="ERQ83" s="50"/>
      <c r="ERR83" s="23"/>
      <c r="ERS83" s="50"/>
      <c r="ERT83" s="51"/>
      <c r="ERU83" s="50"/>
      <c r="ERV83" s="23"/>
      <c r="ERW83" s="50"/>
      <c r="ERX83" s="51"/>
      <c r="ERY83" s="50"/>
      <c r="ERZ83" s="23"/>
      <c r="ESA83" s="50"/>
      <c r="ESB83" s="51"/>
      <c r="ESC83" s="50"/>
      <c r="ESD83" s="23"/>
      <c r="ESE83" s="50"/>
      <c r="ESF83" s="51"/>
      <c r="ESG83" s="50"/>
      <c r="ESH83" s="23"/>
      <c r="ESI83" s="50"/>
      <c r="ESJ83" s="51"/>
      <c r="ESK83" s="50"/>
      <c r="ESL83" s="23"/>
      <c r="ESM83" s="50"/>
      <c r="ESN83" s="51"/>
      <c r="ESO83" s="50"/>
      <c r="ESP83" s="23"/>
      <c r="ESQ83" s="50"/>
      <c r="ESR83" s="51"/>
      <c r="ESS83" s="50"/>
      <c r="EST83" s="23"/>
      <c r="ESU83" s="50"/>
      <c r="ESV83" s="51"/>
      <c r="ESW83" s="50"/>
      <c r="ESX83" s="23"/>
      <c r="ESY83" s="50"/>
      <c r="ESZ83" s="51"/>
      <c r="ETA83" s="50"/>
      <c r="ETB83" s="23"/>
      <c r="ETC83" s="50"/>
      <c r="ETD83" s="51"/>
      <c r="ETE83" s="50"/>
      <c r="ETF83" s="23"/>
      <c r="ETG83" s="50"/>
      <c r="ETH83" s="51"/>
      <c r="ETI83" s="50"/>
      <c r="ETJ83" s="23"/>
      <c r="ETK83" s="50"/>
      <c r="ETL83" s="51"/>
      <c r="ETM83" s="50"/>
      <c r="ETN83" s="23"/>
      <c r="ETO83" s="50"/>
      <c r="ETP83" s="51"/>
      <c r="ETQ83" s="50"/>
      <c r="ETR83" s="23"/>
      <c r="ETS83" s="50"/>
      <c r="ETT83" s="51"/>
      <c r="ETU83" s="50"/>
      <c r="ETV83" s="23"/>
      <c r="ETW83" s="50"/>
      <c r="ETX83" s="51"/>
      <c r="ETY83" s="50"/>
      <c r="ETZ83" s="23"/>
      <c r="EUA83" s="50"/>
      <c r="EUB83" s="51"/>
      <c r="EUC83" s="50"/>
      <c r="EUD83" s="23"/>
      <c r="EUE83" s="50"/>
      <c r="EUF83" s="51"/>
      <c r="EUG83" s="50"/>
      <c r="EUH83" s="23"/>
      <c r="EUI83" s="50"/>
      <c r="EUJ83" s="51"/>
      <c r="EUK83" s="50"/>
      <c r="EUL83" s="23"/>
      <c r="EUM83" s="50"/>
      <c r="EUN83" s="51"/>
      <c r="EUO83" s="50"/>
      <c r="EUP83" s="23"/>
      <c r="EUQ83" s="50"/>
      <c r="EUR83" s="51"/>
      <c r="EUS83" s="50"/>
      <c r="EUT83" s="23"/>
      <c r="EUU83" s="50"/>
      <c r="EUV83" s="51"/>
      <c r="EUW83" s="50"/>
      <c r="EUX83" s="23"/>
      <c r="EUY83" s="50"/>
      <c r="EUZ83" s="51"/>
      <c r="EVA83" s="50"/>
      <c r="EVB83" s="23"/>
      <c r="EVC83" s="50"/>
      <c r="EVD83" s="51"/>
      <c r="EVE83" s="50"/>
      <c r="EVF83" s="23"/>
      <c r="EVG83" s="50"/>
      <c r="EVH83" s="51"/>
      <c r="EVI83" s="50"/>
      <c r="EVJ83" s="23"/>
      <c r="EVK83" s="50"/>
      <c r="EVL83" s="51"/>
      <c r="EVM83" s="50"/>
      <c r="EVN83" s="23"/>
      <c r="EVO83" s="50"/>
      <c r="EVP83" s="51"/>
      <c r="EVQ83" s="50"/>
      <c r="EVR83" s="23"/>
      <c r="EVS83" s="50"/>
      <c r="EVT83" s="51"/>
      <c r="EVU83" s="50"/>
      <c r="EVV83" s="23"/>
      <c r="EVW83" s="50"/>
      <c r="EVX83" s="51"/>
      <c r="EVY83" s="50"/>
      <c r="EVZ83" s="23"/>
      <c r="EWA83" s="50"/>
      <c r="EWB83" s="51"/>
      <c r="EWC83" s="50"/>
      <c r="EWD83" s="23"/>
      <c r="EWE83" s="50"/>
      <c r="EWF83" s="51"/>
      <c r="EWG83" s="50"/>
      <c r="EWH83" s="23"/>
      <c r="EWI83" s="50"/>
      <c r="EWJ83" s="51"/>
      <c r="EWK83" s="50"/>
      <c r="EWL83" s="23"/>
      <c r="EWM83" s="50"/>
      <c r="EWN83" s="51"/>
      <c r="EWO83" s="50"/>
      <c r="EWP83" s="23"/>
      <c r="EWQ83" s="50"/>
      <c r="EWR83" s="51"/>
      <c r="EWS83" s="50"/>
      <c r="EWT83" s="23"/>
      <c r="EWU83" s="50"/>
      <c r="EWV83" s="51"/>
      <c r="EWW83" s="50"/>
      <c r="EWX83" s="23"/>
      <c r="EWY83" s="50"/>
      <c r="EWZ83" s="51"/>
      <c r="EXA83" s="50"/>
      <c r="EXB83" s="23"/>
      <c r="EXC83" s="50"/>
      <c r="EXD83" s="51"/>
      <c r="EXE83" s="50"/>
      <c r="EXF83" s="23"/>
      <c r="EXG83" s="50"/>
      <c r="EXH83" s="51"/>
      <c r="EXI83" s="50"/>
      <c r="EXJ83" s="23"/>
      <c r="EXK83" s="50"/>
      <c r="EXL83" s="51"/>
      <c r="EXM83" s="50"/>
      <c r="EXN83" s="23"/>
      <c r="EXO83" s="50"/>
      <c r="EXP83" s="51"/>
      <c r="EXQ83" s="50"/>
      <c r="EXR83" s="23"/>
      <c r="EXS83" s="50"/>
      <c r="EXT83" s="51"/>
      <c r="EXU83" s="50"/>
      <c r="EXV83" s="23"/>
      <c r="EXW83" s="50"/>
      <c r="EXX83" s="51"/>
      <c r="EXY83" s="50"/>
      <c r="EXZ83" s="23"/>
      <c r="EYA83" s="50"/>
      <c r="EYB83" s="51"/>
      <c r="EYC83" s="50"/>
      <c r="EYD83" s="23"/>
      <c r="EYE83" s="50"/>
      <c r="EYF83" s="51"/>
      <c r="EYG83" s="50"/>
      <c r="EYH83" s="23"/>
      <c r="EYI83" s="50"/>
      <c r="EYJ83" s="51"/>
      <c r="EYK83" s="50"/>
      <c r="EYL83" s="23"/>
      <c r="EYM83" s="50"/>
      <c r="EYN83" s="51"/>
      <c r="EYO83" s="50"/>
      <c r="EYP83" s="23"/>
      <c r="EYQ83" s="50"/>
      <c r="EYR83" s="51"/>
      <c r="EYS83" s="50"/>
      <c r="EYT83" s="23"/>
      <c r="EYU83" s="50"/>
      <c r="EYV83" s="51"/>
      <c r="EYW83" s="50"/>
      <c r="EYX83" s="23"/>
      <c r="EYY83" s="50"/>
      <c r="EYZ83" s="51"/>
      <c r="EZA83" s="50"/>
      <c r="EZB83" s="23"/>
      <c r="EZC83" s="50"/>
      <c r="EZD83" s="51"/>
      <c r="EZE83" s="50"/>
      <c r="EZF83" s="23"/>
      <c r="EZG83" s="50"/>
      <c r="EZH83" s="51"/>
      <c r="EZI83" s="50"/>
      <c r="EZJ83" s="23"/>
      <c r="EZK83" s="50"/>
      <c r="EZL83" s="51"/>
      <c r="EZM83" s="50"/>
      <c r="EZN83" s="23"/>
      <c r="EZO83" s="50"/>
      <c r="EZP83" s="51"/>
      <c r="EZQ83" s="50"/>
      <c r="EZR83" s="23"/>
      <c r="EZS83" s="50"/>
      <c r="EZT83" s="51"/>
      <c r="EZU83" s="50"/>
      <c r="EZV83" s="23"/>
      <c r="EZW83" s="50"/>
      <c r="EZX83" s="51"/>
      <c r="EZY83" s="50"/>
      <c r="EZZ83" s="23"/>
      <c r="FAA83" s="50"/>
      <c r="FAB83" s="51"/>
      <c r="FAC83" s="50"/>
      <c r="FAD83" s="23"/>
      <c r="FAE83" s="50"/>
      <c r="FAF83" s="51"/>
      <c r="FAG83" s="50"/>
      <c r="FAH83" s="23"/>
      <c r="FAI83" s="50"/>
      <c r="FAJ83" s="51"/>
      <c r="FAK83" s="50"/>
      <c r="FAL83" s="23"/>
      <c r="FAM83" s="50"/>
      <c r="FAN83" s="51"/>
      <c r="FAO83" s="50"/>
      <c r="FAP83" s="23"/>
      <c r="FAQ83" s="50"/>
      <c r="FAR83" s="51"/>
      <c r="FAS83" s="50"/>
      <c r="FAT83" s="23"/>
      <c r="FAU83" s="50"/>
      <c r="FAV83" s="51"/>
      <c r="FAW83" s="50"/>
      <c r="FAX83" s="23"/>
      <c r="FAY83" s="50"/>
      <c r="FAZ83" s="51"/>
      <c r="FBA83" s="50"/>
      <c r="FBB83" s="23"/>
      <c r="FBC83" s="50"/>
      <c r="FBD83" s="51"/>
      <c r="FBE83" s="50"/>
      <c r="FBF83" s="23"/>
      <c r="FBG83" s="50"/>
      <c r="FBH83" s="51"/>
      <c r="FBI83" s="50"/>
      <c r="FBJ83" s="23"/>
      <c r="FBK83" s="50"/>
      <c r="FBL83" s="51"/>
      <c r="FBM83" s="50"/>
      <c r="FBN83" s="23"/>
      <c r="FBO83" s="50"/>
      <c r="FBP83" s="51"/>
      <c r="FBQ83" s="50"/>
      <c r="FBR83" s="23"/>
      <c r="FBS83" s="50"/>
      <c r="FBT83" s="51"/>
      <c r="FBU83" s="50"/>
      <c r="FBV83" s="23"/>
      <c r="FBW83" s="50"/>
      <c r="FBX83" s="51"/>
      <c r="FBY83" s="50"/>
      <c r="FBZ83" s="23"/>
      <c r="FCA83" s="50"/>
      <c r="FCB83" s="51"/>
      <c r="FCC83" s="50"/>
      <c r="FCD83" s="23"/>
      <c r="FCE83" s="50"/>
      <c r="FCF83" s="51"/>
      <c r="FCG83" s="50"/>
      <c r="FCH83" s="23"/>
      <c r="FCI83" s="50"/>
      <c r="FCJ83" s="51"/>
      <c r="FCK83" s="50"/>
      <c r="FCL83" s="23"/>
      <c r="FCM83" s="50"/>
      <c r="FCN83" s="51"/>
      <c r="FCO83" s="50"/>
      <c r="FCP83" s="23"/>
      <c r="FCQ83" s="50"/>
      <c r="FCR83" s="51"/>
      <c r="FCS83" s="50"/>
      <c r="FCT83" s="23"/>
      <c r="FCU83" s="50"/>
      <c r="FCV83" s="51"/>
      <c r="FCW83" s="50"/>
      <c r="FCX83" s="23"/>
      <c r="FCY83" s="50"/>
      <c r="FCZ83" s="51"/>
      <c r="FDA83" s="50"/>
      <c r="FDB83" s="23"/>
      <c r="FDC83" s="50"/>
      <c r="FDD83" s="51"/>
      <c r="FDE83" s="50"/>
      <c r="FDF83" s="23"/>
      <c r="FDG83" s="50"/>
      <c r="FDH83" s="51"/>
      <c r="FDI83" s="50"/>
      <c r="FDJ83" s="23"/>
      <c r="FDK83" s="50"/>
      <c r="FDL83" s="51"/>
      <c r="FDM83" s="50"/>
      <c r="FDN83" s="23"/>
      <c r="FDO83" s="50"/>
      <c r="FDP83" s="51"/>
      <c r="FDQ83" s="50"/>
      <c r="FDR83" s="23"/>
      <c r="FDS83" s="50"/>
      <c r="FDT83" s="51"/>
      <c r="FDU83" s="50"/>
      <c r="FDV83" s="23"/>
      <c r="FDW83" s="50"/>
      <c r="FDX83" s="51"/>
      <c r="FDY83" s="50"/>
      <c r="FDZ83" s="23"/>
      <c r="FEA83" s="50"/>
      <c r="FEB83" s="51"/>
      <c r="FEC83" s="50"/>
      <c r="FED83" s="23"/>
      <c r="FEE83" s="50"/>
      <c r="FEF83" s="51"/>
      <c r="FEG83" s="50"/>
      <c r="FEH83" s="23"/>
      <c r="FEI83" s="50"/>
      <c r="FEJ83" s="51"/>
      <c r="FEK83" s="50"/>
      <c r="FEL83" s="23"/>
      <c r="FEM83" s="50"/>
      <c r="FEN83" s="51"/>
      <c r="FEO83" s="50"/>
      <c r="FEP83" s="23"/>
      <c r="FEQ83" s="50"/>
      <c r="FER83" s="51"/>
      <c r="FES83" s="50"/>
      <c r="FET83" s="23"/>
      <c r="FEU83" s="50"/>
      <c r="FEV83" s="51"/>
      <c r="FEW83" s="50"/>
      <c r="FEX83" s="23"/>
      <c r="FEY83" s="50"/>
      <c r="FEZ83" s="51"/>
      <c r="FFA83" s="50"/>
      <c r="FFB83" s="23"/>
      <c r="FFC83" s="50"/>
      <c r="FFD83" s="51"/>
      <c r="FFE83" s="50"/>
      <c r="FFF83" s="23"/>
      <c r="FFG83" s="50"/>
      <c r="FFH83" s="51"/>
      <c r="FFI83" s="50"/>
      <c r="FFJ83" s="23"/>
      <c r="FFK83" s="50"/>
      <c r="FFL83" s="51"/>
      <c r="FFM83" s="50"/>
      <c r="FFN83" s="23"/>
      <c r="FFO83" s="50"/>
      <c r="FFP83" s="51"/>
      <c r="FFQ83" s="50"/>
      <c r="FFR83" s="23"/>
      <c r="FFS83" s="50"/>
      <c r="FFT83" s="51"/>
      <c r="FFU83" s="50"/>
      <c r="FFV83" s="23"/>
      <c r="FFW83" s="50"/>
      <c r="FFX83" s="51"/>
      <c r="FFY83" s="50"/>
      <c r="FFZ83" s="23"/>
      <c r="FGA83" s="50"/>
      <c r="FGB83" s="51"/>
      <c r="FGC83" s="50"/>
      <c r="FGD83" s="23"/>
      <c r="FGE83" s="50"/>
      <c r="FGF83" s="51"/>
      <c r="FGG83" s="50"/>
      <c r="FGH83" s="23"/>
      <c r="FGI83" s="50"/>
      <c r="FGJ83" s="51"/>
      <c r="FGK83" s="50"/>
      <c r="FGL83" s="23"/>
      <c r="FGM83" s="50"/>
      <c r="FGN83" s="51"/>
      <c r="FGO83" s="50"/>
      <c r="FGP83" s="23"/>
      <c r="FGQ83" s="50"/>
      <c r="FGR83" s="51"/>
      <c r="FGS83" s="50"/>
      <c r="FGT83" s="23"/>
      <c r="FGU83" s="50"/>
      <c r="FGV83" s="51"/>
      <c r="FGW83" s="50"/>
      <c r="FGX83" s="23"/>
      <c r="FGY83" s="50"/>
      <c r="FGZ83" s="51"/>
      <c r="FHA83" s="50"/>
      <c r="FHB83" s="23"/>
      <c r="FHC83" s="50"/>
      <c r="FHD83" s="51"/>
      <c r="FHE83" s="50"/>
      <c r="FHF83" s="23"/>
      <c r="FHG83" s="50"/>
      <c r="FHH83" s="51"/>
      <c r="FHI83" s="50"/>
      <c r="FHJ83" s="23"/>
      <c r="FHK83" s="50"/>
      <c r="FHL83" s="51"/>
      <c r="FHM83" s="50"/>
      <c r="FHN83" s="23"/>
      <c r="FHO83" s="50"/>
      <c r="FHP83" s="51"/>
      <c r="FHQ83" s="50"/>
      <c r="FHR83" s="23"/>
      <c r="FHS83" s="50"/>
      <c r="FHT83" s="51"/>
      <c r="FHU83" s="50"/>
      <c r="FHV83" s="23"/>
      <c r="FHW83" s="50"/>
      <c r="FHX83" s="51"/>
      <c r="FHY83" s="50"/>
      <c r="FHZ83" s="23"/>
      <c r="FIA83" s="50"/>
      <c r="FIB83" s="51"/>
      <c r="FIC83" s="50"/>
      <c r="FID83" s="23"/>
      <c r="FIE83" s="50"/>
      <c r="FIF83" s="51"/>
      <c r="FIG83" s="50"/>
      <c r="FIH83" s="23"/>
      <c r="FII83" s="50"/>
      <c r="FIJ83" s="51"/>
      <c r="FIK83" s="50"/>
      <c r="FIL83" s="23"/>
      <c r="FIM83" s="50"/>
      <c r="FIN83" s="51"/>
      <c r="FIO83" s="50"/>
      <c r="FIP83" s="23"/>
      <c r="FIQ83" s="50"/>
      <c r="FIR83" s="51"/>
      <c r="FIS83" s="50"/>
      <c r="FIT83" s="23"/>
      <c r="FIU83" s="50"/>
      <c r="FIV83" s="51"/>
      <c r="FIW83" s="50"/>
      <c r="FIX83" s="23"/>
      <c r="FIY83" s="50"/>
      <c r="FIZ83" s="51"/>
      <c r="FJA83" s="50"/>
      <c r="FJB83" s="23"/>
      <c r="FJC83" s="50"/>
      <c r="FJD83" s="51"/>
      <c r="FJE83" s="50"/>
      <c r="FJF83" s="23"/>
      <c r="FJG83" s="50"/>
      <c r="FJH83" s="51"/>
      <c r="FJI83" s="50"/>
      <c r="FJJ83" s="23"/>
      <c r="FJK83" s="50"/>
      <c r="FJL83" s="51"/>
      <c r="FJM83" s="50"/>
      <c r="FJN83" s="23"/>
      <c r="FJO83" s="50"/>
      <c r="FJP83" s="51"/>
      <c r="FJQ83" s="50"/>
      <c r="FJR83" s="23"/>
      <c r="FJS83" s="50"/>
      <c r="FJT83" s="51"/>
      <c r="FJU83" s="50"/>
      <c r="FJV83" s="23"/>
      <c r="FJW83" s="50"/>
      <c r="FJX83" s="51"/>
      <c r="FJY83" s="50"/>
      <c r="FJZ83" s="23"/>
      <c r="FKA83" s="50"/>
      <c r="FKB83" s="51"/>
      <c r="FKC83" s="50"/>
      <c r="FKD83" s="23"/>
      <c r="FKE83" s="50"/>
      <c r="FKF83" s="51"/>
      <c r="FKG83" s="50"/>
      <c r="FKH83" s="23"/>
      <c r="FKI83" s="50"/>
      <c r="FKJ83" s="51"/>
      <c r="FKK83" s="50"/>
      <c r="FKL83" s="23"/>
      <c r="FKM83" s="50"/>
      <c r="FKN83" s="51"/>
      <c r="FKO83" s="50"/>
      <c r="FKP83" s="23"/>
      <c r="FKQ83" s="50"/>
      <c r="FKR83" s="51"/>
      <c r="FKS83" s="50"/>
      <c r="FKT83" s="23"/>
      <c r="FKU83" s="50"/>
      <c r="FKV83" s="51"/>
      <c r="FKW83" s="50"/>
      <c r="FKX83" s="23"/>
      <c r="FKY83" s="50"/>
      <c r="FKZ83" s="51"/>
      <c r="FLA83" s="50"/>
      <c r="FLB83" s="23"/>
      <c r="FLC83" s="50"/>
      <c r="FLD83" s="51"/>
      <c r="FLE83" s="50"/>
      <c r="FLF83" s="23"/>
      <c r="FLG83" s="50"/>
      <c r="FLH83" s="51"/>
      <c r="FLI83" s="50"/>
      <c r="FLJ83" s="23"/>
      <c r="FLK83" s="50"/>
      <c r="FLL83" s="51"/>
      <c r="FLM83" s="50"/>
      <c r="FLN83" s="23"/>
      <c r="FLO83" s="50"/>
      <c r="FLP83" s="51"/>
      <c r="FLQ83" s="50"/>
      <c r="FLR83" s="23"/>
      <c r="FLS83" s="50"/>
      <c r="FLT83" s="51"/>
      <c r="FLU83" s="50"/>
      <c r="FLV83" s="23"/>
      <c r="FLW83" s="50"/>
      <c r="FLX83" s="51"/>
      <c r="FLY83" s="50"/>
      <c r="FLZ83" s="23"/>
      <c r="FMA83" s="50"/>
      <c r="FMB83" s="51"/>
      <c r="FMC83" s="50"/>
      <c r="FMD83" s="23"/>
      <c r="FME83" s="50"/>
      <c r="FMF83" s="51"/>
      <c r="FMG83" s="50"/>
      <c r="FMH83" s="23"/>
      <c r="FMI83" s="50"/>
      <c r="FMJ83" s="51"/>
      <c r="FMK83" s="50"/>
      <c r="FML83" s="23"/>
      <c r="FMM83" s="50"/>
      <c r="FMN83" s="51"/>
      <c r="FMO83" s="50"/>
      <c r="FMP83" s="23"/>
      <c r="FMQ83" s="50"/>
      <c r="FMR83" s="51"/>
      <c r="FMS83" s="50"/>
      <c r="FMT83" s="23"/>
      <c r="FMU83" s="50"/>
      <c r="FMV83" s="51"/>
      <c r="FMW83" s="50"/>
      <c r="FMX83" s="23"/>
      <c r="FMY83" s="50"/>
      <c r="FMZ83" s="51"/>
      <c r="FNA83" s="50"/>
      <c r="FNB83" s="23"/>
      <c r="FNC83" s="50"/>
      <c r="FND83" s="51"/>
      <c r="FNE83" s="50"/>
      <c r="FNF83" s="23"/>
      <c r="FNG83" s="50"/>
      <c r="FNH83" s="51"/>
      <c r="FNI83" s="50"/>
      <c r="FNJ83" s="23"/>
      <c r="FNK83" s="50"/>
      <c r="FNL83" s="51"/>
      <c r="FNM83" s="50"/>
      <c r="FNN83" s="23"/>
      <c r="FNO83" s="50"/>
      <c r="FNP83" s="51"/>
      <c r="FNQ83" s="50"/>
      <c r="FNR83" s="23"/>
      <c r="FNS83" s="50"/>
      <c r="FNT83" s="51"/>
      <c r="FNU83" s="50"/>
      <c r="FNV83" s="23"/>
      <c r="FNW83" s="50"/>
      <c r="FNX83" s="51"/>
      <c r="FNY83" s="50"/>
      <c r="FNZ83" s="23"/>
      <c r="FOA83" s="50"/>
      <c r="FOB83" s="51"/>
      <c r="FOC83" s="50"/>
      <c r="FOD83" s="23"/>
      <c r="FOE83" s="50"/>
      <c r="FOF83" s="51"/>
      <c r="FOG83" s="50"/>
      <c r="FOH83" s="23"/>
      <c r="FOI83" s="50"/>
      <c r="FOJ83" s="51"/>
      <c r="FOK83" s="50"/>
      <c r="FOL83" s="23"/>
      <c r="FOM83" s="50"/>
      <c r="FON83" s="51"/>
      <c r="FOO83" s="50"/>
      <c r="FOP83" s="23"/>
      <c r="FOQ83" s="50"/>
      <c r="FOR83" s="51"/>
      <c r="FOS83" s="50"/>
      <c r="FOT83" s="23"/>
      <c r="FOU83" s="50"/>
      <c r="FOV83" s="51"/>
      <c r="FOW83" s="50"/>
      <c r="FOX83" s="23"/>
      <c r="FOY83" s="50"/>
      <c r="FOZ83" s="51"/>
      <c r="FPA83" s="50"/>
      <c r="FPB83" s="23"/>
      <c r="FPC83" s="50"/>
      <c r="FPD83" s="51"/>
      <c r="FPE83" s="50"/>
      <c r="FPF83" s="23"/>
      <c r="FPG83" s="50"/>
      <c r="FPH83" s="51"/>
      <c r="FPI83" s="50"/>
      <c r="FPJ83" s="23"/>
      <c r="FPK83" s="50"/>
      <c r="FPL83" s="51"/>
      <c r="FPM83" s="50"/>
      <c r="FPN83" s="23"/>
      <c r="FPO83" s="50"/>
      <c r="FPP83" s="51"/>
      <c r="FPQ83" s="50"/>
      <c r="FPR83" s="23"/>
      <c r="FPS83" s="50"/>
      <c r="FPT83" s="51"/>
      <c r="FPU83" s="50"/>
      <c r="FPV83" s="23"/>
      <c r="FPW83" s="50"/>
      <c r="FPX83" s="51"/>
      <c r="FPY83" s="50"/>
      <c r="FPZ83" s="23"/>
      <c r="FQA83" s="50"/>
      <c r="FQB83" s="51"/>
      <c r="FQC83" s="50"/>
      <c r="FQD83" s="23"/>
      <c r="FQE83" s="50"/>
      <c r="FQF83" s="51"/>
      <c r="FQG83" s="50"/>
      <c r="FQH83" s="23"/>
      <c r="FQI83" s="50"/>
      <c r="FQJ83" s="51"/>
      <c r="FQK83" s="50"/>
      <c r="FQL83" s="23"/>
      <c r="FQM83" s="50"/>
      <c r="FQN83" s="51"/>
      <c r="FQO83" s="50"/>
      <c r="FQP83" s="23"/>
      <c r="FQQ83" s="50"/>
      <c r="FQR83" s="51"/>
      <c r="FQS83" s="50"/>
      <c r="FQT83" s="23"/>
      <c r="FQU83" s="50"/>
      <c r="FQV83" s="51"/>
      <c r="FQW83" s="50"/>
      <c r="FQX83" s="23"/>
      <c r="FQY83" s="50"/>
      <c r="FQZ83" s="51"/>
      <c r="FRA83" s="50"/>
      <c r="FRB83" s="23"/>
      <c r="FRC83" s="50"/>
      <c r="FRD83" s="51"/>
      <c r="FRE83" s="50"/>
      <c r="FRF83" s="23"/>
      <c r="FRG83" s="50"/>
      <c r="FRH83" s="51"/>
      <c r="FRI83" s="50"/>
      <c r="FRJ83" s="23"/>
      <c r="FRK83" s="50"/>
      <c r="FRL83" s="51"/>
      <c r="FRM83" s="50"/>
      <c r="FRN83" s="23"/>
      <c r="FRO83" s="50"/>
      <c r="FRP83" s="51"/>
      <c r="FRQ83" s="50"/>
      <c r="FRR83" s="23"/>
      <c r="FRS83" s="50"/>
      <c r="FRT83" s="51"/>
      <c r="FRU83" s="50"/>
      <c r="FRV83" s="23"/>
      <c r="FRW83" s="50"/>
      <c r="FRX83" s="51"/>
      <c r="FRY83" s="50"/>
      <c r="FRZ83" s="23"/>
      <c r="FSA83" s="50"/>
      <c r="FSB83" s="51"/>
      <c r="FSC83" s="50"/>
      <c r="FSD83" s="23"/>
      <c r="FSE83" s="50"/>
      <c r="FSF83" s="51"/>
      <c r="FSG83" s="50"/>
      <c r="FSH83" s="23"/>
      <c r="FSI83" s="50"/>
      <c r="FSJ83" s="51"/>
      <c r="FSK83" s="50"/>
      <c r="FSL83" s="23"/>
      <c r="FSM83" s="50"/>
      <c r="FSN83" s="51"/>
      <c r="FSO83" s="50"/>
      <c r="FSP83" s="23"/>
      <c r="FSQ83" s="50"/>
      <c r="FSR83" s="51"/>
      <c r="FSS83" s="50"/>
      <c r="FST83" s="23"/>
      <c r="FSU83" s="50"/>
      <c r="FSV83" s="51"/>
      <c r="FSW83" s="50"/>
      <c r="FSX83" s="23"/>
      <c r="FSY83" s="50"/>
      <c r="FSZ83" s="51"/>
      <c r="FTA83" s="50"/>
      <c r="FTB83" s="23"/>
      <c r="FTC83" s="50"/>
      <c r="FTD83" s="51"/>
      <c r="FTE83" s="50"/>
      <c r="FTF83" s="23"/>
      <c r="FTG83" s="50"/>
      <c r="FTH83" s="51"/>
      <c r="FTI83" s="50"/>
      <c r="FTJ83" s="23"/>
      <c r="FTK83" s="50"/>
      <c r="FTL83" s="51"/>
      <c r="FTM83" s="50"/>
      <c r="FTN83" s="23"/>
      <c r="FTO83" s="50"/>
      <c r="FTP83" s="51"/>
      <c r="FTQ83" s="50"/>
      <c r="FTR83" s="23"/>
      <c r="FTS83" s="50"/>
      <c r="FTT83" s="51"/>
      <c r="FTU83" s="50"/>
      <c r="FTV83" s="23"/>
      <c r="FTW83" s="50"/>
      <c r="FTX83" s="51"/>
      <c r="FTY83" s="50"/>
      <c r="FTZ83" s="23"/>
      <c r="FUA83" s="50"/>
      <c r="FUB83" s="51"/>
      <c r="FUC83" s="50"/>
      <c r="FUD83" s="23"/>
      <c r="FUE83" s="50"/>
      <c r="FUF83" s="51"/>
      <c r="FUG83" s="50"/>
      <c r="FUH83" s="23"/>
      <c r="FUI83" s="50"/>
      <c r="FUJ83" s="51"/>
      <c r="FUK83" s="50"/>
      <c r="FUL83" s="23"/>
      <c r="FUM83" s="50"/>
      <c r="FUN83" s="51"/>
      <c r="FUO83" s="50"/>
      <c r="FUP83" s="23"/>
      <c r="FUQ83" s="50"/>
      <c r="FUR83" s="51"/>
      <c r="FUS83" s="50"/>
      <c r="FUT83" s="23"/>
      <c r="FUU83" s="50"/>
      <c r="FUV83" s="51"/>
      <c r="FUW83" s="50"/>
      <c r="FUX83" s="23"/>
      <c r="FUY83" s="50"/>
      <c r="FUZ83" s="51"/>
      <c r="FVA83" s="50"/>
      <c r="FVB83" s="23"/>
      <c r="FVC83" s="50"/>
      <c r="FVD83" s="51"/>
      <c r="FVE83" s="50"/>
      <c r="FVF83" s="23"/>
      <c r="FVG83" s="50"/>
      <c r="FVH83" s="51"/>
      <c r="FVI83" s="50"/>
      <c r="FVJ83" s="23"/>
      <c r="FVK83" s="50"/>
      <c r="FVL83" s="51"/>
      <c r="FVM83" s="50"/>
      <c r="FVN83" s="23"/>
      <c r="FVO83" s="50"/>
      <c r="FVP83" s="51"/>
      <c r="FVQ83" s="50"/>
      <c r="FVR83" s="23"/>
      <c r="FVS83" s="50"/>
      <c r="FVT83" s="51"/>
      <c r="FVU83" s="50"/>
      <c r="FVV83" s="23"/>
      <c r="FVW83" s="50"/>
      <c r="FVX83" s="51"/>
      <c r="FVY83" s="50"/>
      <c r="FVZ83" s="23"/>
      <c r="FWA83" s="50"/>
      <c r="FWB83" s="51"/>
      <c r="FWC83" s="50"/>
      <c r="FWD83" s="23"/>
      <c r="FWE83" s="50"/>
      <c r="FWF83" s="51"/>
      <c r="FWG83" s="50"/>
      <c r="FWH83" s="23"/>
      <c r="FWI83" s="50"/>
      <c r="FWJ83" s="51"/>
      <c r="FWK83" s="50"/>
      <c r="FWL83" s="23"/>
      <c r="FWM83" s="50"/>
      <c r="FWN83" s="51"/>
      <c r="FWO83" s="50"/>
      <c r="FWP83" s="23"/>
      <c r="FWQ83" s="50"/>
      <c r="FWR83" s="51"/>
      <c r="FWS83" s="50"/>
      <c r="FWT83" s="23"/>
      <c r="FWU83" s="50"/>
      <c r="FWV83" s="51"/>
      <c r="FWW83" s="50"/>
      <c r="FWX83" s="23"/>
      <c r="FWY83" s="50"/>
      <c r="FWZ83" s="51"/>
      <c r="FXA83" s="50"/>
      <c r="FXB83" s="23"/>
      <c r="FXC83" s="50"/>
      <c r="FXD83" s="51"/>
      <c r="FXE83" s="50"/>
      <c r="FXF83" s="23"/>
      <c r="FXG83" s="50"/>
      <c r="FXH83" s="51"/>
      <c r="FXI83" s="50"/>
      <c r="FXJ83" s="23"/>
      <c r="FXK83" s="50"/>
      <c r="FXL83" s="51"/>
      <c r="FXM83" s="50"/>
      <c r="FXN83" s="23"/>
      <c r="FXO83" s="50"/>
      <c r="FXP83" s="51"/>
      <c r="FXQ83" s="50"/>
      <c r="FXR83" s="23"/>
      <c r="FXS83" s="50"/>
      <c r="FXT83" s="51"/>
      <c r="FXU83" s="50"/>
      <c r="FXV83" s="23"/>
      <c r="FXW83" s="50"/>
      <c r="FXX83" s="51"/>
      <c r="FXY83" s="50"/>
      <c r="FXZ83" s="23"/>
      <c r="FYA83" s="50"/>
      <c r="FYB83" s="51"/>
      <c r="FYC83" s="50"/>
      <c r="FYD83" s="23"/>
      <c r="FYE83" s="50"/>
      <c r="FYF83" s="51"/>
      <c r="FYG83" s="50"/>
      <c r="FYH83" s="23"/>
      <c r="FYI83" s="50"/>
      <c r="FYJ83" s="51"/>
      <c r="FYK83" s="50"/>
      <c r="FYL83" s="23"/>
      <c r="FYM83" s="50"/>
      <c r="FYN83" s="51"/>
      <c r="FYO83" s="50"/>
      <c r="FYP83" s="23"/>
      <c r="FYQ83" s="50"/>
      <c r="FYR83" s="51"/>
      <c r="FYS83" s="50"/>
      <c r="FYT83" s="23"/>
      <c r="FYU83" s="50"/>
      <c r="FYV83" s="51"/>
      <c r="FYW83" s="50"/>
      <c r="FYX83" s="23"/>
      <c r="FYY83" s="50"/>
      <c r="FYZ83" s="51"/>
      <c r="FZA83" s="50"/>
      <c r="FZB83" s="23"/>
      <c r="FZC83" s="50"/>
      <c r="FZD83" s="51"/>
      <c r="FZE83" s="50"/>
      <c r="FZF83" s="23"/>
      <c r="FZG83" s="50"/>
      <c r="FZH83" s="51"/>
      <c r="FZI83" s="50"/>
      <c r="FZJ83" s="23"/>
      <c r="FZK83" s="50"/>
      <c r="FZL83" s="51"/>
      <c r="FZM83" s="50"/>
      <c r="FZN83" s="23"/>
      <c r="FZO83" s="50"/>
      <c r="FZP83" s="51"/>
      <c r="FZQ83" s="50"/>
      <c r="FZR83" s="23"/>
      <c r="FZS83" s="50"/>
      <c r="FZT83" s="51"/>
      <c r="FZU83" s="50"/>
      <c r="FZV83" s="23"/>
      <c r="FZW83" s="50"/>
      <c r="FZX83" s="51"/>
      <c r="FZY83" s="50"/>
      <c r="FZZ83" s="23"/>
      <c r="GAA83" s="50"/>
      <c r="GAB83" s="51"/>
      <c r="GAC83" s="50"/>
      <c r="GAD83" s="23"/>
      <c r="GAE83" s="50"/>
      <c r="GAF83" s="51"/>
      <c r="GAG83" s="50"/>
      <c r="GAH83" s="23"/>
      <c r="GAI83" s="50"/>
      <c r="GAJ83" s="51"/>
      <c r="GAK83" s="50"/>
      <c r="GAL83" s="23"/>
      <c r="GAM83" s="50"/>
      <c r="GAN83" s="51"/>
      <c r="GAO83" s="50"/>
      <c r="GAP83" s="23"/>
      <c r="GAQ83" s="50"/>
      <c r="GAR83" s="51"/>
      <c r="GAS83" s="50"/>
      <c r="GAT83" s="23"/>
      <c r="GAU83" s="50"/>
      <c r="GAV83" s="51"/>
      <c r="GAW83" s="50"/>
      <c r="GAX83" s="23"/>
      <c r="GAY83" s="50"/>
      <c r="GAZ83" s="51"/>
      <c r="GBA83" s="50"/>
      <c r="GBB83" s="23"/>
      <c r="GBC83" s="50"/>
      <c r="GBD83" s="51"/>
      <c r="GBE83" s="50"/>
      <c r="GBF83" s="23"/>
      <c r="GBG83" s="50"/>
      <c r="GBH83" s="51"/>
      <c r="GBI83" s="50"/>
      <c r="GBJ83" s="23"/>
      <c r="GBK83" s="50"/>
      <c r="GBL83" s="51"/>
      <c r="GBM83" s="50"/>
      <c r="GBN83" s="23"/>
      <c r="GBO83" s="50"/>
      <c r="GBP83" s="51"/>
      <c r="GBQ83" s="50"/>
      <c r="GBR83" s="23"/>
      <c r="GBS83" s="50"/>
      <c r="GBT83" s="51"/>
      <c r="GBU83" s="50"/>
      <c r="GBV83" s="23"/>
      <c r="GBW83" s="50"/>
      <c r="GBX83" s="51"/>
      <c r="GBY83" s="50"/>
      <c r="GBZ83" s="23"/>
      <c r="GCA83" s="50"/>
      <c r="GCB83" s="51"/>
      <c r="GCC83" s="50"/>
      <c r="GCD83" s="23"/>
      <c r="GCE83" s="50"/>
      <c r="GCF83" s="51"/>
      <c r="GCG83" s="50"/>
      <c r="GCH83" s="23"/>
      <c r="GCI83" s="50"/>
      <c r="GCJ83" s="51"/>
      <c r="GCK83" s="50"/>
      <c r="GCL83" s="23"/>
      <c r="GCM83" s="50"/>
      <c r="GCN83" s="51"/>
      <c r="GCO83" s="50"/>
      <c r="GCP83" s="23"/>
      <c r="GCQ83" s="50"/>
      <c r="GCR83" s="51"/>
      <c r="GCS83" s="50"/>
      <c r="GCT83" s="23"/>
      <c r="GCU83" s="50"/>
      <c r="GCV83" s="51"/>
      <c r="GCW83" s="50"/>
      <c r="GCX83" s="23"/>
      <c r="GCY83" s="50"/>
      <c r="GCZ83" s="51"/>
      <c r="GDA83" s="50"/>
      <c r="GDB83" s="23"/>
      <c r="GDC83" s="50"/>
      <c r="GDD83" s="51"/>
      <c r="GDE83" s="50"/>
      <c r="GDF83" s="23"/>
      <c r="GDG83" s="50"/>
      <c r="GDH83" s="51"/>
      <c r="GDI83" s="50"/>
      <c r="GDJ83" s="23"/>
      <c r="GDK83" s="50"/>
      <c r="GDL83" s="51"/>
      <c r="GDM83" s="50"/>
      <c r="GDN83" s="23"/>
      <c r="GDO83" s="50"/>
      <c r="GDP83" s="51"/>
      <c r="GDQ83" s="50"/>
      <c r="GDR83" s="23"/>
      <c r="GDS83" s="50"/>
      <c r="GDT83" s="51"/>
      <c r="GDU83" s="50"/>
      <c r="GDV83" s="23"/>
      <c r="GDW83" s="50"/>
      <c r="GDX83" s="51"/>
      <c r="GDY83" s="50"/>
      <c r="GDZ83" s="23"/>
      <c r="GEA83" s="50"/>
      <c r="GEB83" s="51"/>
      <c r="GEC83" s="50"/>
      <c r="GED83" s="23"/>
      <c r="GEE83" s="50"/>
      <c r="GEF83" s="51"/>
      <c r="GEG83" s="50"/>
      <c r="GEH83" s="23"/>
      <c r="GEI83" s="50"/>
      <c r="GEJ83" s="51"/>
      <c r="GEK83" s="50"/>
      <c r="GEL83" s="23"/>
      <c r="GEM83" s="50"/>
      <c r="GEN83" s="51"/>
      <c r="GEO83" s="50"/>
      <c r="GEP83" s="23"/>
      <c r="GEQ83" s="50"/>
      <c r="GER83" s="51"/>
      <c r="GES83" s="50"/>
      <c r="GET83" s="23"/>
      <c r="GEU83" s="50"/>
      <c r="GEV83" s="51"/>
      <c r="GEW83" s="50"/>
      <c r="GEX83" s="23"/>
      <c r="GEY83" s="50"/>
      <c r="GEZ83" s="51"/>
      <c r="GFA83" s="50"/>
      <c r="GFB83" s="23"/>
      <c r="GFC83" s="50"/>
      <c r="GFD83" s="51"/>
      <c r="GFE83" s="50"/>
      <c r="GFF83" s="23"/>
      <c r="GFG83" s="50"/>
      <c r="GFH83" s="51"/>
      <c r="GFI83" s="50"/>
      <c r="GFJ83" s="23"/>
      <c r="GFK83" s="50"/>
      <c r="GFL83" s="51"/>
      <c r="GFM83" s="50"/>
      <c r="GFN83" s="23"/>
      <c r="GFO83" s="50"/>
      <c r="GFP83" s="51"/>
      <c r="GFQ83" s="50"/>
      <c r="GFR83" s="23"/>
      <c r="GFS83" s="50"/>
      <c r="GFT83" s="51"/>
      <c r="GFU83" s="50"/>
      <c r="GFV83" s="23"/>
      <c r="GFW83" s="50"/>
      <c r="GFX83" s="51"/>
      <c r="GFY83" s="50"/>
      <c r="GFZ83" s="23"/>
      <c r="GGA83" s="50"/>
      <c r="GGB83" s="51"/>
      <c r="GGC83" s="50"/>
      <c r="GGD83" s="23"/>
      <c r="GGE83" s="50"/>
      <c r="GGF83" s="51"/>
      <c r="GGG83" s="50"/>
      <c r="GGH83" s="23"/>
      <c r="GGI83" s="50"/>
      <c r="GGJ83" s="51"/>
      <c r="GGK83" s="50"/>
      <c r="GGL83" s="23"/>
      <c r="GGM83" s="50"/>
      <c r="GGN83" s="51"/>
      <c r="GGO83" s="50"/>
      <c r="GGP83" s="23"/>
      <c r="GGQ83" s="50"/>
      <c r="GGR83" s="51"/>
      <c r="GGS83" s="50"/>
      <c r="GGT83" s="23"/>
      <c r="GGU83" s="50"/>
      <c r="GGV83" s="51"/>
      <c r="GGW83" s="50"/>
      <c r="GGX83" s="23"/>
      <c r="GGY83" s="50"/>
      <c r="GGZ83" s="51"/>
      <c r="GHA83" s="50"/>
      <c r="GHB83" s="23"/>
      <c r="GHC83" s="50"/>
      <c r="GHD83" s="51"/>
      <c r="GHE83" s="50"/>
      <c r="GHF83" s="23"/>
      <c r="GHG83" s="50"/>
      <c r="GHH83" s="51"/>
      <c r="GHI83" s="50"/>
      <c r="GHJ83" s="23"/>
      <c r="GHK83" s="50"/>
      <c r="GHL83" s="51"/>
      <c r="GHM83" s="50"/>
      <c r="GHN83" s="23"/>
      <c r="GHO83" s="50"/>
      <c r="GHP83" s="51"/>
      <c r="GHQ83" s="50"/>
      <c r="GHR83" s="23"/>
      <c r="GHS83" s="50"/>
      <c r="GHT83" s="51"/>
      <c r="GHU83" s="50"/>
      <c r="GHV83" s="23"/>
      <c r="GHW83" s="50"/>
      <c r="GHX83" s="51"/>
      <c r="GHY83" s="50"/>
      <c r="GHZ83" s="23"/>
      <c r="GIA83" s="50"/>
      <c r="GIB83" s="51"/>
      <c r="GIC83" s="50"/>
      <c r="GID83" s="23"/>
      <c r="GIE83" s="50"/>
      <c r="GIF83" s="51"/>
      <c r="GIG83" s="50"/>
      <c r="GIH83" s="23"/>
      <c r="GII83" s="50"/>
      <c r="GIJ83" s="51"/>
      <c r="GIK83" s="50"/>
      <c r="GIL83" s="23"/>
      <c r="GIM83" s="50"/>
      <c r="GIN83" s="51"/>
      <c r="GIO83" s="50"/>
      <c r="GIP83" s="23"/>
      <c r="GIQ83" s="50"/>
      <c r="GIR83" s="51"/>
      <c r="GIS83" s="50"/>
      <c r="GIT83" s="23"/>
      <c r="GIU83" s="50"/>
      <c r="GIV83" s="51"/>
      <c r="GIW83" s="50"/>
      <c r="GIX83" s="23"/>
      <c r="GIY83" s="50"/>
      <c r="GIZ83" s="51"/>
      <c r="GJA83" s="50"/>
      <c r="GJB83" s="23"/>
      <c r="GJC83" s="50"/>
      <c r="GJD83" s="51"/>
      <c r="GJE83" s="50"/>
      <c r="GJF83" s="23"/>
      <c r="GJG83" s="50"/>
      <c r="GJH83" s="51"/>
      <c r="GJI83" s="50"/>
      <c r="GJJ83" s="23"/>
      <c r="GJK83" s="50"/>
      <c r="GJL83" s="51"/>
      <c r="GJM83" s="50"/>
      <c r="GJN83" s="23"/>
      <c r="GJO83" s="50"/>
      <c r="GJP83" s="51"/>
      <c r="GJQ83" s="50"/>
      <c r="GJR83" s="23"/>
      <c r="GJS83" s="50"/>
      <c r="GJT83" s="51"/>
      <c r="GJU83" s="50"/>
      <c r="GJV83" s="23"/>
      <c r="GJW83" s="50"/>
      <c r="GJX83" s="51"/>
      <c r="GJY83" s="50"/>
      <c r="GJZ83" s="23"/>
      <c r="GKA83" s="50"/>
      <c r="GKB83" s="51"/>
      <c r="GKC83" s="50"/>
      <c r="GKD83" s="23"/>
      <c r="GKE83" s="50"/>
      <c r="GKF83" s="51"/>
      <c r="GKG83" s="50"/>
      <c r="GKH83" s="23"/>
      <c r="GKI83" s="50"/>
      <c r="GKJ83" s="51"/>
      <c r="GKK83" s="50"/>
      <c r="GKL83" s="23"/>
      <c r="GKM83" s="50"/>
      <c r="GKN83" s="51"/>
      <c r="GKO83" s="50"/>
      <c r="GKP83" s="23"/>
      <c r="GKQ83" s="50"/>
      <c r="GKR83" s="51"/>
      <c r="GKS83" s="50"/>
      <c r="GKT83" s="23"/>
      <c r="GKU83" s="50"/>
      <c r="GKV83" s="51"/>
      <c r="GKW83" s="50"/>
      <c r="GKX83" s="23"/>
      <c r="GKY83" s="50"/>
      <c r="GKZ83" s="51"/>
      <c r="GLA83" s="50"/>
      <c r="GLB83" s="23"/>
      <c r="GLC83" s="50"/>
      <c r="GLD83" s="51"/>
      <c r="GLE83" s="50"/>
      <c r="GLF83" s="23"/>
      <c r="GLG83" s="50"/>
      <c r="GLH83" s="51"/>
      <c r="GLI83" s="50"/>
      <c r="GLJ83" s="23"/>
      <c r="GLK83" s="50"/>
      <c r="GLL83" s="51"/>
      <c r="GLM83" s="50"/>
      <c r="GLN83" s="23"/>
      <c r="GLO83" s="50"/>
      <c r="GLP83" s="51"/>
      <c r="GLQ83" s="50"/>
      <c r="GLR83" s="23"/>
      <c r="GLS83" s="50"/>
      <c r="GLT83" s="51"/>
      <c r="GLU83" s="50"/>
      <c r="GLV83" s="23"/>
      <c r="GLW83" s="50"/>
      <c r="GLX83" s="51"/>
      <c r="GLY83" s="50"/>
      <c r="GLZ83" s="23"/>
      <c r="GMA83" s="50"/>
      <c r="GMB83" s="51"/>
      <c r="GMC83" s="50"/>
      <c r="GMD83" s="23"/>
      <c r="GME83" s="50"/>
      <c r="GMF83" s="51"/>
      <c r="GMG83" s="50"/>
      <c r="GMH83" s="23"/>
      <c r="GMI83" s="50"/>
      <c r="GMJ83" s="51"/>
      <c r="GMK83" s="50"/>
      <c r="GML83" s="23"/>
      <c r="GMM83" s="50"/>
      <c r="GMN83" s="51"/>
      <c r="GMO83" s="50"/>
      <c r="GMP83" s="23"/>
      <c r="GMQ83" s="50"/>
      <c r="GMR83" s="51"/>
      <c r="GMS83" s="50"/>
      <c r="GMT83" s="23"/>
      <c r="GMU83" s="50"/>
      <c r="GMV83" s="51"/>
      <c r="GMW83" s="50"/>
      <c r="GMX83" s="23"/>
      <c r="GMY83" s="50"/>
      <c r="GMZ83" s="51"/>
      <c r="GNA83" s="50"/>
      <c r="GNB83" s="23"/>
      <c r="GNC83" s="50"/>
      <c r="GND83" s="51"/>
      <c r="GNE83" s="50"/>
      <c r="GNF83" s="23"/>
      <c r="GNG83" s="50"/>
      <c r="GNH83" s="51"/>
      <c r="GNI83" s="50"/>
      <c r="GNJ83" s="23"/>
      <c r="GNK83" s="50"/>
      <c r="GNL83" s="51"/>
      <c r="GNM83" s="50"/>
      <c r="GNN83" s="23"/>
      <c r="GNO83" s="50"/>
      <c r="GNP83" s="51"/>
      <c r="GNQ83" s="50"/>
      <c r="GNR83" s="23"/>
      <c r="GNS83" s="50"/>
      <c r="GNT83" s="51"/>
      <c r="GNU83" s="50"/>
      <c r="GNV83" s="23"/>
      <c r="GNW83" s="50"/>
      <c r="GNX83" s="51"/>
      <c r="GNY83" s="50"/>
      <c r="GNZ83" s="23"/>
      <c r="GOA83" s="50"/>
      <c r="GOB83" s="51"/>
      <c r="GOC83" s="50"/>
      <c r="GOD83" s="23"/>
      <c r="GOE83" s="50"/>
      <c r="GOF83" s="51"/>
      <c r="GOG83" s="50"/>
      <c r="GOH83" s="23"/>
      <c r="GOI83" s="50"/>
      <c r="GOJ83" s="51"/>
      <c r="GOK83" s="50"/>
      <c r="GOL83" s="23"/>
      <c r="GOM83" s="50"/>
      <c r="GON83" s="51"/>
      <c r="GOO83" s="50"/>
      <c r="GOP83" s="23"/>
      <c r="GOQ83" s="50"/>
      <c r="GOR83" s="51"/>
      <c r="GOS83" s="50"/>
      <c r="GOT83" s="23"/>
      <c r="GOU83" s="50"/>
      <c r="GOV83" s="51"/>
      <c r="GOW83" s="50"/>
      <c r="GOX83" s="23"/>
      <c r="GOY83" s="50"/>
      <c r="GOZ83" s="51"/>
      <c r="GPA83" s="50"/>
      <c r="GPB83" s="23"/>
      <c r="GPC83" s="50"/>
      <c r="GPD83" s="51"/>
      <c r="GPE83" s="50"/>
      <c r="GPF83" s="23"/>
      <c r="GPG83" s="50"/>
      <c r="GPH83" s="51"/>
      <c r="GPI83" s="50"/>
      <c r="GPJ83" s="23"/>
      <c r="GPK83" s="50"/>
      <c r="GPL83" s="51"/>
      <c r="GPM83" s="50"/>
      <c r="GPN83" s="23"/>
      <c r="GPO83" s="50"/>
      <c r="GPP83" s="51"/>
      <c r="GPQ83" s="50"/>
      <c r="GPR83" s="23"/>
      <c r="GPS83" s="50"/>
      <c r="GPT83" s="51"/>
      <c r="GPU83" s="50"/>
      <c r="GPV83" s="23"/>
      <c r="GPW83" s="50"/>
      <c r="GPX83" s="51"/>
      <c r="GPY83" s="50"/>
      <c r="GPZ83" s="23"/>
      <c r="GQA83" s="50"/>
      <c r="GQB83" s="51"/>
      <c r="GQC83" s="50"/>
      <c r="GQD83" s="23"/>
      <c r="GQE83" s="50"/>
      <c r="GQF83" s="51"/>
      <c r="GQG83" s="50"/>
      <c r="GQH83" s="23"/>
      <c r="GQI83" s="50"/>
      <c r="GQJ83" s="51"/>
      <c r="GQK83" s="50"/>
      <c r="GQL83" s="23"/>
      <c r="GQM83" s="50"/>
      <c r="GQN83" s="51"/>
      <c r="GQO83" s="50"/>
      <c r="GQP83" s="23"/>
      <c r="GQQ83" s="50"/>
      <c r="GQR83" s="51"/>
      <c r="GQS83" s="50"/>
      <c r="GQT83" s="23"/>
      <c r="GQU83" s="50"/>
      <c r="GQV83" s="51"/>
      <c r="GQW83" s="50"/>
      <c r="GQX83" s="23"/>
      <c r="GQY83" s="50"/>
      <c r="GQZ83" s="51"/>
      <c r="GRA83" s="50"/>
      <c r="GRB83" s="23"/>
      <c r="GRC83" s="50"/>
      <c r="GRD83" s="51"/>
      <c r="GRE83" s="50"/>
      <c r="GRF83" s="23"/>
      <c r="GRG83" s="50"/>
      <c r="GRH83" s="51"/>
      <c r="GRI83" s="50"/>
      <c r="GRJ83" s="23"/>
      <c r="GRK83" s="50"/>
      <c r="GRL83" s="51"/>
      <c r="GRM83" s="50"/>
      <c r="GRN83" s="23"/>
      <c r="GRO83" s="50"/>
      <c r="GRP83" s="51"/>
      <c r="GRQ83" s="50"/>
      <c r="GRR83" s="23"/>
      <c r="GRS83" s="50"/>
      <c r="GRT83" s="51"/>
      <c r="GRU83" s="50"/>
      <c r="GRV83" s="23"/>
      <c r="GRW83" s="50"/>
      <c r="GRX83" s="51"/>
      <c r="GRY83" s="50"/>
      <c r="GRZ83" s="23"/>
      <c r="GSA83" s="50"/>
      <c r="GSB83" s="51"/>
      <c r="GSC83" s="50"/>
      <c r="GSD83" s="23"/>
      <c r="GSE83" s="50"/>
      <c r="GSF83" s="51"/>
      <c r="GSG83" s="50"/>
      <c r="GSH83" s="23"/>
      <c r="GSI83" s="50"/>
      <c r="GSJ83" s="51"/>
      <c r="GSK83" s="50"/>
      <c r="GSL83" s="23"/>
      <c r="GSM83" s="50"/>
      <c r="GSN83" s="51"/>
      <c r="GSO83" s="50"/>
      <c r="GSP83" s="23"/>
      <c r="GSQ83" s="50"/>
      <c r="GSR83" s="51"/>
      <c r="GSS83" s="50"/>
      <c r="GST83" s="23"/>
      <c r="GSU83" s="50"/>
      <c r="GSV83" s="51"/>
      <c r="GSW83" s="50"/>
      <c r="GSX83" s="23"/>
      <c r="GSY83" s="50"/>
      <c r="GSZ83" s="51"/>
      <c r="GTA83" s="50"/>
      <c r="GTB83" s="23"/>
      <c r="GTC83" s="50"/>
      <c r="GTD83" s="51"/>
      <c r="GTE83" s="50"/>
      <c r="GTF83" s="23"/>
      <c r="GTG83" s="50"/>
      <c r="GTH83" s="51"/>
      <c r="GTI83" s="50"/>
      <c r="GTJ83" s="23"/>
      <c r="GTK83" s="50"/>
      <c r="GTL83" s="51"/>
      <c r="GTM83" s="50"/>
      <c r="GTN83" s="23"/>
      <c r="GTO83" s="50"/>
      <c r="GTP83" s="51"/>
      <c r="GTQ83" s="50"/>
      <c r="GTR83" s="23"/>
      <c r="GTS83" s="50"/>
      <c r="GTT83" s="51"/>
      <c r="GTU83" s="50"/>
      <c r="GTV83" s="23"/>
      <c r="GTW83" s="50"/>
      <c r="GTX83" s="51"/>
      <c r="GTY83" s="50"/>
      <c r="GTZ83" s="23"/>
      <c r="GUA83" s="50"/>
      <c r="GUB83" s="51"/>
      <c r="GUC83" s="50"/>
      <c r="GUD83" s="23"/>
      <c r="GUE83" s="50"/>
      <c r="GUF83" s="51"/>
      <c r="GUG83" s="50"/>
      <c r="GUH83" s="23"/>
      <c r="GUI83" s="50"/>
      <c r="GUJ83" s="51"/>
      <c r="GUK83" s="50"/>
      <c r="GUL83" s="23"/>
      <c r="GUM83" s="50"/>
      <c r="GUN83" s="51"/>
      <c r="GUO83" s="50"/>
      <c r="GUP83" s="23"/>
      <c r="GUQ83" s="50"/>
      <c r="GUR83" s="51"/>
      <c r="GUS83" s="50"/>
      <c r="GUT83" s="23"/>
      <c r="GUU83" s="50"/>
      <c r="GUV83" s="51"/>
      <c r="GUW83" s="50"/>
      <c r="GUX83" s="23"/>
      <c r="GUY83" s="50"/>
      <c r="GUZ83" s="51"/>
      <c r="GVA83" s="50"/>
      <c r="GVB83" s="23"/>
      <c r="GVC83" s="50"/>
      <c r="GVD83" s="51"/>
      <c r="GVE83" s="50"/>
      <c r="GVF83" s="23"/>
      <c r="GVG83" s="50"/>
      <c r="GVH83" s="51"/>
      <c r="GVI83" s="50"/>
      <c r="GVJ83" s="23"/>
      <c r="GVK83" s="50"/>
      <c r="GVL83" s="51"/>
      <c r="GVM83" s="50"/>
      <c r="GVN83" s="23"/>
      <c r="GVO83" s="50"/>
      <c r="GVP83" s="51"/>
      <c r="GVQ83" s="50"/>
      <c r="GVR83" s="23"/>
      <c r="GVS83" s="50"/>
      <c r="GVT83" s="51"/>
      <c r="GVU83" s="50"/>
      <c r="GVV83" s="23"/>
      <c r="GVW83" s="50"/>
      <c r="GVX83" s="51"/>
      <c r="GVY83" s="50"/>
      <c r="GVZ83" s="23"/>
      <c r="GWA83" s="50"/>
      <c r="GWB83" s="51"/>
      <c r="GWC83" s="50"/>
      <c r="GWD83" s="23"/>
      <c r="GWE83" s="50"/>
      <c r="GWF83" s="51"/>
      <c r="GWG83" s="50"/>
      <c r="GWH83" s="23"/>
      <c r="GWI83" s="50"/>
      <c r="GWJ83" s="51"/>
      <c r="GWK83" s="50"/>
      <c r="GWL83" s="23"/>
      <c r="GWM83" s="50"/>
      <c r="GWN83" s="51"/>
      <c r="GWO83" s="50"/>
      <c r="GWP83" s="23"/>
      <c r="GWQ83" s="50"/>
      <c r="GWR83" s="51"/>
      <c r="GWS83" s="50"/>
      <c r="GWT83" s="23"/>
      <c r="GWU83" s="50"/>
      <c r="GWV83" s="51"/>
      <c r="GWW83" s="50"/>
      <c r="GWX83" s="23"/>
      <c r="GWY83" s="50"/>
      <c r="GWZ83" s="51"/>
      <c r="GXA83" s="50"/>
      <c r="GXB83" s="23"/>
      <c r="GXC83" s="50"/>
      <c r="GXD83" s="51"/>
      <c r="GXE83" s="50"/>
      <c r="GXF83" s="23"/>
      <c r="GXG83" s="50"/>
      <c r="GXH83" s="51"/>
      <c r="GXI83" s="50"/>
      <c r="GXJ83" s="23"/>
      <c r="GXK83" s="50"/>
      <c r="GXL83" s="51"/>
      <c r="GXM83" s="50"/>
      <c r="GXN83" s="23"/>
      <c r="GXO83" s="50"/>
      <c r="GXP83" s="51"/>
      <c r="GXQ83" s="50"/>
      <c r="GXR83" s="23"/>
      <c r="GXS83" s="50"/>
      <c r="GXT83" s="51"/>
      <c r="GXU83" s="50"/>
      <c r="GXV83" s="23"/>
      <c r="GXW83" s="50"/>
      <c r="GXX83" s="51"/>
      <c r="GXY83" s="50"/>
      <c r="GXZ83" s="23"/>
      <c r="GYA83" s="50"/>
      <c r="GYB83" s="51"/>
      <c r="GYC83" s="50"/>
      <c r="GYD83" s="23"/>
      <c r="GYE83" s="50"/>
      <c r="GYF83" s="51"/>
      <c r="GYG83" s="50"/>
      <c r="GYH83" s="23"/>
      <c r="GYI83" s="50"/>
      <c r="GYJ83" s="51"/>
      <c r="GYK83" s="50"/>
      <c r="GYL83" s="23"/>
      <c r="GYM83" s="50"/>
      <c r="GYN83" s="51"/>
      <c r="GYO83" s="50"/>
      <c r="GYP83" s="23"/>
      <c r="GYQ83" s="50"/>
      <c r="GYR83" s="51"/>
      <c r="GYS83" s="50"/>
      <c r="GYT83" s="23"/>
      <c r="GYU83" s="50"/>
      <c r="GYV83" s="51"/>
      <c r="GYW83" s="50"/>
      <c r="GYX83" s="23"/>
      <c r="GYY83" s="50"/>
      <c r="GYZ83" s="51"/>
      <c r="GZA83" s="50"/>
      <c r="GZB83" s="23"/>
      <c r="GZC83" s="50"/>
      <c r="GZD83" s="51"/>
      <c r="GZE83" s="50"/>
      <c r="GZF83" s="23"/>
      <c r="GZG83" s="50"/>
      <c r="GZH83" s="51"/>
      <c r="GZI83" s="50"/>
      <c r="GZJ83" s="23"/>
      <c r="GZK83" s="50"/>
      <c r="GZL83" s="51"/>
      <c r="GZM83" s="50"/>
      <c r="GZN83" s="23"/>
      <c r="GZO83" s="50"/>
      <c r="GZP83" s="51"/>
      <c r="GZQ83" s="50"/>
      <c r="GZR83" s="23"/>
      <c r="GZS83" s="50"/>
      <c r="GZT83" s="51"/>
      <c r="GZU83" s="50"/>
      <c r="GZV83" s="23"/>
      <c r="GZW83" s="50"/>
      <c r="GZX83" s="51"/>
      <c r="GZY83" s="50"/>
      <c r="GZZ83" s="23"/>
      <c r="HAA83" s="50"/>
      <c r="HAB83" s="51"/>
      <c r="HAC83" s="50"/>
      <c r="HAD83" s="23"/>
      <c r="HAE83" s="50"/>
      <c r="HAF83" s="51"/>
      <c r="HAG83" s="50"/>
      <c r="HAH83" s="23"/>
      <c r="HAI83" s="50"/>
      <c r="HAJ83" s="51"/>
      <c r="HAK83" s="50"/>
      <c r="HAL83" s="23"/>
      <c r="HAM83" s="50"/>
      <c r="HAN83" s="51"/>
      <c r="HAO83" s="50"/>
      <c r="HAP83" s="23"/>
      <c r="HAQ83" s="50"/>
      <c r="HAR83" s="51"/>
      <c r="HAS83" s="50"/>
      <c r="HAT83" s="23"/>
      <c r="HAU83" s="50"/>
      <c r="HAV83" s="51"/>
      <c r="HAW83" s="50"/>
      <c r="HAX83" s="23"/>
      <c r="HAY83" s="50"/>
      <c r="HAZ83" s="51"/>
      <c r="HBA83" s="50"/>
      <c r="HBB83" s="23"/>
      <c r="HBC83" s="50"/>
      <c r="HBD83" s="51"/>
      <c r="HBE83" s="50"/>
      <c r="HBF83" s="23"/>
      <c r="HBG83" s="50"/>
      <c r="HBH83" s="51"/>
      <c r="HBI83" s="50"/>
      <c r="HBJ83" s="23"/>
      <c r="HBK83" s="50"/>
      <c r="HBL83" s="51"/>
      <c r="HBM83" s="50"/>
      <c r="HBN83" s="23"/>
      <c r="HBO83" s="50"/>
      <c r="HBP83" s="51"/>
      <c r="HBQ83" s="50"/>
      <c r="HBR83" s="23"/>
      <c r="HBS83" s="50"/>
      <c r="HBT83" s="51"/>
      <c r="HBU83" s="50"/>
      <c r="HBV83" s="23"/>
      <c r="HBW83" s="50"/>
      <c r="HBX83" s="51"/>
      <c r="HBY83" s="50"/>
      <c r="HBZ83" s="23"/>
      <c r="HCA83" s="50"/>
      <c r="HCB83" s="51"/>
      <c r="HCC83" s="50"/>
      <c r="HCD83" s="23"/>
      <c r="HCE83" s="50"/>
      <c r="HCF83" s="51"/>
      <c r="HCG83" s="50"/>
      <c r="HCH83" s="23"/>
      <c r="HCI83" s="50"/>
      <c r="HCJ83" s="51"/>
      <c r="HCK83" s="50"/>
      <c r="HCL83" s="23"/>
      <c r="HCM83" s="50"/>
      <c r="HCN83" s="51"/>
      <c r="HCO83" s="50"/>
      <c r="HCP83" s="23"/>
      <c r="HCQ83" s="50"/>
      <c r="HCR83" s="51"/>
      <c r="HCS83" s="50"/>
      <c r="HCT83" s="23"/>
      <c r="HCU83" s="50"/>
      <c r="HCV83" s="51"/>
      <c r="HCW83" s="50"/>
      <c r="HCX83" s="23"/>
      <c r="HCY83" s="50"/>
      <c r="HCZ83" s="51"/>
      <c r="HDA83" s="50"/>
      <c r="HDB83" s="23"/>
      <c r="HDC83" s="50"/>
      <c r="HDD83" s="51"/>
      <c r="HDE83" s="50"/>
      <c r="HDF83" s="23"/>
      <c r="HDG83" s="50"/>
      <c r="HDH83" s="51"/>
      <c r="HDI83" s="50"/>
      <c r="HDJ83" s="23"/>
      <c r="HDK83" s="50"/>
      <c r="HDL83" s="51"/>
      <c r="HDM83" s="50"/>
      <c r="HDN83" s="23"/>
      <c r="HDO83" s="50"/>
      <c r="HDP83" s="51"/>
      <c r="HDQ83" s="50"/>
      <c r="HDR83" s="23"/>
      <c r="HDS83" s="50"/>
      <c r="HDT83" s="51"/>
      <c r="HDU83" s="50"/>
      <c r="HDV83" s="23"/>
      <c r="HDW83" s="50"/>
      <c r="HDX83" s="51"/>
      <c r="HDY83" s="50"/>
      <c r="HDZ83" s="23"/>
      <c r="HEA83" s="50"/>
      <c r="HEB83" s="51"/>
      <c r="HEC83" s="50"/>
      <c r="HED83" s="23"/>
      <c r="HEE83" s="50"/>
      <c r="HEF83" s="51"/>
      <c r="HEG83" s="50"/>
      <c r="HEH83" s="23"/>
      <c r="HEI83" s="50"/>
      <c r="HEJ83" s="51"/>
      <c r="HEK83" s="50"/>
      <c r="HEL83" s="23"/>
      <c r="HEM83" s="50"/>
      <c r="HEN83" s="51"/>
      <c r="HEO83" s="50"/>
      <c r="HEP83" s="23"/>
      <c r="HEQ83" s="50"/>
      <c r="HER83" s="51"/>
      <c r="HES83" s="50"/>
      <c r="HET83" s="23"/>
      <c r="HEU83" s="50"/>
      <c r="HEV83" s="51"/>
      <c r="HEW83" s="50"/>
      <c r="HEX83" s="23"/>
      <c r="HEY83" s="50"/>
      <c r="HEZ83" s="51"/>
      <c r="HFA83" s="50"/>
      <c r="HFB83" s="23"/>
      <c r="HFC83" s="50"/>
      <c r="HFD83" s="51"/>
      <c r="HFE83" s="50"/>
      <c r="HFF83" s="23"/>
      <c r="HFG83" s="50"/>
      <c r="HFH83" s="51"/>
      <c r="HFI83" s="50"/>
      <c r="HFJ83" s="23"/>
      <c r="HFK83" s="50"/>
      <c r="HFL83" s="51"/>
      <c r="HFM83" s="50"/>
      <c r="HFN83" s="23"/>
      <c r="HFO83" s="50"/>
      <c r="HFP83" s="51"/>
      <c r="HFQ83" s="50"/>
      <c r="HFR83" s="23"/>
      <c r="HFS83" s="50"/>
      <c r="HFT83" s="51"/>
      <c r="HFU83" s="50"/>
      <c r="HFV83" s="23"/>
      <c r="HFW83" s="50"/>
      <c r="HFX83" s="51"/>
      <c r="HFY83" s="50"/>
      <c r="HFZ83" s="23"/>
      <c r="HGA83" s="50"/>
      <c r="HGB83" s="51"/>
      <c r="HGC83" s="50"/>
      <c r="HGD83" s="23"/>
      <c r="HGE83" s="50"/>
      <c r="HGF83" s="51"/>
      <c r="HGG83" s="50"/>
      <c r="HGH83" s="23"/>
      <c r="HGI83" s="50"/>
      <c r="HGJ83" s="51"/>
      <c r="HGK83" s="50"/>
      <c r="HGL83" s="23"/>
      <c r="HGM83" s="50"/>
      <c r="HGN83" s="51"/>
      <c r="HGO83" s="50"/>
      <c r="HGP83" s="23"/>
      <c r="HGQ83" s="50"/>
      <c r="HGR83" s="51"/>
      <c r="HGS83" s="50"/>
      <c r="HGT83" s="23"/>
      <c r="HGU83" s="50"/>
      <c r="HGV83" s="51"/>
      <c r="HGW83" s="50"/>
      <c r="HGX83" s="23"/>
      <c r="HGY83" s="50"/>
      <c r="HGZ83" s="51"/>
      <c r="HHA83" s="50"/>
      <c r="HHB83" s="23"/>
      <c r="HHC83" s="50"/>
      <c r="HHD83" s="51"/>
      <c r="HHE83" s="50"/>
      <c r="HHF83" s="23"/>
      <c r="HHG83" s="50"/>
      <c r="HHH83" s="51"/>
      <c r="HHI83" s="50"/>
      <c r="HHJ83" s="23"/>
      <c r="HHK83" s="50"/>
      <c r="HHL83" s="51"/>
      <c r="HHM83" s="50"/>
      <c r="HHN83" s="23"/>
      <c r="HHO83" s="50"/>
      <c r="HHP83" s="51"/>
      <c r="HHQ83" s="50"/>
      <c r="HHR83" s="23"/>
      <c r="HHS83" s="50"/>
      <c r="HHT83" s="51"/>
      <c r="HHU83" s="50"/>
      <c r="HHV83" s="23"/>
      <c r="HHW83" s="50"/>
      <c r="HHX83" s="51"/>
      <c r="HHY83" s="50"/>
      <c r="HHZ83" s="23"/>
      <c r="HIA83" s="50"/>
      <c r="HIB83" s="51"/>
      <c r="HIC83" s="50"/>
      <c r="HID83" s="23"/>
      <c r="HIE83" s="50"/>
      <c r="HIF83" s="51"/>
      <c r="HIG83" s="50"/>
      <c r="HIH83" s="23"/>
      <c r="HII83" s="50"/>
      <c r="HIJ83" s="51"/>
      <c r="HIK83" s="50"/>
      <c r="HIL83" s="23"/>
      <c r="HIM83" s="50"/>
      <c r="HIN83" s="51"/>
      <c r="HIO83" s="50"/>
      <c r="HIP83" s="23"/>
      <c r="HIQ83" s="50"/>
      <c r="HIR83" s="51"/>
      <c r="HIS83" s="50"/>
      <c r="HIT83" s="23"/>
      <c r="HIU83" s="50"/>
      <c r="HIV83" s="51"/>
      <c r="HIW83" s="50"/>
      <c r="HIX83" s="23"/>
      <c r="HIY83" s="50"/>
      <c r="HIZ83" s="51"/>
      <c r="HJA83" s="50"/>
      <c r="HJB83" s="23"/>
      <c r="HJC83" s="50"/>
      <c r="HJD83" s="51"/>
      <c r="HJE83" s="50"/>
      <c r="HJF83" s="23"/>
      <c r="HJG83" s="50"/>
      <c r="HJH83" s="51"/>
      <c r="HJI83" s="50"/>
      <c r="HJJ83" s="23"/>
      <c r="HJK83" s="50"/>
      <c r="HJL83" s="51"/>
      <c r="HJM83" s="50"/>
      <c r="HJN83" s="23"/>
      <c r="HJO83" s="50"/>
      <c r="HJP83" s="51"/>
      <c r="HJQ83" s="50"/>
      <c r="HJR83" s="23"/>
      <c r="HJS83" s="50"/>
      <c r="HJT83" s="51"/>
      <c r="HJU83" s="50"/>
      <c r="HJV83" s="23"/>
      <c r="HJW83" s="50"/>
      <c r="HJX83" s="51"/>
      <c r="HJY83" s="50"/>
      <c r="HJZ83" s="23"/>
      <c r="HKA83" s="50"/>
      <c r="HKB83" s="51"/>
      <c r="HKC83" s="50"/>
      <c r="HKD83" s="23"/>
      <c r="HKE83" s="50"/>
      <c r="HKF83" s="51"/>
      <c r="HKG83" s="50"/>
      <c r="HKH83" s="23"/>
      <c r="HKI83" s="50"/>
      <c r="HKJ83" s="51"/>
      <c r="HKK83" s="50"/>
      <c r="HKL83" s="23"/>
      <c r="HKM83" s="50"/>
      <c r="HKN83" s="51"/>
      <c r="HKO83" s="50"/>
      <c r="HKP83" s="23"/>
      <c r="HKQ83" s="50"/>
      <c r="HKR83" s="51"/>
      <c r="HKS83" s="50"/>
      <c r="HKT83" s="23"/>
      <c r="HKU83" s="50"/>
      <c r="HKV83" s="51"/>
      <c r="HKW83" s="50"/>
      <c r="HKX83" s="23"/>
      <c r="HKY83" s="50"/>
      <c r="HKZ83" s="51"/>
      <c r="HLA83" s="50"/>
      <c r="HLB83" s="23"/>
      <c r="HLC83" s="50"/>
      <c r="HLD83" s="51"/>
      <c r="HLE83" s="50"/>
      <c r="HLF83" s="23"/>
      <c r="HLG83" s="50"/>
      <c r="HLH83" s="51"/>
      <c r="HLI83" s="50"/>
      <c r="HLJ83" s="23"/>
      <c r="HLK83" s="50"/>
      <c r="HLL83" s="51"/>
      <c r="HLM83" s="50"/>
      <c r="HLN83" s="23"/>
      <c r="HLO83" s="50"/>
      <c r="HLP83" s="51"/>
      <c r="HLQ83" s="50"/>
      <c r="HLR83" s="23"/>
      <c r="HLS83" s="50"/>
      <c r="HLT83" s="51"/>
      <c r="HLU83" s="50"/>
      <c r="HLV83" s="23"/>
      <c r="HLW83" s="50"/>
      <c r="HLX83" s="51"/>
      <c r="HLY83" s="50"/>
      <c r="HLZ83" s="23"/>
      <c r="HMA83" s="50"/>
      <c r="HMB83" s="51"/>
      <c r="HMC83" s="50"/>
      <c r="HMD83" s="23"/>
      <c r="HME83" s="50"/>
      <c r="HMF83" s="51"/>
      <c r="HMG83" s="50"/>
      <c r="HMH83" s="23"/>
      <c r="HMI83" s="50"/>
      <c r="HMJ83" s="51"/>
      <c r="HMK83" s="50"/>
      <c r="HML83" s="23"/>
      <c r="HMM83" s="50"/>
      <c r="HMN83" s="51"/>
      <c r="HMO83" s="50"/>
      <c r="HMP83" s="23"/>
      <c r="HMQ83" s="50"/>
      <c r="HMR83" s="51"/>
      <c r="HMS83" s="50"/>
      <c r="HMT83" s="23"/>
      <c r="HMU83" s="50"/>
      <c r="HMV83" s="51"/>
      <c r="HMW83" s="50"/>
      <c r="HMX83" s="23"/>
      <c r="HMY83" s="50"/>
      <c r="HMZ83" s="51"/>
      <c r="HNA83" s="50"/>
      <c r="HNB83" s="23"/>
      <c r="HNC83" s="50"/>
      <c r="HND83" s="51"/>
      <c r="HNE83" s="50"/>
      <c r="HNF83" s="23"/>
      <c r="HNG83" s="50"/>
      <c r="HNH83" s="51"/>
      <c r="HNI83" s="50"/>
      <c r="HNJ83" s="23"/>
      <c r="HNK83" s="50"/>
      <c r="HNL83" s="51"/>
      <c r="HNM83" s="50"/>
      <c r="HNN83" s="23"/>
      <c r="HNO83" s="50"/>
      <c r="HNP83" s="51"/>
      <c r="HNQ83" s="50"/>
      <c r="HNR83" s="23"/>
      <c r="HNS83" s="50"/>
      <c r="HNT83" s="51"/>
      <c r="HNU83" s="50"/>
      <c r="HNV83" s="23"/>
      <c r="HNW83" s="50"/>
      <c r="HNX83" s="51"/>
      <c r="HNY83" s="50"/>
      <c r="HNZ83" s="23"/>
      <c r="HOA83" s="50"/>
      <c r="HOB83" s="51"/>
      <c r="HOC83" s="50"/>
      <c r="HOD83" s="23"/>
      <c r="HOE83" s="50"/>
      <c r="HOF83" s="51"/>
      <c r="HOG83" s="50"/>
      <c r="HOH83" s="23"/>
      <c r="HOI83" s="50"/>
      <c r="HOJ83" s="51"/>
      <c r="HOK83" s="50"/>
      <c r="HOL83" s="23"/>
      <c r="HOM83" s="50"/>
      <c r="HON83" s="51"/>
      <c r="HOO83" s="50"/>
      <c r="HOP83" s="23"/>
      <c r="HOQ83" s="50"/>
      <c r="HOR83" s="51"/>
      <c r="HOS83" s="50"/>
      <c r="HOT83" s="23"/>
      <c r="HOU83" s="50"/>
      <c r="HOV83" s="51"/>
      <c r="HOW83" s="50"/>
      <c r="HOX83" s="23"/>
      <c r="HOY83" s="50"/>
      <c r="HOZ83" s="51"/>
      <c r="HPA83" s="50"/>
      <c r="HPB83" s="23"/>
      <c r="HPC83" s="50"/>
      <c r="HPD83" s="51"/>
      <c r="HPE83" s="50"/>
      <c r="HPF83" s="23"/>
      <c r="HPG83" s="50"/>
      <c r="HPH83" s="51"/>
      <c r="HPI83" s="50"/>
      <c r="HPJ83" s="23"/>
      <c r="HPK83" s="50"/>
      <c r="HPL83" s="51"/>
      <c r="HPM83" s="50"/>
      <c r="HPN83" s="23"/>
      <c r="HPO83" s="50"/>
      <c r="HPP83" s="51"/>
      <c r="HPQ83" s="50"/>
      <c r="HPR83" s="23"/>
      <c r="HPS83" s="50"/>
      <c r="HPT83" s="51"/>
      <c r="HPU83" s="50"/>
      <c r="HPV83" s="23"/>
      <c r="HPW83" s="50"/>
      <c r="HPX83" s="51"/>
      <c r="HPY83" s="50"/>
      <c r="HPZ83" s="23"/>
      <c r="HQA83" s="50"/>
      <c r="HQB83" s="51"/>
      <c r="HQC83" s="50"/>
      <c r="HQD83" s="23"/>
      <c r="HQE83" s="50"/>
      <c r="HQF83" s="51"/>
      <c r="HQG83" s="50"/>
      <c r="HQH83" s="23"/>
      <c r="HQI83" s="50"/>
      <c r="HQJ83" s="51"/>
      <c r="HQK83" s="50"/>
      <c r="HQL83" s="23"/>
      <c r="HQM83" s="50"/>
      <c r="HQN83" s="51"/>
      <c r="HQO83" s="50"/>
      <c r="HQP83" s="23"/>
      <c r="HQQ83" s="50"/>
      <c r="HQR83" s="51"/>
      <c r="HQS83" s="50"/>
      <c r="HQT83" s="23"/>
      <c r="HQU83" s="50"/>
      <c r="HQV83" s="51"/>
      <c r="HQW83" s="50"/>
      <c r="HQX83" s="23"/>
      <c r="HQY83" s="50"/>
      <c r="HQZ83" s="51"/>
      <c r="HRA83" s="50"/>
      <c r="HRB83" s="23"/>
      <c r="HRC83" s="50"/>
      <c r="HRD83" s="51"/>
      <c r="HRE83" s="50"/>
      <c r="HRF83" s="23"/>
      <c r="HRG83" s="50"/>
      <c r="HRH83" s="51"/>
      <c r="HRI83" s="50"/>
      <c r="HRJ83" s="23"/>
      <c r="HRK83" s="50"/>
      <c r="HRL83" s="51"/>
      <c r="HRM83" s="50"/>
      <c r="HRN83" s="23"/>
      <c r="HRO83" s="50"/>
      <c r="HRP83" s="51"/>
      <c r="HRQ83" s="50"/>
      <c r="HRR83" s="23"/>
      <c r="HRS83" s="50"/>
      <c r="HRT83" s="51"/>
      <c r="HRU83" s="50"/>
      <c r="HRV83" s="23"/>
      <c r="HRW83" s="50"/>
      <c r="HRX83" s="51"/>
      <c r="HRY83" s="50"/>
      <c r="HRZ83" s="23"/>
      <c r="HSA83" s="50"/>
      <c r="HSB83" s="51"/>
      <c r="HSC83" s="50"/>
      <c r="HSD83" s="23"/>
      <c r="HSE83" s="50"/>
      <c r="HSF83" s="51"/>
      <c r="HSG83" s="50"/>
      <c r="HSH83" s="23"/>
      <c r="HSI83" s="50"/>
      <c r="HSJ83" s="51"/>
      <c r="HSK83" s="50"/>
      <c r="HSL83" s="23"/>
      <c r="HSM83" s="50"/>
      <c r="HSN83" s="51"/>
      <c r="HSO83" s="50"/>
      <c r="HSP83" s="23"/>
      <c r="HSQ83" s="50"/>
      <c r="HSR83" s="51"/>
      <c r="HSS83" s="50"/>
      <c r="HST83" s="23"/>
      <c r="HSU83" s="50"/>
      <c r="HSV83" s="51"/>
      <c r="HSW83" s="50"/>
      <c r="HSX83" s="23"/>
      <c r="HSY83" s="50"/>
      <c r="HSZ83" s="51"/>
      <c r="HTA83" s="50"/>
      <c r="HTB83" s="23"/>
      <c r="HTC83" s="50"/>
      <c r="HTD83" s="51"/>
      <c r="HTE83" s="50"/>
      <c r="HTF83" s="23"/>
      <c r="HTG83" s="50"/>
      <c r="HTH83" s="51"/>
      <c r="HTI83" s="50"/>
      <c r="HTJ83" s="23"/>
      <c r="HTK83" s="50"/>
      <c r="HTL83" s="51"/>
      <c r="HTM83" s="50"/>
      <c r="HTN83" s="23"/>
      <c r="HTO83" s="50"/>
      <c r="HTP83" s="51"/>
      <c r="HTQ83" s="50"/>
      <c r="HTR83" s="23"/>
      <c r="HTS83" s="50"/>
      <c r="HTT83" s="51"/>
      <c r="HTU83" s="50"/>
      <c r="HTV83" s="23"/>
      <c r="HTW83" s="50"/>
      <c r="HTX83" s="51"/>
      <c r="HTY83" s="50"/>
      <c r="HTZ83" s="23"/>
      <c r="HUA83" s="50"/>
      <c r="HUB83" s="51"/>
      <c r="HUC83" s="50"/>
      <c r="HUD83" s="23"/>
      <c r="HUE83" s="50"/>
      <c r="HUF83" s="51"/>
      <c r="HUG83" s="50"/>
      <c r="HUH83" s="23"/>
      <c r="HUI83" s="50"/>
      <c r="HUJ83" s="51"/>
      <c r="HUK83" s="50"/>
      <c r="HUL83" s="23"/>
      <c r="HUM83" s="50"/>
      <c r="HUN83" s="51"/>
      <c r="HUO83" s="50"/>
      <c r="HUP83" s="23"/>
      <c r="HUQ83" s="50"/>
      <c r="HUR83" s="51"/>
      <c r="HUS83" s="50"/>
      <c r="HUT83" s="23"/>
      <c r="HUU83" s="50"/>
      <c r="HUV83" s="51"/>
      <c r="HUW83" s="50"/>
      <c r="HUX83" s="23"/>
      <c r="HUY83" s="50"/>
      <c r="HUZ83" s="51"/>
      <c r="HVA83" s="50"/>
      <c r="HVB83" s="23"/>
      <c r="HVC83" s="50"/>
      <c r="HVD83" s="51"/>
      <c r="HVE83" s="50"/>
      <c r="HVF83" s="23"/>
      <c r="HVG83" s="50"/>
      <c r="HVH83" s="51"/>
      <c r="HVI83" s="50"/>
      <c r="HVJ83" s="23"/>
      <c r="HVK83" s="50"/>
      <c r="HVL83" s="51"/>
      <c r="HVM83" s="50"/>
      <c r="HVN83" s="23"/>
      <c r="HVO83" s="50"/>
      <c r="HVP83" s="51"/>
      <c r="HVQ83" s="50"/>
      <c r="HVR83" s="23"/>
      <c r="HVS83" s="50"/>
      <c r="HVT83" s="51"/>
      <c r="HVU83" s="50"/>
      <c r="HVV83" s="23"/>
      <c r="HVW83" s="50"/>
      <c r="HVX83" s="51"/>
      <c r="HVY83" s="50"/>
      <c r="HVZ83" s="23"/>
      <c r="HWA83" s="50"/>
      <c r="HWB83" s="51"/>
      <c r="HWC83" s="50"/>
      <c r="HWD83" s="23"/>
      <c r="HWE83" s="50"/>
      <c r="HWF83" s="51"/>
      <c r="HWG83" s="50"/>
      <c r="HWH83" s="23"/>
      <c r="HWI83" s="50"/>
      <c r="HWJ83" s="51"/>
      <c r="HWK83" s="50"/>
      <c r="HWL83" s="23"/>
      <c r="HWM83" s="50"/>
      <c r="HWN83" s="51"/>
      <c r="HWO83" s="50"/>
      <c r="HWP83" s="23"/>
      <c r="HWQ83" s="50"/>
      <c r="HWR83" s="51"/>
      <c r="HWS83" s="50"/>
      <c r="HWT83" s="23"/>
      <c r="HWU83" s="50"/>
      <c r="HWV83" s="51"/>
      <c r="HWW83" s="50"/>
      <c r="HWX83" s="23"/>
      <c r="HWY83" s="50"/>
      <c r="HWZ83" s="51"/>
      <c r="HXA83" s="50"/>
      <c r="HXB83" s="23"/>
      <c r="HXC83" s="50"/>
      <c r="HXD83" s="51"/>
      <c r="HXE83" s="50"/>
      <c r="HXF83" s="23"/>
      <c r="HXG83" s="50"/>
      <c r="HXH83" s="51"/>
      <c r="HXI83" s="50"/>
      <c r="HXJ83" s="23"/>
      <c r="HXK83" s="50"/>
      <c r="HXL83" s="51"/>
      <c r="HXM83" s="50"/>
      <c r="HXN83" s="23"/>
      <c r="HXO83" s="50"/>
      <c r="HXP83" s="51"/>
      <c r="HXQ83" s="50"/>
      <c r="HXR83" s="23"/>
      <c r="HXS83" s="50"/>
      <c r="HXT83" s="51"/>
      <c r="HXU83" s="50"/>
      <c r="HXV83" s="23"/>
      <c r="HXW83" s="50"/>
      <c r="HXX83" s="51"/>
      <c r="HXY83" s="50"/>
      <c r="HXZ83" s="23"/>
      <c r="HYA83" s="50"/>
      <c r="HYB83" s="51"/>
      <c r="HYC83" s="50"/>
      <c r="HYD83" s="23"/>
      <c r="HYE83" s="50"/>
      <c r="HYF83" s="51"/>
      <c r="HYG83" s="50"/>
      <c r="HYH83" s="23"/>
      <c r="HYI83" s="50"/>
      <c r="HYJ83" s="51"/>
      <c r="HYK83" s="50"/>
      <c r="HYL83" s="23"/>
      <c r="HYM83" s="50"/>
      <c r="HYN83" s="51"/>
      <c r="HYO83" s="50"/>
      <c r="HYP83" s="23"/>
      <c r="HYQ83" s="50"/>
      <c r="HYR83" s="51"/>
      <c r="HYS83" s="50"/>
      <c r="HYT83" s="23"/>
      <c r="HYU83" s="50"/>
      <c r="HYV83" s="51"/>
      <c r="HYW83" s="50"/>
      <c r="HYX83" s="23"/>
      <c r="HYY83" s="50"/>
      <c r="HYZ83" s="51"/>
      <c r="HZA83" s="50"/>
      <c r="HZB83" s="23"/>
      <c r="HZC83" s="50"/>
      <c r="HZD83" s="51"/>
      <c r="HZE83" s="50"/>
      <c r="HZF83" s="23"/>
      <c r="HZG83" s="50"/>
      <c r="HZH83" s="51"/>
      <c r="HZI83" s="50"/>
      <c r="HZJ83" s="23"/>
      <c r="HZK83" s="50"/>
      <c r="HZL83" s="51"/>
      <c r="HZM83" s="50"/>
      <c r="HZN83" s="23"/>
      <c r="HZO83" s="50"/>
      <c r="HZP83" s="51"/>
      <c r="HZQ83" s="50"/>
      <c r="HZR83" s="23"/>
      <c r="HZS83" s="50"/>
      <c r="HZT83" s="51"/>
      <c r="HZU83" s="50"/>
      <c r="HZV83" s="23"/>
      <c r="HZW83" s="50"/>
      <c r="HZX83" s="51"/>
      <c r="HZY83" s="50"/>
      <c r="HZZ83" s="23"/>
      <c r="IAA83" s="50"/>
      <c r="IAB83" s="51"/>
      <c r="IAC83" s="50"/>
      <c r="IAD83" s="23"/>
      <c r="IAE83" s="50"/>
      <c r="IAF83" s="51"/>
      <c r="IAG83" s="50"/>
      <c r="IAH83" s="23"/>
      <c r="IAI83" s="50"/>
      <c r="IAJ83" s="51"/>
      <c r="IAK83" s="50"/>
      <c r="IAL83" s="23"/>
      <c r="IAM83" s="50"/>
      <c r="IAN83" s="51"/>
      <c r="IAO83" s="50"/>
      <c r="IAP83" s="23"/>
      <c r="IAQ83" s="50"/>
      <c r="IAR83" s="51"/>
      <c r="IAS83" s="50"/>
      <c r="IAT83" s="23"/>
      <c r="IAU83" s="50"/>
      <c r="IAV83" s="51"/>
      <c r="IAW83" s="50"/>
      <c r="IAX83" s="23"/>
      <c r="IAY83" s="50"/>
      <c r="IAZ83" s="51"/>
      <c r="IBA83" s="50"/>
      <c r="IBB83" s="23"/>
      <c r="IBC83" s="50"/>
      <c r="IBD83" s="51"/>
      <c r="IBE83" s="50"/>
      <c r="IBF83" s="23"/>
      <c r="IBG83" s="50"/>
      <c r="IBH83" s="51"/>
      <c r="IBI83" s="50"/>
      <c r="IBJ83" s="23"/>
      <c r="IBK83" s="50"/>
      <c r="IBL83" s="51"/>
      <c r="IBM83" s="50"/>
      <c r="IBN83" s="23"/>
      <c r="IBO83" s="50"/>
      <c r="IBP83" s="51"/>
      <c r="IBQ83" s="50"/>
      <c r="IBR83" s="23"/>
      <c r="IBS83" s="50"/>
      <c r="IBT83" s="51"/>
      <c r="IBU83" s="50"/>
      <c r="IBV83" s="23"/>
      <c r="IBW83" s="50"/>
      <c r="IBX83" s="51"/>
      <c r="IBY83" s="50"/>
      <c r="IBZ83" s="23"/>
      <c r="ICA83" s="50"/>
      <c r="ICB83" s="51"/>
      <c r="ICC83" s="50"/>
      <c r="ICD83" s="23"/>
      <c r="ICE83" s="50"/>
      <c r="ICF83" s="51"/>
      <c r="ICG83" s="50"/>
      <c r="ICH83" s="23"/>
      <c r="ICI83" s="50"/>
      <c r="ICJ83" s="51"/>
      <c r="ICK83" s="50"/>
      <c r="ICL83" s="23"/>
      <c r="ICM83" s="50"/>
      <c r="ICN83" s="51"/>
      <c r="ICO83" s="50"/>
      <c r="ICP83" s="23"/>
      <c r="ICQ83" s="50"/>
      <c r="ICR83" s="51"/>
      <c r="ICS83" s="50"/>
      <c r="ICT83" s="23"/>
      <c r="ICU83" s="50"/>
      <c r="ICV83" s="51"/>
      <c r="ICW83" s="50"/>
      <c r="ICX83" s="23"/>
      <c r="ICY83" s="50"/>
      <c r="ICZ83" s="51"/>
      <c r="IDA83" s="50"/>
      <c r="IDB83" s="23"/>
      <c r="IDC83" s="50"/>
      <c r="IDD83" s="51"/>
      <c r="IDE83" s="50"/>
      <c r="IDF83" s="23"/>
      <c r="IDG83" s="50"/>
      <c r="IDH83" s="51"/>
      <c r="IDI83" s="50"/>
      <c r="IDJ83" s="23"/>
      <c r="IDK83" s="50"/>
      <c r="IDL83" s="51"/>
      <c r="IDM83" s="50"/>
      <c r="IDN83" s="23"/>
      <c r="IDO83" s="50"/>
      <c r="IDP83" s="51"/>
      <c r="IDQ83" s="50"/>
      <c r="IDR83" s="23"/>
      <c r="IDS83" s="50"/>
      <c r="IDT83" s="51"/>
      <c r="IDU83" s="50"/>
      <c r="IDV83" s="23"/>
      <c r="IDW83" s="50"/>
      <c r="IDX83" s="51"/>
      <c r="IDY83" s="50"/>
      <c r="IDZ83" s="23"/>
      <c r="IEA83" s="50"/>
      <c r="IEB83" s="51"/>
      <c r="IEC83" s="50"/>
      <c r="IED83" s="23"/>
      <c r="IEE83" s="50"/>
      <c r="IEF83" s="51"/>
      <c r="IEG83" s="50"/>
      <c r="IEH83" s="23"/>
      <c r="IEI83" s="50"/>
      <c r="IEJ83" s="51"/>
      <c r="IEK83" s="50"/>
      <c r="IEL83" s="23"/>
      <c r="IEM83" s="50"/>
      <c r="IEN83" s="51"/>
      <c r="IEO83" s="50"/>
      <c r="IEP83" s="23"/>
      <c r="IEQ83" s="50"/>
      <c r="IER83" s="51"/>
      <c r="IES83" s="50"/>
      <c r="IET83" s="23"/>
      <c r="IEU83" s="50"/>
      <c r="IEV83" s="51"/>
      <c r="IEW83" s="50"/>
      <c r="IEX83" s="23"/>
      <c r="IEY83" s="50"/>
      <c r="IEZ83" s="51"/>
      <c r="IFA83" s="50"/>
      <c r="IFB83" s="23"/>
      <c r="IFC83" s="50"/>
      <c r="IFD83" s="51"/>
      <c r="IFE83" s="50"/>
      <c r="IFF83" s="23"/>
      <c r="IFG83" s="50"/>
      <c r="IFH83" s="51"/>
      <c r="IFI83" s="50"/>
      <c r="IFJ83" s="23"/>
      <c r="IFK83" s="50"/>
      <c r="IFL83" s="51"/>
      <c r="IFM83" s="50"/>
      <c r="IFN83" s="23"/>
      <c r="IFO83" s="50"/>
      <c r="IFP83" s="51"/>
      <c r="IFQ83" s="50"/>
      <c r="IFR83" s="23"/>
      <c r="IFS83" s="50"/>
      <c r="IFT83" s="51"/>
      <c r="IFU83" s="50"/>
      <c r="IFV83" s="23"/>
      <c r="IFW83" s="50"/>
      <c r="IFX83" s="51"/>
      <c r="IFY83" s="50"/>
      <c r="IFZ83" s="23"/>
      <c r="IGA83" s="50"/>
      <c r="IGB83" s="51"/>
      <c r="IGC83" s="50"/>
      <c r="IGD83" s="23"/>
      <c r="IGE83" s="50"/>
      <c r="IGF83" s="51"/>
      <c r="IGG83" s="50"/>
      <c r="IGH83" s="23"/>
      <c r="IGI83" s="50"/>
      <c r="IGJ83" s="51"/>
      <c r="IGK83" s="50"/>
      <c r="IGL83" s="23"/>
      <c r="IGM83" s="50"/>
      <c r="IGN83" s="51"/>
      <c r="IGO83" s="50"/>
      <c r="IGP83" s="23"/>
      <c r="IGQ83" s="50"/>
      <c r="IGR83" s="51"/>
      <c r="IGS83" s="50"/>
      <c r="IGT83" s="23"/>
      <c r="IGU83" s="50"/>
      <c r="IGV83" s="51"/>
      <c r="IGW83" s="50"/>
      <c r="IGX83" s="23"/>
      <c r="IGY83" s="50"/>
      <c r="IGZ83" s="51"/>
      <c r="IHA83" s="50"/>
      <c r="IHB83" s="23"/>
      <c r="IHC83" s="50"/>
      <c r="IHD83" s="51"/>
      <c r="IHE83" s="50"/>
      <c r="IHF83" s="23"/>
      <c r="IHG83" s="50"/>
      <c r="IHH83" s="51"/>
      <c r="IHI83" s="50"/>
      <c r="IHJ83" s="23"/>
      <c r="IHK83" s="50"/>
      <c r="IHL83" s="51"/>
      <c r="IHM83" s="50"/>
      <c r="IHN83" s="23"/>
      <c r="IHO83" s="50"/>
      <c r="IHP83" s="51"/>
      <c r="IHQ83" s="50"/>
      <c r="IHR83" s="23"/>
      <c r="IHS83" s="50"/>
      <c r="IHT83" s="51"/>
      <c r="IHU83" s="50"/>
      <c r="IHV83" s="23"/>
      <c r="IHW83" s="50"/>
      <c r="IHX83" s="51"/>
      <c r="IHY83" s="50"/>
      <c r="IHZ83" s="23"/>
      <c r="IIA83" s="50"/>
      <c r="IIB83" s="51"/>
      <c r="IIC83" s="50"/>
      <c r="IID83" s="23"/>
      <c r="IIE83" s="50"/>
      <c r="IIF83" s="51"/>
      <c r="IIG83" s="50"/>
      <c r="IIH83" s="23"/>
      <c r="III83" s="50"/>
      <c r="IIJ83" s="51"/>
      <c r="IIK83" s="50"/>
      <c r="IIL83" s="23"/>
      <c r="IIM83" s="50"/>
      <c r="IIN83" s="51"/>
      <c r="IIO83" s="50"/>
      <c r="IIP83" s="23"/>
      <c r="IIQ83" s="50"/>
      <c r="IIR83" s="51"/>
      <c r="IIS83" s="50"/>
      <c r="IIT83" s="23"/>
      <c r="IIU83" s="50"/>
      <c r="IIV83" s="51"/>
      <c r="IIW83" s="50"/>
      <c r="IIX83" s="23"/>
      <c r="IIY83" s="50"/>
      <c r="IIZ83" s="51"/>
      <c r="IJA83" s="50"/>
      <c r="IJB83" s="23"/>
      <c r="IJC83" s="50"/>
      <c r="IJD83" s="51"/>
      <c r="IJE83" s="50"/>
      <c r="IJF83" s="23"/>
      <c r="IJG83" s="50"/>
      <c r="IJH83" s="51"/>
      <c r="IJI83" s="50"/>
      <c r="IJJ83" s="23"/>
      <c r="IJK83" s="50"/>
      <c r="IJL83" s="51"/>
      <c r="IJM83" s="50"/>
      <c r="IJN83" s="23"/>
      <c r="IJO83" s="50"/>
      <c r="IJP83" s="51"/>
      <c r="IJQ83" s="50"/>
      <c r="IJR83" s="23"/>
      <c r="IJS83" s="50"/>
      <c r="IJT83" s="51"/>
      <c r="IJU83" s="50"/>
      <c r="IJV83" s="23"/>
      <c r="IJW83" s="50"/>
      <c r="IJX83" s="51"/>
      <c r="IJY83" s="50"/>
      <c r="IJZ83" s="23"/>
      <c r="IKA83" s="50"/>
      <c r="IKB83" s="51"/>
      <c r="IKC83" s="50"/>
      <c r="IKD83" s="23"/>
      <c r="IKE83" s="50"/>
      <c r="IKF83" s="51"/>
      <c r="IKG83" s="50"/>
      <c r="IKH83" s="23"/>
      <c r="IKI83" s="50"/>
      <c r="IKJ83" s="51"/>
      <c r="IKK83" s="50"/>
      <c r="IKL83" s="23"/>
      <c r="IKM83" s="50"/>
      <c r="IKN83" s="51"/>
      <c r="IKO83" s="50"/>
      <c r="IKP83" s="23"/>
      <c r="IKQ83" s="50"/>
      <c r="IKR83" s="51"/>
      <c r="IKS83" s="50"/>
      <c r="IKT83" s="23"/>
      <c r="IKU83" s="50"/>
      <c r="IKV83" s="51"/>
      <c r="IKW83" s="50"/>
      <c r="IKX83" s="23"/>
      <c r="IKY83" s="50"/>
      <c r="IKZ83" s="51"/>
      <c r="ILA83" s="50"/>
      <c r="ILB83" s="23"/>
      <c r="ILC83" s="50"/>
      <c r="ILD83" s="51"/>
      <c r="ILE83" s="50"/>
      <c r="ILF83" s="23"/>
      <c r="ILG83" s="50"/>
      <c r="ILH83" s="51"/>
      <c r="ILI83" s="50"/>
      <c r="ILJ83" s="23"/>
      <c r="ILK83" s="50"/>
      <c r="ILL83" s="51"/>
      <c r="ILM83" s="50"/>
      <c r="ILN83" s="23"/>
      <c r="ILO83" s="50"/>
      <c r="ILP83" s="51"/>
      <c r="ILQ83" s="50"/>
      <c r="ILR83" s="23"/>
      <c r="ILS83" s="50"/>
      <c r="ILT83" s="51"/>
      <c r="ILU83" s="50"/>
      <c r="ILV83" s="23"/>
      <c r="ILW83" s="50"/>
      <c r="ILX83" s="51"/>
      <c r="ILY83" s="50"/>
      <c r="ILZ83" s="23"/>
      <c r="IMA83" s="50"/>
      <c r="IMB83" s="51"/>
      <c r="IMC83" s="50"/>
      <c r="IMD83" s="23"/>
      <c r="IME83" s="50"/>
      <c r="IMF83" s="51"/>
      <c r="IMG83" s="50"/>
      <c r="IMH83" s="23"/>
      <c r="IMI83" s="50"/>
      <c r="IMJ83" s="51"/>
      <c r="IMK83" s="50"/>
      <c r="IML83" s="23"/>
      <c r="IMM83" s="50"/>
      <c r="IMN83" s="51"/>
      <c r="IMO83" s="50"/>
      <c r="IMP83" s="23"/>
      <c r="IMQ83" s="50"/>
      <c r="IMR83" s="51"/>
      <c r="IMS83" s="50"/>
      <c r="IMT83" s="23"/>
      <c r="IMU83" s="50"/>
      <c r="IMV83" s="51"/>
      <c r="IMW83" s="50"/>
      <c r="IMX83" s="23"/>
      <c r="IMY83" s="50"/>
      <c r="IMZ83" s="51"/>
      <c r="INA83" s="50"/>
      <c r="INB83" s="23"/>
      <c r="INC83" s="50"/>
      <c r="IND83" s="51"/>
      <c r="INE83" s="50"/>
      <c r="INF83" s="23"/>
      <c r="ING83" s="50"/>
      <c r="INH83" s="51"/>
      <c r="INI83" s="50"/>
      <c r="INJ83" s="23"/>
      <c r="INK83" s="50"/>
      <c r="INL83" s="51"/>
      <c r="INM83" s="50"/>
      <c r="INN83" s="23"/>
      <c r="INO83" s="50"/>
      <c r="INP83" s="51"/>
      <c r="INQ83" s="50"/>
      <c r="INR83" s="23"/>
      <c r="INS83" s="50"/>
      <c r="INT83" s="51"/>
      <c r="INU83" s="50"/>
      <c r="INV83" s="23"/>
      <c r="INW83" s="50"/>
      <c r="INX83" s="51"/>
      <c r="INY83" s="50"/>
      <c r="INZ83" s="23"/>
      <c r="IOA83" s="50"/>
      <c r="IOB83" s="51"/>
      <c r="IOC83" s="50"/>
      <c r="IOD83" s="23"/>
      <c r="IOE83" s="50"/>
      <c r="IOF83" s="51"/>
      <c r="IOG83" s="50"/>
      <c r="IOH83" s="23"/>
      <c r="IOI83" s="50"/>
      <c r="IOJ83" s="51"/>
      <c r="IOK83" s="50"/>
      <c r="IOL83" s="23"/>
      <c r="IOM83" s="50"/>
      <c r="ION83" s="51"/>
      <c r="IOO83" s="50"/>
      <c r="IOP83" s="23"/>
      <c r="IOQ83" s="50"/>
      <c r="IOR83" s="51"/>
      <c r="IOS83" s="50"/>
      <c r="IOT83" s="23"/>
      <c r="IOU83" s="50"/>
      <c r="IOV83" s="51"/>
      <c r="IOW83" s="50"/>
      <c r="IOX83" s="23"/>
      <c r="IOY83" s="50"/>
      <c r="IOZ83" s="51"/>
      <c r="IPA83" s="50"/>
      <c r="IPB83" s="23"/>
      <c r="IPC83" s="50"/>
      <c r="IPD83" s="51"/>
      <c r="IPE83" s="50"/>
      <c r="IPF83" s="23"/>
      <c r="IPG83" s="50"/>
      <c r="IPH83" s="51"/>
      <c r="IPI83" s="50"/>
      <c r="IPJ83" s="23"/>
      <c r="IPK83" s="50"/>
      <c r="IPL83" s="51"/>
      <c r="IPM83" s="50"/>
      <c r="IPN83" s="23"/>
      <c r="IPO83" s="50"/>
      <c r="IPP83" s="51"/>
      <c r="IPQ83" s="50"/>
      <c r="IPR83" s="23"/>
      <c r="IPS83" s="50"/>
      <c r="IPT83" s="51"/>
      <c r="IPU83" s="50"/>
      <c r="IPV83" s="23"/>
      <c r="IPW83" s="50"/>
      <c r="IPX83" s="51"/>
      <c r="IPY83" s="50"/>
      <c r="IPZ83" s="23"/>
      <c r="IQA83" s="50"/>
      <c r="IQB83" s="51"/>
      <c r="IQC83" s="50"/>
      <c r="IQD83" s="23"/>
      <c r="IQE83" s="50"/>
      <c r="IQF83" s="51"/>
      <c r="IQG83" s="50"/>
      <c r="IQH83" s="23"/>
      <c r="IQI83" s="50"/>
      <c r="IQJ83" s="51"/>
      <c r="IQK83" s="50"/>
      <c r="IQL83" s="23"/>
      <c r="IQM83" s="50"/>
      <c r="IQN83" s="51"/>
      <c r="IQO83" s="50"/>
      <c r="IQP83" s="23"/>
      <c r="IQQ83" s="50"/>
      <c r="IQR83" s="51"/>
      <c r="IQS83" s="50"/>
      <c r="IQT83" s="23"/>
      <c r="IQU83" s="50"/>
      <c r="IQV83" s="51"/>
      <c r="IQW83" s="50"/>
      <c r="IQX83" s="23"/>
      <c r="IQY83" s="50"/>
      <c r="IQZ83" s="51"/>
      <c r="IRA83" s="50"/>
      <c r="IRB83" s="23"/>
      <c r="IRC83" s="50"/>
      <c r="IRD83" s="51"/>
      <c r="IRE83" s="50"/>
      <c r="IRF83" s="23"/>
      <c r="IRG83" s="50"/>
      <c r="IRH83" s="51"/>
      <c r="IRI83" s="50"/>
      <c r="IRJ83" s="23"/>
      <c r="IRK83" s="50"/>
      <c r="IRL83" s="51"/>
      <c r="IRM83" s="50"/>
      <c r="IRN83" s="23"/>
      <c r="IRO83" s="50"/>
      <c r="IRP83" s="51"/>
      <c r="IRQ83" s="50"/>
      <c r="IRR83" s="23"/>
      <c r="IRS83" s="50"/>
      <c r="IRT83" s="51"/>
      <c r="IRU83" s="50"/>
      <c r="IRV83" s="23"/>
      <c r="IRW83" s="50"/>
      <c r="IRX83" s="51"/>
      <c r="IRY83" s="50"/>
      <c r="IRZ83" s="23"/>
      <c r="ISA83" s="50"/>
      <c r="ISB83" s="51"/>
      <c r="ISC83" s="50"/>
      <c r="ISD83" s="23"/>
      <c r="ISE83" s="50"/>
      <c r="ISF83" s="51"/>
      <c r="ISG83" s="50"/>
      <c r="ISH83" s="23"/>
      <c r="ISI83" s="50"/>
      <c r="ISJ83" s="51"/>
      <c r="ISK83" s="50"/>
      <c r="ISL83" s="23"/>
      <c r="ISM83" s="50"/>
      <c r="ISN83" s="51"/>
      <c r="ISO83" s="50"/>
      <c r="ISP83" s="23"/>
      <c r="ISQ83" s="50"/>
      <c r="ISR83" s="51"/>
      <c r="ISS83" s="50"/>
      <c r="IST83" s="23"/>
      <c r="ISU83" s="50"/>
      <c r="ISV83" s="51"/>
      <c r="ISW83" s="50"/>
      <c r="ISX83" s="23"/>
      <c r="ISY83" s="50"/>
      <c r="ISZ83" s="51"/>
      <c r="ITA83" s="50"/>
      <c r="ITB83" s="23"/>
      <c r="ITC83" s="50"/>
      <c r="ITD83" s="51"/>
      <c r="ITE83" s="50"/>
      <c r="ITF83" s="23"/>
      <c r="ITG83" s="50"/>
      <c r="ITH83" s="51"/>
      <c r="ITI83" s="50"/>
      <c r="ITJ83" s="23"/>
      <c r="ITK83" s="50"/>
      <c r="ITL83" s="51"/>
      <c r="ITM83" s="50"/>
      <c r="ITN83" s="23"/>
      <c r="ITO83" s="50"/>
      <c r="ITP83" s="51"/>
      <c r="ITQ83" s="50"/>
      <c r="ITR83" s="23"/>
      <c r="ITS83" s="50"/>
      <c r="ITT83" s="51"/>
      <c r="ITU83" s="50"/>
      <c r="ITV83" s="23"/>
      <c r="ITW83" s="50"/>
      <c r="ITX83" s="51"/>
      <c r="ITY83" s="50"/>
      <c r="ITZ83" s="23"/>
      <c r="IUA83" s="50"/>
      <c r="IUB83" s="51"/>
      <c r="IUC83" s="50"/>
      <c r="IUD83" s="23"/>
      <c r="IUE83" s="50"/>
      <c r="IUF83" s="51"/>
      <c r="IUG83" s="50"/>
      <c r="IUH83" s="23"/>
      <c r="IUI83" s="50"/>
      <c r="IUJ83" s="51"/>
      <c r="IUK83" s="50"/>
      <c r="IUL83" s="23"/>
      <c r="IUM83" s="50"/>
      <c r="IUN83" s="51"/>
      <c r="IUO83" s="50"/>
      <c r="IUP83" s="23"/>
      <c r="IUQ83" s="50"/>
      <c r="IUR83" s="51"/>
      <c r="IUS83" s="50"/>
      <c r="IUT83" s="23"/>
      <c r="IUU83" s="50"/>
      <c r="IUV83" s="51"/>
      <c r="IUW83" s="50"/>
      <c r="IUX83" s="23"/>
      <c r="IUY83" s="50"/>
      <c r="IUZ83" s="51"/>
      <c r="IVA83" s="50"/>
      <c r="IVB83" s="23"/>
      <c r="IVC83" s="50"/>
      <c r="IVD83" s="51"/>
      <c r="IVE83" s="50"/>
      <c r="IVF83" s="23"/>
      <c r="IVG83" s="50"/>
      <c r="IVH83" s="51"/>
      <c r="IVI83" s="50"/>
      <c r="IVJ83" s="23"/>
      <c r="IVK83" s="50"/>
      <c r="IVL83" s="51"/>
      <c r="IVM83" s="50"/>
      <c r="IVN83" s="23"/>
      <c r="IVO83" s="50"/>
      <c r="IVP83" s="51"/>
      <c r="IVQ83" s="50"/>
      <c r="IVR83" s="23"/>
      <c r="IVS83" s="50"/>
      <c r="IVT83" s="51"/>
      <c r="IVU83" s="50"/>
      <c r="IVV83" s="23"/>
      <c r="IVW83" s="50"/>
      <c r="IVX83" s="51"/>
      <c r="IVY83" s="50"/>
      <c r="IVZ83" s="23"/>
      <c r="IWA83" s="50"/>
      <c r="IWB83" s="51"/>
      <c r="IWC83" s="50"/>
      <c r="IWD83" s="23"/>
      <c r="IWE83" s="50"/>
      <c r="IWF83" s="51"/>
      <c r="IWG83" s="50"/>
      <c r="IWH83" s="23"/>
      <c r="IWI83" s="50"/>
      <c r="IWJ83" s="51"/>
      <c r="IWK83" s="50"/>
      <c r="IWL83" s="23"/>
      <c r="IWM83" s="50"/>
      <c r="IWN83" s="51"/>
      <c r="IWO83" s="50"/>
      <c r="IWP83" s="23"/>
      <c r="IWQ83" s="50"/>
      <c r="IWR83" s="51"/>
      <c r="IWS83" s="50"/>
      <c r="IWT83" s="23"/>
      <c r="IWU83" s="50"/>
      <c r="IWV83" s="51"/>
      <c r="IWW83" s="50"/>
      <c r="IWX83" s="23"/>
      <c r="IWY83" s="50"/>
      <c r="IWZ83" s="51"/>
      <c r="IXA83" s="50"/>
      <c r="IXB83" s="23"/>
      <c r="IXC83" s="50"/>
      <c r="IXD83" s="51"/>
      <c r="IXE83" s="50"/>
      <c r="IXF83" s="23"/>
      <c r="IXG83" s="50"/>
      <c r="IXH83" s="51"/>
      <c r="IXI83" s="50"/>
      <c r="IXJ83" s="23"/>
      <c r="IXK83" s="50"/>
      <c r="IXL83" s="51"/>
      <c r="IXM83" s="50"/>
      <c r="IXN83" s="23"/>
      <c r="IXO83" s="50"/>
      <c r="IXP83" s="51"/>
      <c r="IXQ83" s="50"/>
      <c r="IXR83" s="23"/>
      <c r="IXS83" s="50"/>
      <c r="IXT83" s="51"/>
      <c r="IXU83" s="50"/>
      <c r="IXV83" s="23"/>
      <c r="IXW83" s="50"/>
      <c r="IXX83" s="51"/>
      <c r="IXY83" s="50"/>
      <c r="IXZ83" s="23"/>
      <c r="IYA83" s="50"/>
      <c r="IYB83" s="51"/>
      <c r="IYC83" s="50"/>
      <c r="IYD83" s="23"/>
      <c r="IYE83" s="50"/>
      <c r="IYF83" s="51"/>
      <c r="IYG83" s="50"/>
      <c r="IYH83" s="23"/>
      <c r="IYI83" s="50"/>
      <c r="IYJ83" s="51"/>
      <c r="IYK83" s="50"/>
      <c r="IYL83" s="23"/>
      <c r="IYM83" s="50"/>
      <c r="IYN83" s="51"/>
      <c r="IYO83" s="50"/>
      <c r="IYP83" s="23"/>
      <c r="IYQ83" s="50"/>
      <c r="IYR83" s="51"/>
      <c r="IYS83" s="50"/>
      <c r="IYT83" s="23"/>
      <c r="IYU83" s="50"/>
      <c r="IYV83" s="51"/>
      <c r="IYW83" s="50"/>
      <c r="IYX83" s="23"/>
      <c r="IYY83" s="50"/>
      <c r="IYZ83" s="51"/>
      <c r="IZA83" s="50"/>
      <c r="IZB83" s="23"/>
      <c r="IZC83" s="50"/>
      <c r="IZD83" s="51"/>
      <c r="IZE83" s="50"/>
      <c r="IZF83" s="23"/>
      <c r="IZG83" s="50"/>
      <c r="IZH83" s="51"/>
      <c r="IZI83" s="50"/>
      <c r="IZJ83" s="23"/>
      <c r="IZK83" s="50"/>
      <c r="IZL83" s="51"/>
      <c r="IZM83" s="50"/>
      <c r="IZN83" s="23"/>
      <c r="IZO83" s="50"/>
      <c r="IZP83" s="51"/>
      <c r="IZQ83" s="50"/>
      <c r="IZR83" s="23"/>
      <c r="IZS83" s="50"/>
      <c r="IZT83" s="51"/>
      <c r="IZU83" s="50"/>
      <c r="IZV83" s="23"/>
      <c r="IZW83" s="50"/>
      <c r="IZX83" s="51"/>
      <c r="IZY83" s="50"/>
      <c r="IZZ83" s="23"/>
      <c r="JAA83" s="50"/>
      <c r="JAB83" s="51"/>
      <c r="JAC83" s="50"/>
      <c r="JAD83" s="23"/>
      <c r="JAE83" s="50"/>
      <c r="JAF83" s="51"/>
      <c r="JAG83" s="50"/>
      <c r="JAH83" s="23"/>
      <c r="JAI83" s="50"/>
      <c r="JAJ83" s="51"/>
      <c r="JAK83" s="50"/>
      <c r="JAL83" s="23"/>
      <c r="JAM83" s="50"/>
      <c r="JAN83" s="51"/>
      <c r="JAO83" s="50"/>
      <c r="JAP83" s="23"/>
      <c r="JAQ83" s="50"/>
      <c r="JAR83" s="51"/>
      <c r="JAS83" s="50"/>
      <c r="JAT83" s="23"/>
      <c r="JAU83" s="50"/>
      <c r="JAV83" s="51"/>
      <c r="JAW83" s="50"/>
      <c r="JAX83" s="23"/>
      <c r="JAY83" s="50"/>
      <c r="JAZ83" s="51"/>
      <c r="JBA83" s="50"/>
      <c r="JBB83" s="23"/>
      <c r="JBC83" s="50"/>
      <c r="JBD83" s="51"/>
      <c r="JBE83" s="50"/>
      <c r="JBF83" s="23"/>
      <c r="JBG83" s="50"/>
      <c r="JBH83" s="51"/>
      <c r="JBI83" s="50"/>
      <c r="JBJ83" s="23"/>
      <c r="JBK83" s="50"/>
      <c r="JBL83" s="51"/>
      <c r="JBM83" s="50"/>
      <c r="JBN83" s="23"/>
      <c r="JBO83" s="50"/>
      <c r="JBP83" s="51"/>
      <c r="JBQ83" s="50"/>
      <c r="JBR83" s="23"/>
      <c r="JBS83" s="50"/>
      <c r="JBT83" s="51"/>
      <c r="JBU83" s="50"/>
      <c r="JBV83" s="23"/>
      <c r="JBW83" s="50"/>
      <c r="JBX83" s="51"/>
      <c r="JBY83" s="50"/>
      <c r="JBZ83" s="23"/>
      <c r="JCA83" s="50"/>
      <c r="JCB83" s="51"/>
      <c r="JCC83" s="50"/>
      <c r="JCD83" s="23"/>
      <c r="JCE83" s="50"/>
      <c r="JCF83" s="51"/>
      <c r="JCG83" s="50"/>
      <c r="JCH83" s="23"/>
      <c r="JCI83" s="50"/>
      <c r="JCJ83" s="51"/>
      <c r="JCK83" s="50"/>
      <c r="JCL83" s="23"/>
      <c r="JCM83" s="50"/>
      <c r="JCN83" s="51"/>
      <c r="JCO83" s="50"/>
      <c r="JCP83" s="23"/>
      <c r="JCQ83" s="50"/>
      <c r="JCR83" s="51"/>
      <c r="JCS83" s="50"/>
      <c r="JCT83" s="23"/>
      <c r="JCU83" s="50"/>
      <c r="JCV83" s="51"/>
      <c r="JCW83" s="50"/>
      <c r="JCX83" s="23"/>
      <c r="JCY83" s="50"/>
      <c r="JCZ83" s="51"/>
      <c r="JDA83" s="50"/>
      <c r="JDB83" s="23"/>
      <c r="JDC83" s="50"/>
      <c r="JDD83" s="51"/>
      <c r="JDE83" s="50"/>
      <c r="JDF83" s="23"/>
      <c r="JDG83" s="50"/>
      <c r="JDH83" s="51"/>
      <c r="JDI83" s="50"/>
      <c r="JDJ83" s="23"/>
      <c r="JDK83" s="50"/>
      <c r="JDL83" s="51"/>
      <c r="JDM83" s="50"/>
      <c r="JDN83" s="23"/>
      <c r="JDO83" s="50"/>
      <c r="JDP83" s="51"/>
      <c r="JDQ83" s="50"/>
      <c r="JDR83" s="23"/>
      <c r="JDS83" s="50"/>
      <c r="JDT83" s="51"/>
      <c r="JDU83" s="50"/>
      <c r="JDV83" s="23"/>
      <c r="JDW83" s="50"/>
      <c r="JDX83" s="51"/>
      <c r="JDY83" s="50"/>
      <c r="JDZ83" s="23"/>
      <c r="JEA83" s="50"/>
      <c r="JEB83" s="51"/>
      <c r="JEC83" s="50"/>
      <c r="JED83" s="23"/>
      <c r="JEE83" s="50"/>
      <c r="JEF83" s="51"/>
      <c r="JEG83" s="50"/>
      <c r="JEH83" s="23"/>
      <c r="JEI83" s="50"/>
      <c r="JEJ83" s="51"/>
      <c r="JEK83" s="50"/>
      <c r="JEL83" s="23"/>
      <c r="JEM83" s="50"/>
      <c r="JEN83" s="51"/>
      <c r="JEO83" s="50"/>
      <c r="JEP83" s="23"/>
      <c r="JEQ83" s="50"/>
      <c r="JER83" s="51"/>
      <c r="JES83" s="50"/>
      <c r="JET83" s="23"/>
      <c r="JEU83" s="50"/>
      <c r="JEV83" s="51"/>
      <c r="JEW83" s="50"/>
      <c r="JEX83" s="23"/>
      <c r="JEY83" s="50"/>
      <c r="JEZ83" s="51"/>
      <c r="JFA83" s="50"/>
      <c r="JFB83" s="23"/>
      <c r="JFC83" s="50"/>
      <c r="JFD83" s="51"/>
      <c r="JFE83" s="50"/>
      <c r="JFF83" s="23"/>
      <c r="JFG83" s="50"/>
      <c r="JFH83" s="51"/>
      <c r="JFI83" s="50"/>
      <c r="JFJ83" s="23"/>
      <c r="JFK83" s="50"/>
      <c r="JFL83" s="51"/>
      <c r="JFM83" s="50"/>
      <c r="JFN83" s="23"/>
      <c r="JFO83" s="50"/>
      <c r="JFP83" s="51"/>
      <c r="JFQ83" s="50"/>
      <c r="JFR83" s="23"/>
      <c r="JFS83" s="50"/>
      <c r="JFT83" s="51"/>
      <c r="JFU83" s="50"/>
      <c r="JFV83" s="23"/>
      <c r="JFW83" s="50"/>
      <c r="JFX83" s="51"/>
      <c r="JFY83" s="50"/>
      <c r="JFZ83" s="23"/>
      <c r="JGA83" s="50"/>
      <c r="JGB83" s="51"/>
      <c r="JGC83" s="50"/>
      <c r="JGD83" s="23"/>
      <c r="JGE83" s="50"/>
      <c r="JGF83" s="51"/>
      <c r="JGG83" s="50"/>
      <c r="JGH83" s="23"/>
      <c r="JGI83" s="50"/>
      <c r="JGJ83" s="51"/>
      <c r="JGK83" s="50"/>
      <c r="JGL83" s="23"/>
      <c r="JGM83" s="50"/>
      <c r="JGN83" s="51"/>
      <c r="JGO83" s="50"/>
      <c r="JGP83" s="23"/>
      <c r="JGQ83" s="50"/>
      <c r="JGR83" s="51"/>
      <c r="JGS83" s="50"/>
      <c r="JGT83" s="23"/>
      <c r="JGU83" s="50"/>
      <c r="JGV83" s="51"/>
      <c r="JGW83" s="50"/>
      <c r="JGX83" s="23"/>
      <c r="JGY83" s="50"/>
      <c r="JGZ83" s="51"/>
      <c r="JHA83" s="50"/>
      <c r="JHB83" s="23"/>
      <c r="JHC83" s="50"/>
      <c r="JHD83" s="51"/>
      <c r="JHE83" s="50"/>
      <c r="JHF83" s="23"/>
      <c r="JHG83" s="50"/>
      <c r="JHH83" s="51"/>
      <c r="JHI83" s="50"/>
      <c r="JHJ83" s="23"/>
      <c r="JHK83" s="50"/>
      <c r="JHL83" s="51"/>
      <c r="JHM83" s="50"/>
      <c r="JHN83" s="23"/>
      <c r="JHO83" s="50"/>
      <c r="JHP83" s="51"/>
      <c r="JHQ83" s="50"/>
      <c r="JHR83" s="23"/>
      <c r="JHS83" s="50"/>
      <c r="JHT83" s="51"/>
      <c r="JHU83" s="50"/>
      <c r="JHV83" s="23"/>
      <c r="JHW83" s="50"/>
      <c r="JHX83" s="51"/>
      <c r="JHY83" s="50"/>
      <c r="JHZ83" s="23"/>
      <c r="JIA83" s="50"/>
      <c r="JIB83" s="51"/>
      <c r="JIC83" s="50"/>
      <c r="JID83" s="23"/>
      <c r="JIE83" s="50"/>
      <c r="JIF83" s="51"/>
      <c r="JIG83" s="50"/>
      <c r="JIH83" s="23"/>
      <c r="JII83" s="50"/>
      <c r="JIJ83" s="51"/>
      <c r="JIK83" s="50"/>
      <c r="JIL83" s="23"/>
      <c r="JIM83" s="50"/>
      <c r="JIN83" s="51"/>
      <c r="JIO83" s="50"/>
      <c r="JIP83" s="23"/>
      <c r="JIQ83" s="50"/>
      <c r="JIR83" s="51"/>
      <c r="JIS83" s="50"/>
      <c r="JIT83" s="23"/>
      <c r="JIU83" s="50"/>
      <c r="JIV83" s="51"/>
      <c r="JIW83" s="50"/>
      <c r="JIX83" s="23"/>
      <c r="JIY83" s="50"/>
      <c r="JIZ83" s="51"/>
      <c r="JJA83" s="50"/>
      <c r="JJB83" s="23"/>
      <c r="JJC83" s="50"/>
      <c r="JJD83" s="51"/>
      <c r="JJE83" s="50"/>
      <c r="JJF83" s="23"/>
      <c r="JJG83" s="50"/>
      <c r="JJH83" s="51"/>
      <c r="JJI83" s="50"/>
      <c r="JJJ83" s="23"/>
      <c r="JJK83" s="50"/>
      <c r="JJL83" s="51"/>
      <c r="JJM83" s="50"/>
      <c r="JJN83" s="23"/>
      <c r="JJO83" s="50"/>
      <c r="JJP83" s="51"/>
      <c r="JJQ83" s="50"/>
      <c r="JJR83" s="23"/>
      <c r="JJS83" s="50"/>
      <c r="JJT83" s="51"/>
      <c r="JJU83" s="50"/>
      <c r="JJV83" s="23"/>
      <c r="JJW83" s="50"/>
      <c r="JJX83" s="51"/>
      <c r="JJY83" s="50"/>
      <c r="JJZ83" s="23"/>
      <c r="JKA83" s="50"/>
      <c r="JKB83" s="51"/>
      <c r="JKC83" s="50"/>
      <c r="JKD83" s="23"/>
      <c r="JKE83" s="50"/>
      <c r="JKF83" s="51"/>
      <c r="JKG83" s="50"/>
      <c r="JKH83" s="23"/>
      <c r="JKI83" s="50"/>
      <c r="JKJ83" s="51"/>
      <c r="JKK83" s="50"/>
      <c r="JKL83" s="23"/>
      <c r="JKM83" s="50"/>
      <c r="JKN83" s="51"/>
      <c r="JKO83" s="50"/>
      <c r="JKP83" s="23"/>
      <c r="JKQ83" s="50"/>
      <c r="JKR83" s="51"/>
      <c r="JKS83" s="50"/>
      <c r="JKT83" s="23"/>
      <c r="JKU83" s="50"/>
      <c r="JKV83" s="51"/>
      <c r="JKW83" s="50"/>
      <c r="JKX83" s="23"/>
      <c r="JKY83" s="50"/>
      <c r="JKZ83" s="51"/>
      <c r="JLA83" s="50"/>
      <c r="JLB83" s="23"/>
      <c r="JLC83" s="50"/>
      <c r="JLD83" s="51"/>
      <c r="JLE83" s="50"/>
      <c r="JLF83" s="23"/>
      <c r="JLG83" s="50"/>
      <c r="JLH83" s="51"/>
      <c r="JLI83" s="50"/>
      <c r="JLJ83" s="23"/>
      <c r="JLK83" s="50"/>
      <c r="JLL83" s="51"/>
      <c r="JLM83" s="50"/>
      <c r="JLN83" s="23"/>
      <c r="JLO83" s="50"/>
      <c r="JLP83" s="51"/>
      <c r="JLQ83" s="50"/>
      <c r="JLR83" s="23"/>
      <c r="JLS83" s="50"/>
      <c r="JLT83" s="51"/>
      <c r="JLU83" s="50"/>
      <c r="JLV83" s="23"/>
      <c r="JLW83" s="50"/>
      <c r="JLX83" s="51"/>
      <c r="JLY83" s="50"/>
      <c r="JLZ83" s="23"/>
      <c r="JMA83" s="50"/>
      <c r="JMB83" s="51"/>
      <c r="JMC83" s="50"/>
      <c r="JMD83" s="23"/>
      <c r="JME83" s="50"/>
      <c r="JMF83" s="51"/>
      <c r="JMG83" s="50"/>
      <c r="JMH83" s="23"/>
      <c r="JMI83" s="50"/>
      <c r="JMJ83" s="51"/>
      <c r="JMK83" s="50"/>
      <c r="JML83" s="23"/>
      <c r="JMM83" s="50"/>
      <c r="JMN83" s="51"/>
      <c r="JMO83" s="50"/>
      <c r="JMP83" s="23"/>
      <c r="JMQ83" s="50"/>
      <c r="JMR83" s="51"/>
      <c r="JMS83" s="50"/>
      <c r="JMT83" s="23"/>
      <c r="JMU83" s="50"/>
      <c r="JMV83" s="51"/>
      <c r="JMW83" s="50"/>
      <c r="JMX83" s="23"/>
      <c r="JMY83" s="50"/>
      <c r="JMZ83" s="51"/>
      <c r="JNA83" s="50"/>
      <c r="JNB83" s="23"/>
      <c r="JNC83" s="50"/>
      <c r="JND83" s="51"/>
      <c r="JNE83" s="50"/>
      <c r="JNF83" s="23"/>
      <c r="JNG83" s="50"/>
      <c r="JNH83" s="51"/>
      <c r="JNI83" s="50"/>
      <c r="JNJ83" s="23"/>
      <c r="JNK83" s="50"/>
      <c r="JNL83" s="51"/>
      <c r="JNM83" s="50"/>
      <c r="JNN83" s="23"/>
      <c r="JNO83" s="50"/>
      <c r="JNP83" s="51"/>
      <c r="JNQ83" s="50"/>
      <c r="JNR83" s="23"/>
      <c r="JNS83" s="50"/>
      <c r="JNT83" s="51"/>
      <c r="JNU83" s="50"/>
      <c r="JNV83" s="23"/>
      <c r="JNW83" s="50"/>
      <c r="JNX83" s="51"/>
      <c r="JNY83" s="50"/>
      <c r="JNZ83" s="23"/>
      <c r="JOA83" s="50"/>
      <c r="JOB83" s="51"/>
      <c r="JOC83" s="50"/>
      <c r="JOD83" s="23"/>
      <c r="JOE83" s="50"/>
      <c r="JOF83" s="51"/>
      <c r="JOG83" s="50"/>
      <c r="JOH83" s="23"/>
      <c r="JOI83" s="50"/>
      <c r="JOJ83" s="51"/>
      <c r="JOK83" s="50"/>
      <c r="JOL83" s="23"/>
      <c r="JOM83" s="50"/>
      <c r="JON83" s="51"/>
      <c r="JOO83" s="50"/>
      <c r="JOP83" s="23"/>
      <c r="JOQ83" s="50"/>
      <c r="JOR83" s="51"/>
      <c r="JOS83" s="50"/>
      <c r="JOT83" s="23"/>
      <c r="JOU83" s="50"/>
      <c r="JOV83" s="51"/>
      <c r="JOW83" s="50"/>
      <c r="JOX83" s="23"/>
      <c r="JOY83" s="50"/>
      <c r="JOZ83" s="51"/>
      <c r="JPA83" s="50"/>
      <c r="JPB83" s="23"/>
      <c r="JPC83" s="50"/>
      <c r="JPD83" s="51"/>
      <c r="JPE83" s="50"/>
      <c r="JPF83" s="23"/>
      <c r="JPG83" s="50"/>
      <c r="JPH83" s="51"/>
      <c r="JPI83" s="50"/>
      <c r="JPJ83" s="23"/>
      <c r="JPK83" s="50"/>
      <c r="JPL83" s="51"/>
      <c r="JPM83" s="50"/>
      <c r="JPN83" s="23"/>
      <c r="JPO83" s="50"/>
      <c r="JPP83" s="51"/>
      <c r="JPQ83" s="50"/>
      <c r="JPR83" s="23"/>
      <c r="JPS83" s="50"/>
      <c r="JPT83" s="51"/>
      <c r="JPU83" s="50"/>
      <c r="JPV83" s="23"/>
      <c r="JPW83" s="50"/>
      <c r="JPX83" s="51"/>
      <c r="JPY83" s="50"/>
      <c r="JPZ83" s="23"/>
      <c r="JQA83" s="50"/>
      <c r="JQB83" s="51"/>
      <c r="JQC83" s="50"/>
      <c r="JQD83" s="23"/>
      <c r="JQE83" s="50"/>
      <c r="JQF83" s="51"/>
      <c r="JQG83" s="50"/>
      <c r="JQH83" s="23"/>
      <c r="JQI83" s="50"/>
      <c r="JQJ83" s="51"/>
      <c r="JQK83" s="50"/>
      <c r="JQL83" s="23"/>
      <c r="JQM83" s="50"/>
      <c r="JQN83" s="51"/>
      <c r="JQO83" s="50"/>
      <c r="JQP83" s="23"/>
      <c r="JQQ83" s="50"/>
      <c r="JQR83" s="51"/>
      <c r="JQS83" s="50"/>
      <c r="JQT83" s="23"/>
      <c r="JQU83" s="50"/>
      <c r="JQV83" s="51"/>
      <c r="JQW83" s="50"/>
      <c r="JQX83" s="23"/>
      <c r="JQY83" s="50"/>
      <c r="JQZ83" s="51"/>
      <c r="JRA83" s="50"/>
      <c r="JRB83" s="23"/>
      <c r="JRC83" s="50"/>
      <c r="JRD83" s="51"/>
      <c r="JRE83" s="50"/>
      <c r="JRF83" s="23"/>
      <c r="JRG83" s="50"/>
      <c r="JRH83" s="51"/>
      <c r="JRI83" s="50"/>
      <c r="JRJ83" s="23"/>
      <c r="JRK83" s="50"/>
      <c r="JRL83" s="51"/>
      <c r="JRM83" s="50"/>
      <c r="JRN83" s="23"/>
      <c r="JRO83" s="50"/>
      <c r="JRP83" s="51"/>
      <c r="JRQ83" s="50"/>
      <c r="JRR83" s="23"/>
      <c r="JRS83" s="50"/>
      <c r="JRT83" s="51"/>
      <c r="JRU83" s="50"/>
      <c r="JRV83" s="23"/>
      <c r="JRW83" s="50"/>
      <c r="JRX83" s="51"/>
      <c r="JRY83" s="50"/>
      <c r="JRZ83" s="23"/>
      <c r="JSA83" s="50"/>
      <c r="JSB83" s="51"/>
      <c r="JSC83" s="50"/>
      <c r="JSD83" s="23"/>
      <c r="JSE83" s="50"/>
      <c r="JSF83" s="51"/>
      <c r="JSG83" s="50"/>
      <c r="JSH83" s="23"/>
      <c r="JSI83" s="50"/>
      <c r="JSJ83" s="51"/>
      <c r="JSK83" s="50"/>
      <c r="JSL83" s="23"/>
      <c r="JSM83" s="50"/>
      <c r="JSN83" s="51"/>
      <c r="JSO83" s="50"/>
      <c r="JSP83" s="23"/>
      <c r="JSQ83" s="50"/>
      <c r="JSR83" s="51"/>
      <c r="JSS83" s="50"/>
      <c r="JST83" s="23"/>
      <c r="JSU83" s="50"/>
      <c r="JSV83" s="51"/>
      <c r="JSW83" s="50"/>
      <c r="JSX83" s="23"/>
      <c r="JSY83" s="50"/>
      <c r="JSZ83" s="51"/>
      <c r="JTA83" s="50"/>
      <c r="JTB83" s="23"/>
      <c r="JTC83" s="50"/>
      <c r="JTD83" s="51"/>
      <c r="JTE83" s="50"/>
      <c r="JTF83" s="23"/>
      <c r="JTG83" s="50"/>
      <c r="JTH83" s="51"/>
      <c r="JTI83" s="50"/>
      <c r="JTJ83" s="23"/>
      <c r="JTK83" s="50"/>
      <c r="JTL83" s="51"/>
      <c r="JTM83" s="50"/>
      <c r="JTN83" s="23"/>
      <c r="JTO83" s="50"/>
      <c r="JTP83" s="51"/>
      <c r="JTQ83" s="50"/>
      <c r="JTR83" s="23"/>
      <c r="JTS83" s="50"/>
      <c r="JTT83" s="51"/>
      <c r="JTU83" s="50"/>
      <c r="JTV83" s="23"/>
      <c r="JTW83" s="50"/>
      <c r="JTX83" s="51"/>
      <c r="JTY83" s="50"/>
      <c r="JTZ83" s="23"/>
      <c r="JUA83" s="50"/>
      <c r="JUB83" s="51"/>
      <c r="JUC83" s="50"/>
      <c r="JUD83" s="23"/>
      <c r="JUE83" s="50"/>
      <c r="JUF83" s="51"/>
      <c r="JUG83" s="50"/>
      <c r="JUH83" s="23"/>
      <c r="JUI83" s="50"/>
      <c r="JUJ83" s="51"/>
      <c r="JUK83" s="50"/>
      <c r="JUL83" s="23"/>
      <c r="JUM83" s="50"/>
      <c r="JUN83" s="51"/>
      <c r="JUO83" s="50"/>
      <c r="JUP83" s="23"/>
      <c r="JUQ83" s="50"/>
      <c r="JUR83" s="51"/>
      <c r="JUS83" s="50"/>
      <c r="JUT83" s="23"/>
      <c r="JUU83" s="50"/>
      <c r="JUV83" s="51"/>
      <c r="JUW83" s="50"/>
      <c r="JUX83" s="23"/>
      <c r="JUY83" s="50"/>
      <c r="JUZ83" s="51"/>
      <c r="JVA83" s="50"/>
      <c r="JVB83" s="23"/>
      <c r="JVC83" s="50"/>
      <c r="JVD83" s="51"/>
      <c r="JVE83" s="50"/>
      <c r="JVF83" s="23"/>
      <c r="JVG83" s="50"/>
      <c r="JVH83" s="51"/>
      <c r="JVI83" s="50"/>
      <c r="JVJ83" s="23"/>
      <c r="JVK83" s="50"/>
      <c r="JVL83" s="51"/>
      <c r="JVM83" s="50"/>
      <c r="JVN83" s="23"/>
      <c r="JVO83" s="50"/>
      <c r="JVP83" s="51"/>
      <c r="JVQ83" s="50"/>
      <c r="JVR83" s="23"/>
      <c r="JVS83" s="50"/>
      <c r="JVT83" s="51"/>
      <c r="JVU83" s="50"/>
      <c r="JVV83" s="23"/>
      <c r="JVW83" s="50"/>
      <c r="JVX83" s="51"/>
      <c r="JVY83" s="50"/>
      <c r="JVZ83" s="23"/>
      <c r="JWA83" s="50"/>
      <c r="JWB83" s="51"/>
      <c r="JWC83" s="50"/>
      <c r="JWD83" s="23"/>
      <c r="JWE83" s="50"/>
      <c r="JWF83" s="51"/>
      <c r="JWG83" s="50"/>
      <c r="JWH83" s="23"/>
      <c r="JWI83" s="50"/>
      <c r="JWJ83" s="51"/>
      <c r="JWK83" s="50"/>
      <c r="JWL83" s="23"/>
      <c r="JWM83" s="50"/>
      <c r="JWN83" s="51"/>
      <c r="JWO83" s="50"/>
      <c r="JWP83" s="23"/>
      <c r="JWQ83" s="50"/>
      <c r="JWR83" s="51"/>
      <c r="JWS83" s="50"/>
      <c r="JWT83" s="23"/>
      <c r="JWU83" s="50"/>
      <c r="JWV83" s="51"/>
      <c r="JWW83" s="50"/>
      <c r="JWX83" s="23"/>
      <c r="JWY83" s="50"/>
      <c r="JWZ83" s="51"/>
      <c r="JXA83" s="50"/>
      <c r="JXB83" s="23"/>
      <c r="JXC83" s="50"/>
      <c r="JXD83" s="51"/>
      <c r="JXE83" s="50"/>
      <c r="JXF83" s="23"/>
      <c r="JXG83" s="50"/>
      <c r="JXH83" s="51"/>
      <c r="JXI83" s="50"/>
      <c r="JXJ83" s="23"/>
      <c r="JXK83" s="50"/>
      <c r="JXL83" s="51"/>
      <c r="JXM83" s="50"/>
      <c r="JXN83" s="23"/>
      <c r="JXO83" s="50"/>
      <c r="JXP83" s="51"/>
      <c r="JXQ83" s="50"/>
      <c r="JXR83" s="23"/>
      <c r="JXS83" s="50"/>
      <c r="JXT83" s="51"/>
      <c r="JXU83" s="50"/>
      <c r="JXV83" s="23"/>
      <c r="JXW83" s="50"/>
      <c r="JXX83" s="51"/>
      <c r="JXY83" s="50"/>
      <c r="JXZ83" s="23"/>
      <c r="JYA83" s="50"/>
      <c r="JYB83" s="51"/>
      <c r="JYC83" s="50"/>
      <c r="JYD83" s="23"/>
      <c r="JYE83" s="50"/>
      <c r="JYF83" s="51"/>
      <c r="JYG83" s="50"/>
      <c r="JYH83" s="23"/>
      <c r="JYI83" s="50"/>
      <c r="JYJ83" s="51"/>
      <c r="JYK83" s="50"/>
      <c r="JYL83" s="23"/>
      <c r="JYM83" s="50"/>
      <c r="JYN83" s="51"/>
      <c r="JYO83" s="50"/>
      <c r="JYP83" s="23"/>
      <c r="JYQ83" s="50"/>
      <c r="JYR83" s="51"/>
      <c r="JYS83" s="50"/>
      <c r="JYT83" s="23"/>
      <c r="JYU83" s="50"/>
      <c r="JYV83" s="51"/>
      <c r="JYW83" s="50"/>
      <c r="JYX83" s="23"/>
      <c r="JYY83" s="50"/>
      <c r="JYZ83" s="51"/>
      <c r="JZA83" s="50"/>
      <c r="JZB83" s="23"/>
      <c r="JZC83" s="50"/>
      <c r="JZD83" s="51"/>
      <c r="JZE83" s="50"/>
      <c r="JZF83" s="23"/>
      <c r="JZG83" s="50"/>
      <c r="JZH83" s="51"/>
      <c r="JZI83" s="50"/>
      <c r="JZJ83" s="23"/>
      <c r="JZK83" s="50"/>
      <c r="JZL83" s="51"/>
      <c r="JZM83" s="50"/>
      <c r="JZN83" s="23"/>
      <c r="JZO83" s="50"/>
      <c r="JZP83" s="51"/>
      <c r="JZQ83" s="50"/>
      <c r="JZR83" s="23"/>
      <c r="JZS83" s="50"/>
      <c r="JZT83" s="51"/>
      <c r="JZU83" s="50"/>
      <c r="JZV83" s="23"/>
      <c r="JZW83" s="50"/>
      <c r="JZX83" s="51"/>
      <c r="JZY83" s="50"/>
      <c r="JZZ83" s="23"/>
      <c r="KAA83" s="50"/>
      <c r="KAB83" s="51"/>
      <c r="KAC83" s="50"/>
      <c r="KAD83" s="23"/>
      <c r="KAE83" s="50"/>
      <c r="KAF83" s="51"/>
      <c r="KAG83" s="50"/>
      <c r="KAH83" s="23"/>
      <c r="KAI83" s="50"/>
      <c r="KAJ83" s="51"/>
      <c r="KAK83" s="50"/>
      <c r="KAL83" s="23"/>
      <c r="KAM83" s="50"/>
      <c r="KAN83" s="51"/>
      <c r="KAO83" s="50"/>
      <c r="KAP83" s="23"/>
      <c r="KAQ83" s="50"/>
      <c r="KAR83" s="51"/>
      <c r="KAS83" s="50"/>
      <c r="KAT83" s="23"/>
      <c r="KAU83" s="50"/>
      <c r="KAV83" s="51"/>
      <c r="KAW83" s="50"/>
      <c r="KAX83" s="23"/>
      <c r="KAY83" s="50"/>
      <c r="KAZ83" s="51"/>
      <c r="KBA83" s="50"/>
      <c r="KBB83" s="23"/>
      <c r="KBC83" s="50"/>
      <c r="KBD83" s="51"/>
      <c r="KBE83" s="50"/>
      <c r="KBF83" s="23"/>
      <c r="KBG83" s="50"/>
      <c r="KBH83" s="51"/>
      <c r="KBI83" s="50"/>
      <c r="KBJ83" s="23"/>
      <c r="KBK83" s="50"/>
      <c r="KBL83" s="51"/>
      <c r="KBM83" s="50"/>
      <c r="KBN83" s="23"/>
      <c r="KBO83" s="50"/>
      <c r="KBP83" s="51"/>
      <c r="KBQ83" s="50"/>
      <c r="KBR83" s="23"/>
      <c r="KBS83" s="50"/>
      <c r="KBT83" s="51"/>
      <c r="KBU83" s="50"/>
      <c r="KBV83" s="23"/>
      <c r="KBW83" s="50"/>
      <c r="KBX83" s="51"/>
      <c r="KBY83" s="50"/>
      <c r="KBZ83" s="23"/>
      <c r="KCA83" s="50"/>
      <c r="KCB83" s="51"/>
      <c r="KCC83" s="50"/>
      <c r="KCD83" s="23"/>
      <c r="KCE83" s="50"/>
      <c r="KCF83" s="51"/>
      <c r="KCG83" s="50"/>
      <c r="KCH83" s="23"/>
      <c r="KCI83" s="50"/>
      <c r="KCJ83" s="51"/>
      <c r="KCK83" s="50"/>
      <c r="KCL83" s="23"/>
      <c r="KCM83" s="50"/>
      <c r="KCN83" s="51"/>
      <c r="KCO83" s="50"/>
      <c r="KCP83" s="23"/>
      <c r="KCQ83" s="50"/>
      <c r="KCR83" s="51"/>
      <c r="KCS83" s="50"/>
      <c r="KCT83" s="23"/>
      <c r="KCU83" s="50"/>
      <c r="KCV83" s="51"/>
      <c r="KCW83" s="50"/>
      <c r="KCX83" s="23"/>
      <c r="KCY83" s="50"/>
      <c r="KCZ83" s="51"/>
      <c r="KDA83" s="50"/>
      <c r="KDB83" s="23"/>
      <c r="KDC83" s="50"/>
      <c r="KDD83" s="51"/>
      <c r="KDE83" s="50"/>
      <c r="KDF83" s="23"/>
      <c r="KDG83" s="50"/>
      <c r="KDH83" s="51"/>
      <c r="KDI83" s="50"/>
      <c r="KDJ83" s="23"/>
      <c r="KDK83" s="50"/>
      <c r="KDL83" s="51"/>
      <c r="KDM83" s="50"/>
      <c r="KDN83" s="23"/>
      <c r="KDO83" s="50"/>
      <c r="KDP83" s="51"/>
      <c r="KDQ83" s="50"/>
      <c r="KDR83" s="23"/>
      <c r="KDS83" s="50"/>
      <c r="KDT83" s="51"/>
      <c r="KDU83" s="50"/>
      <c r="KDV83" s="23"/>
      <c r="KDW83" s="50"/>
      <c r="KDX83" s="51"/>
      <c r="KDY83" s="50"/>
      <c r="KDZ83" s="23"/>
      <c r="KEA83" s="50"/>
      <c r="KEB83" s="51"/>
      <c r="KEC83" s="50"/>
      <c r="KED83" s="23"/>
      <c r="KEE83" s="50"/>
      <c r="KEF83" s="51"/>
      <c r="KEG83" s="50"/>
      <c r="KEH83" s="23"/>
      <c r="KEI83" s="50"/>
      <c r="KEJ83" s="51"/>
      <c r="KEK83" s="50"/>
      <c r="KEL83" s="23"/>
      <c r="KEM83" s="50"/>
      <c r="KEN83" s="51"/>
      <c r="KEO83" s="50"/>
      <c r="KEP83" s="23"/>
      <c r="KEQ83" s="50"/>
      <c r="KER83" s="51"/>
      <c r="KES83" s="50"/>
      <c r="KET83" s="23"/>
      <c r="KEU83" s="50"/>
      <c r="KEV83" s="51"/>
      <c r="KEW83" s="50"/>
      <c r="KEX83" s="23"/>
      <c r="KEY83" s="50"/>
      <c r="KEZ83" s="51"/>
      <c r="KFA83" s="50"/>
      <c r="KFB83" s="23"/>
      <c r="KFC83" s="50"/>
      <c r="KFD83" s="51"/>
      <c r="KFE83" s="50"/>
      <c r="KFF83" s="23"/>
      <c r="KFG83" s="50"/>
      <c r="KFH83" s="51"/>
      <c r="KFI83" s="50"/>
      <c r="KFJ83" s="23"/>
      <c r="KFK83" s="50"/>
      <c r="KFL83" s="51"/>
      <c r="KFM83" s="50"/>
      <c r="KFN83" s="23"/>
      <c r="KFO83" s="50"/>
      <c r="KFP83" s="51"/>
      <c r="KFQ83" s="50"/>
      <c r="KFR83" s="23"/>
      <c r="KFS83" s="50"/>
      <c r="KFT83" s="51"/>
      <c r="KFU83" s="50"/>
      <c r="KFV83" s="23"/>
      <c r="KFW83" s="50"/>
      <c r="KFX83" s="51"/>
      <c r="KFY83" s="50"/>
      <c r="KFZ83" s="23"/>
      <c r="KGA83" s="50"/>
      <c r="KGB83" s="51"/>
      <c r="KGC83" s="50"/>
      <c r="KGD83" s="23"/>
      <c r="KGE83" s="50"/>
      <c r="KGF83" s="51"/>
      <c r="KGG83" s="50"/>
      <c r="KGH83" s="23"/>
      <c r="KGI83" s="50"/>
      <c r="KGJ83" s="51"/>
      <c r="KGK83" s="50"/>
      <c r="KGL83" s="23"/>
      <c r="KGM83" s="50"/>
      <c r="KGN83" s="51"/>
      <c r="KGO83" s="50"/>
      <c r="KGP83" s="23"/>
      <c r="KGQ83" s="50"/>
      <c r="KGR83" s="51"/>
      <c r="KGS83" s="50"/>
      <c r="KGT83" s="23"/>
      <c r="KGU83" s="50"/>
      <c r="KGV83" s="51"/>
      <c r="KGW83" s="50"/>
      <c r="KGX83" s="23"/>
      <c r="KGY83" s="50"/>
      <c r="KGZ83" s="51"/>
      <c r="KHA83" s="50"/>
      <c r="KHB83" s="23"/>
      <c r="KHC83" s="50"/>
      <c r="KHD83" s="51"/>
      <c r="KHE83" s="50"/>
      <c r="KHF83" s="23"/>
      <c r="KHG83" s="50"/>
      <c r="KHH83" s="51"/>
      <c r="KHI83" s="50"/>
      <c r="KHJ83" s="23"/>
      <c r="KHK83" s="50"/>
      <c r="KHL83" s="51"/>
      <c r="KHM83" s="50"/>
      <c r="KHN83" s="23"/>
      <c r="KHO83" s="50"/>
      <c r="KHP83" s="51"/>
      <c r="KHQ83" s="50"/>
      <c r="KHR83" s="23"/>
      <c r="KHS83" s="50"/>
      <c r="KHT83" s="51"/>
      <c r="KHU83" s="50"/>
      <c r="KHV83" s="23"/>
      <c r="KHW83" s="50"/>
      <c r="KHX83" s="51"/>
      <c r="KHY83" s="50"/>
      <c r="KHZ83" s="23"/>
      <c r="KIA83" s="50"/>
      <c r="KIB83" s="51"/>
      <c r="KIC83" s="50"/>
      <c r="KID83" s="23"/>
      <c r="KIE83" s="50"/>
      <c r="KIF83" s="51"/>
      <c r="KIG83" s="50"/>
      <c r="KIH83" s="23"/>
      <c r="KII83" s="50"/>
      <c r="KIJ83" s="51"/>
      <c r="KIK83" s="50"/>
      <c r="KIL83" s="23"/>
      <c r="KIM83" s="50"/>
      <c r="KIN83" s="51"/>
      <c r="KIO83" s="50"/>
      <c r="KIP83" s="23"/>
      <c r="KIQ83" s="50"/>
      <c r="KIR83" s="51"/>
      <c r="KIS83" s="50"/>
      <c r="KIT83" s="23"/>
      <c r="KIU83" s="50"/>
      <c r="KIV83" s="51"/>
      <c r="KIW83" s="50"/>
      <c r="KIX83" s="23"/>
      <c r="KIY83" s="50"/>
      <c r="KIZ83" s="51"/>
      <c r="KJA83" s="50"/>
      <c r="KJB83" s="23"/>
      <c r="KJC83" s="50"/>
      <c r="KJD83" s="51"/>
      <c r="KJE83" s="50"/>
      <c r="KJF83" s="23"/>
      <c r="KJG83" s="50"/>
      <c r="KJH83" s="51"/>
      <c r="KJI83" s="50"/>
      <c r="KJJ83" s="23"/>
      <c r="KJK83" s="50"/>
      <c r="KJL83" s="51"/>
      <c r="KJM83" s="50"/>
      <c r="KJN83" s="23"/>
      <c r="KJO83" s="50"/>
      <c r="KJP83" s="51"/>
      <c r="KJQ83" s="50"/>
      <c r="KJR83" s="23"/>
      <c r="KJS83" s="50"/>
      <c r="KJT83" s="51"/>
      <c r="KJU83" s="50"/>
      <c r="KJV83" s="23"/>
      <c r="KJW83" s="50"/>
      <c r="KJX83" s="51"/>
      <c r="KJY83" s="50"/>
      <c r="KJZ83" s="23"/>
      <c r="KKA83" s="50"/>
      <c r="KKB83" s="51"/>
      <c r="KKC83" s="50"/>
      <c r="KKD83" s="23"/>
      <c r="KKE83" s="50"/>
      <c r="KKF83" s="51"/>
      <c r="KKG83" s="50"/>
      <c r="KKH83" s="23"/>
      <c r="KKI83" s="50"/>
      <c r="KKJ83" s="51"/>
      <c r="KKK83" s="50"/>
      <c r="KKL83" s="23"/>
      <c r="KKM83" s="50"/>
      <c r="KKN83" s="51"/>
      <c r="KKO83" s="50"/>
      <c r="KKP83" s="23"/>
      <c r="KKQ83" s="50"/>
      <c r="KKR83" s="51"/>
      <c r="KKS83" s="50"/>
      <c r="KKT83" s="23"/>
      <c r="KKU83" s="50"/>
      <c r="KKV83" s="51"/>
      <c r="KKW83" s="50"/>
      <c r="KKX83" s="23"/>
      <c r="KKY83" s="50"/>
      <c r="KKZ83" s="51"/>
      <c r="KLA83" s="50"/>
      <c r="KLB83" s="23"/>
      <c r="KLC83" s="50"/>
      <c r="KLD83" s="51"/>
      <c r="KLE83" s="50"/>
      <c r="KLF83" s="23"/>
      <c r="KLG83" s="50"/>
      <c r="KLH83" s="51"/>
      <c r="KLI83" s="50"/>
      <c r="KLJ83" s="23"/>
      <c r="KLK83" s="50"/>
      <c r="KLL83" s="51"/>
      <c r="KLM83" s="50"/>
      <c r="KLN83" s="23"/>
      <c r="KLO83" s="50"/>
      <c r="KLP83" s="51"/>
      <c r="KLQ83" s="50"/>
      <c r="KLR83" s="23"/>
      <c r="KLS83" s="50"/>
      <c r="KLT83" s="51"/>
      <c r="KLU83" s="50"/>
      <c r="KLV83" s="23"/>
      <c r="KLW83" s="50"/>
      <c r="KLX83" s="51"/>
      <c r="KLY83" s="50"/>
      <c r="KLZ83" s="23"/>
      <c r="KMA83" s="50"/>
      <c r="KMB83" s="51"/>
      <c r="KMC83" s="50"/>
      <c r="KMD83" s="23"/>
      <c r="KME83" s="50"/>
      <c r="KMF83" s="51"/>
      <c r="KMG83" s="50"/>
      <c r="KMH83" s="23"/>
      <c r="KMI83" s="50"/>
      <c r="KMJ83" s="51"/>
      <c r="KMK83" s="50"/>
      <c r="KML83" s="23"/>
      <c r="KMM83" s="50"/>
      <c r="KMN83" s="51"/>
      <c r="KMO83" s="50"/>
      <c r="KMP83" s="23"/>
      <c r="KMQ83" s="50"/>
      <c r="KMR83" s="51"/>
      <c r="KMS83" s="50"/>
      <c r="KMT83" s="23"/>
      <c r="KMU83" s="50"/>
      <c r="KMV83" s="51"/>
      <c r="KMW83" s="50"/>
      <c r="KMX83" s="23"/>
      <c r="KMY83" s="50"/>
      <c r="KMZ83" s="51"/>
      <c r="KNA83" s="50"/>
      <c r="KNB83" s="23"/>
      <c r="KNC83" s="50"/>
      <c r="KND83" s="51"/>
      <c r="KNE83" s="50"/>
      <c r="KNF83" s="23"/>
      <c r="KNG83" s="50"/>
      <c r="KNH83" s="51"/>
      <c r="KNI83" s="50"/>
      <c r="KNJ83" s="23"/>
      <c r="KNK83" s="50"/>
      <c r="KNL83" s="51"/>
      <c r="KNM83" s="50"/>
      <c r="KNN83" s="23"/>
      <c r="KNO83" s="50"/>
      <c r="KNP83" s="51"/>
      <c r="KNQ83" s="50"/>
      <c r="KNR83" s="23"/>
      <c r="KNS83" s="50"/>
      <c r="KNT83" s="51"/>
      <c r="KNU83" s="50"/>
      <c r="KNV83" s="23"/>
      <c r="KNW83" s="50"/>
      <c r="KNX83" s="51"/>
      <c r="KNY83" s="50"/>
      <c r="KNZ83" s="23"/>
      <c r="KOA83" s="50"/>
      <c r="KOB83" s="51"/>
      <c r="KOC83" s="50"/>
      <c r="KOD83" s="23"/>
      <c r="KOE83" s="50"/>
      <c r="KOF83" s="51"/>
      <c r="KOG83" s="50"/>
      <c r="KOH83" s="23"/>
      <c r="KOI83" s="50"/>
      <c r="KOJ83" s="51"/>
      <c r="KOK83" s="50"/>
      <c r="KOL83" s="23"/>
      <c r="KOM83" s="50"/>
      <c r="KON83" s="51"/>
      <c r="KOO83" s="50"/>
      <c r="KOP83" s="23"/>
      <c r="KOQ83" s="50"/>
      <c r="KOR83" s="51"/>
      <c r="KOS83" s="50"/>
      <c r="KOT83" s="23"/>
      <c r="KOU83" s="50"/>
      <c r="KOV83" s="51"/>
      <c r="KOW83" s="50"/>
      <c r="KOX83" s="23"/>
      <c r="KOY83" s="50"/>
      <c r="KOZ83" s="51"/>
      <c r="KPA83" s="50"/>
      <c r="KPB83" s="23"/>
      <c r="KPC83" s="50"/>
      <c r="KPD83" s="51"/>
      <c r="KPE83" s="50"/>
      <c r="KPF83" s="23"/>
      <c r="KPG83" s="50"/>
      <c r="KPH83" s="51"/>
      <c r="KPI83" s="50"/>
      <c r="KPJ83" s="23"/>
      <c r="KPK83" s="50"/>
      <c r="KPL83" s="51"/>
      <c r="KPM83" s="50"/>
      <c r="KPN83" s="23"/>
      <c r="KPO83" s="50"/>
      <c r="KPP83" s="51"/>
      <c r="KPQ83" s="50"/>
      <c r="KPR83" s="23"/>
      <c r="KPS83" s="50"/>
      <c r="KPT83" s="51"/>
      <c r="KPU83" s="50"/>
      <c r="KPV83" s="23"/>
      <c r="KPW83" s="50"/>
      <c r="KPX83" s="51"/>
      <c r="KPY83" s="50"/>
      <c r="KPZ83" s="23"/>
      <c r="KQA83" s="50"/>
      <c r="KQB83" s="51"/>
      <c r="KQC83" s="50"/>
      <c r="KQD83" s="23"/>
      <c r="KQE83" s="50"/>
      <c r="KQF83" s="51"/>
      <c r="KQG83" s="50"/>
      <c r="KQH83" s="23"/>
      <c r="KQI83" s="50"/>
      <c r="KQJ83" s="51"/>
      <c r="KQK83" s="50"/>
      <c r="KQL83" s="23"/>
      <c r="KQM83" s="50"/>
      <c r="KQN83" s="51"/>
      <c r="KQO83" s="50"/>
      <c r="KQP83" s="23"/>
      <c r="KQQ83" s="50"/>
      <c r="KQR83" s="51"/>
      <c r="KQS83" s="50"/>
      <c r="KQT83" s="23"/>
      <c r="KQU83" s="50"/>
      <c r="KQV83" s="51"/>
      <c r="KQW83" s="50"/>
      <c r="KQX83" s="23"/>
      <c r="KQY83" s="50"/>
      <c r="KQZ83" s="51"/>
      <c r="KRA83" s="50"/>
      <c r="KRB83" s="23"/>
      <c r="KRC83" s="50"/>
      <c r="KRD83" s="51"/>
      <c r="KRE83" s="50"/>
      <c r="KRF83" s="23"/>
      <c r="KRG83" s="50"/>
      <c r="KRH83" s="51"/>
      <c r="KRI83" s="50"/>
      <c r="KRJ83" s="23"/>
      <c r="KRK83" s="50"/>
      <c r="KRL83" s="51"/>
      <c r="KRM83" s="50"/>
      <c r="KRN83" s="23"/>
      <c r="KRO83" s="50"/>
      <c r="KRP83" s="51"/>
      <c r="KRQ83" s="50"/>
      <c r="KRR83" s="23"/>
      <c r="KRS83" s="50"/>
      <c r="KRT83" s="51"/>
      <c r="KRU83" s="50"/>
      <c r="KRV83" s="23"/>
      <c r="KRW83" s="50"/>
      <c r="KRX83" s="51"/>
      <c r="KRY83" s="50"/>
      <c r="KRZ83" s="23"/>
      <c r="KSA83" s="50"/>
      <c r="KSB83" s="51"/>
      <c r="KSC83" s="50"/>
      <c r="KSD83" s="23"/>
      <c r="KSE83" s="50"/>
      <c r="KSF83" s="51"/>
      <c r="KSG83" s="50"/>
      <c r="KSH83" s="23"/>
      <c r="KSI83" s="50"/>
      <c r="KSJ83" s="51"/>
      <c r="KSK83" s="50"/>
      <c r="KSL83" s="23"/>
      <c r="KSM83" s="50"/>
      <c r="KSN83" s="51"/>
      <c r="KSO83" s="50"/>
      <c r="KSP83" s="23"/>
      <c r="KSQ83" s="50"/>
      <c r="KSR83" s="51"/>
      <c r="KSS83" s="50"/>
      <c r="KST83" s="23"/>
      <c r="KSU83" s="50"/>
      <c r="KSV83" s="51"/>
      <c r="KSW83" s="50"/>
      <c r="KSX83" s="23"/>
      <c r="KSY83" s="50"/>
      <c r="KSZ83" s="51"/>
      <c r="KTA83" s="50"/>
      <c r="KTB83" s="23"/>
      <c r="KTC83" s="50"/>
      <c r="KTD83" s="51"/>
      <c r="KTE83" s="50"/>
      <c r="KTF83" s="23"/>
      <c r="KTG83" s="50"/>
      <c r="KTH83" s="51"/>
      <c r="KTI83" s="50"/>
      <c r="KTJ83" s="23"/>
      <c r="KTK83" s="50"/>
      <c r="KTL83" s="51"/>
      <c r="KTM83" s="50"/>
      <c r="KTN83" s="23"/>
      <c r="KTO83" s="50"/>
      <c r="KTP83" s="51"/>
      <c r="KTQ83" s="50"/>
      <c r="KTR83" s="23"/>
      <c r="KTS83" s="50"/>
      <c r="KTT83" s="51"/>
      <c r="KTU83" s="50"/>
      <c r="KTV83" s="23"/>
      <c r="KTW83" s="50"/>
      <c r="KTX83" s="51"/>
      <c r="KTY83" s="50"/>
      <c r="KTZ83" s="23"/>
      <c r="KUA83" s="50"/>
      <c r="KUB83" s="51"/>
      <c r="KUC83" s="50"/>
      <c r="KUD83" s="23"/>
      <c r="KUE83" s="50"/>
      <c r="KUF83" s="51"/>
      <c r="KUG83" s="50"/>
      <c r="KUH83" s="23"/>
      <c r="KUI83" s="50"/>
      <c r="KUJ83" s="51"/>
      <c r="KUK83" s="50"/>
      <c r="KUL83" s="23"/>
      <c r="KUM83" s="50"/>
      <c r="KUN83" s="51"/>
      <c r="KUO83" s="50"/>
      <c r="KUP83" s="23"/>
      <c r="KUQ83" s="50"/>
      <c r="KUR83" s="51"/>
      <c r="KUS83" s="50"/>
      <c r="KUT83" s="23"/>
      <c r="KUU83" s="50"/>
      <c r="KUV83" s="51"/>
      <c r="KUW83" s="50"/>
      <c r="KUX83" s="23"/>
      <c r="KUY83" s="50"/>
      <c r="KUZ83" s="51"/>
      <c r="KVA83" s="50"/>
      <c r="KVB83" s="23"/>
      <c r="KVC83" s="50"/>
      <c r="KVD83" s="51"/>
      <c r="KVE83" s="50"/>
      <c r="KVF83" s="23"/>
      <c r="KVG83" s="50"/>
      <c r="KVH83" s="51"/>
      <c r="KVI83" s="50"/>
      <c r="KVJ83" s="23"/>
      <c r="KVK83" s="50"/>
      <c r="KVL83" s="51"/>
      <c r="KVM83" s="50"/>
      <c r="KVN83" s="23"/>
      <c r="KVO83" s="50"/>
      <c r="KVP83" s="51"/>
      <c r="KVQ83" s="50"/>
      <c r="KVR83" s="23"/>
      <c r="KVS83" s="50"/>
      <c r="KVT83" s="51"/>
      <c r="KVU83" s="50"/>
      <c r="KVV83" s="23"/>
      <c r="KVW83" s="50"/>
      <c r="KVX83" s="51"/>
      <c r="KVY83" s="50"/>
      <c r="KVZ83" s="23"/>
      <c r="KWA83" s="50"/>
      <c r="KWB83" s="51"/>
      <c r="KWC83" s="50"/>
      <c r="KWD83" s="23"/>
      <c r="KWE83" s="50"/>
      <c r="KWF83" s="51"/>
      <c r="KWG83" s="50"/>
      <c r="KWH83" s="23"/>
      <c r="KWI83" s="50"/>
      <c r="KWJ83" s="51"/>
      <c r="KWK83" s="50"/>
      <c r="KWL83" s="23"/>
      <c r="KWM83" s="50"/>
      <c r="KWN83" s="51"/>
      <c r="KWO83" s="50"/>
      <c r="KWP83" s="23"/>
      <c r="KWQ83" s="50"/>
      <c r="KWR83" s="51"/>
      <c r="KWS83" s="50"/>
      <c r="KWT83" s="23"/>
      <c r="KWU83" s="50"/>
      <c r="KWV83" s="51"/>
      <c r="KWW83" s="50"/>
      <c r="KWX83" s="23"/>
      <c r="KWY83" s="50"/>
      <c r="KWZ83" s="51"/>
      <c r="KXA83" s="50"/>
      <c r="KXB83" s="23"/>
      <c r="KXC83" s="50"/>
      <c r="KXD83" s="51"/>
      <c r="KXE83" s="50"/>
      <c r="KXF83" s="23"/>
      <c r="KXG83" s="50"/>
      <c r="KXH83" s="51"/>
      <c r="KXI83" s="50"/>
      <c r="KXJ83" s="23"/>
      <c r="KXK83" s="50"/>
      <c r="KXL83" s="51"/>
      <c r="KXM83" s="50"/>
      <c r="KXN83" s="23"/>
      <c r="KXO83" s="50"/>
      <c r="KXP83" s="51"/>
      <c r="KXQ83" s="50"/>
      <c r="KXR83" s="23"/>
      <c r="KXS83" s="50"/>
      <c r="KXT83" s="51"/>
      <c r="KXU83" s="50"/>
      <c r="KXV83" s="23"/>
      <c r="KXW83" s="50"/>
      <c r="KXX83" s="51"/>
      <c r="KXY83" s="50"/>
      <c r="KXZ83" s="23"/>
      <c r="KYA83" s="50"/>
      <c r="KYB83" s="51"/>
      <c r="KYC83" s="50"/>
      <c r="KYD83" s="23"/>
      <c r="KYE83" s="50"/>
      <c r="KYF83" s="51"/>
      <c r="KYG83" s="50"/>
      <c r="KYH83" s="23"/>
      <c r="KYI83" s="50"/>
      <c r="KYJ83" s="51"/>
      <c r="KYK83" s="50"/>
      <c r="KYL83" s="23"/>
      <c r="KYM83" s="50"/>
      <c r="KYN83" s="51"/>
      <c r="KYO83" s="50"/>
      <c r="KYP83" s="23"/>
      <c r="KYQ83" s="50"/>
      <c r="KYR83" s="51"/>
      <c r="KYS83" s="50"/>
      <c r="KYT83" s="23"/>
      <c r="KYU83" s="50"/>
      <c r="KYV83" s="51"/>
      <c r="KYW83" s="50"/>
      <c r="KYX83" s="23"/>
      <c r="KYY83" s="50"/>
      <c r="KYZ83" s="51"/>
      <c r="KZA83" s="50"/>
      <c r="KZB83" s="23"/>
      <c r="KZC83" s="50"/>
      <c r="KZD83" s="51"/>
      <c r="KZE83" s="50"/>
      <c r="KZF83" s="23"/>
      <c r="KZG83" s="50"/>
      <c r="KZH83" s="51"/>
      <c r="KZI83" s="50"/>
      <c r="KZJ83" s="23"/>
      <c r="KZK83" s="50"/>
      <c r="KZL83" s="51"/>
      <c r="KZM83" s="50"/>
      <c r="KZN83" s="23"/>
      <c r="KZO83" s="50"/>
      <c r="KZP83" s="51"/>
      <c r="KZQ83" s="50"/>
      <c r="KZR83" s="23"/>
      <c r="KZS83" s="50"/>
      <c r="KZT83" s="51"/>
      <c r="KZU83" s="50"/>
      <c r="KZV83" s="23"/>
      <c r="KZW83" s="50"/>
      <c r="KZX83" s="51"/>
      <c r="KZY83" s="50"/>
      <c r="KZZ83" s="23"/>
      <c r="LAA83" s="50"/>
      <c r="LAB83" s="51"/>
      <c r="LAC83" s="50"/>
      <c r="LAD83" s="23"/>
      <c r="LAE83" s="50"/>
      <c r="LAF83" s="51"/>
      <c r="LAG83" s="50"/>
      <c r="LAH83" s="23"/>
      <c r="LAI83" s="50"/>
      <c r="LAJ83" s="51"/>
      <c r="LAK83" s="50"/>
      <c r="LAL83" s="23"/>
      <c r="LAM83" s="50"/>
      <c r="LAN83" s="51"/>
      <c r="LAO83" s="50"/>
      <c r="LAP83" s="23"/>
      <c r="LAQ83" s="50"/>
      <c r="LAR83" s="51"/>
      <c r="LAS83" s="50"/>
      <c r="LAT83" s="23"/>
      <c r="LAU83" s="50"/>
      <c r="LAV83" s="51"/>
      <c r="LAW83" s="50"/>
      <c r="LAX83" s="23"/>
      <c r="LAY83" s="50"/>
      <c r="LAZ83" s="51"/>
      <c r="LBA83" s="50"/>
      <c r="LBB83" s="23"/>
      <c r="LBC83" s="50"/>
      <c r="LBD83" s="51"/>
      <c r="LBE83" s="50"/>
      <c r="LBF83" s="23"/>
      <c r="LBG83" s="50"/>
      <c r="LBH83" s="51"/>
      <c r="LBI83" s="50"/>
      <c r="LBJ83" s="23"/>
      <c r="LBK83" s="50"/>
      <c r="LBL83" s="51"/>
      <c r="LBM83" s="50"/>
      <c r="LBN83" s="23"/>
      <c r="LBO83" s="50"/>
      <c r="LBP83" s="51"/>
      <c r="LBQ83" s="50"/>
      <c r="LBR83" s="23"/>
      <c r="LBS83" s="50"/>
      <c r="LBT83" s="51"/>
      <c r="LBU83" s="50"/>
      <c r="LBV83" s="23"/>
      <c r="LBW83" s="50"/>
      <c r="LBX83" s="51"/>
      <c r="LBY83" s="50"/>
      <c r="LBZ83" s="23"/>
      <c r="LCA83" s="50"/>
      <c r="LCB83" s="51"/>
      <c r="LCC83" s="50"/>
      <c r="LCD83" s="23"/>
      <c r="LCE83" s="50"/>
      <c r="LCF83" s="51"/>
      <c r="LCG83" s="50"/>
      <c r="LCH83" s="23"/>
      <c r="LCI83" s="50"/>
      <c r="LCJ83" s="51"/>
      <c r="LCK83" s="50"/>
      <c r="LCL83" s="23"/>
      <c r="LCM83" s="50"/>
      <c r="LCN83" s="51"/>
      <c r="LCO83" s="50"/>
      <c r="LCP83" s="23"/>
      <c r="LCQ83" s="50"/>
      <c r="LCR83" s="51"/>
      <c r="LCS83" s="50"/>
      <c r="LCT83" s="23"/>
      <c r="LCU83" s="50"/>
      <c r="LCV83" s="51"/>
      <c r="LCW83" s="50"/>
      <c r="LCX83" s="23"/>
      <c r="LCY83" s="50"/>
      <c r="LCZ83" s="51"/>
      <c r="LDA83" s="50"/>
      <c r="LDB83" s="23"/>
      <c r="LDC83" s="50"/>
      <c r="LDD83" s="51"/>
      <c r="LDE83" s="50"/>
      <c r="LDF83" s="23"/>
      <c r="LDG83" s="50"/>
      <c r="LDH83" s="51"/>
      <c r="LDI83" s="50"/>
      <c r="LDJ83" s="23"/>
      <c r="LDK83" s="50"/>
      <c r="LDL83" s="51"/>
      <c r="LDM83" s="50"/>
      <c r="LDN83" s="23"/>
      <c r="LDO83" s="50"/>
      <c r="LDP83" s="51"/>
      <c r="LDQ83" s="50"/>
      <c r="LDR83" s="23"/>
      <c r="LDS83" s="50"/>
      <c r="LDT83" s="51"/>
      <c r="LDU83" s="50"/>
      <c r="LDV83" s="23"/>
      <c r="LDW83" s="50"/>
      <c r="LDX83" s="51"/>
      <c r="LDY83" s="50"/>
      <c r="LDZ83" s="23"/>
      <c r="LEA83" s="50"/>
      <c r="LEB83" s="51"/>
      <c r="LEC83" s="50"/>
      <c r="LED83" s="23"/>
      <c r="LEE83" s="50"/>
      <c r="LEF83" s="51"/>
      <c r="LEG83" s="50"/>
      <c r="LEH83" s="23"/>
      <c r="LEI83" s="50"/>
      <c r="LEJ83" s="51"/>
      <c r="LEK83" s="50"/>
      <c r="LEL83" s="23"/>
      <c r="LEM83" s="50"/>
      <c r="LEN83" s="51"/>
      <c r="LEO83" s="50"/>
      <c r="LEP83" s="23"/>
      <c r="LEQ83" s="50"/>
      <c r="LER83" s="51"/>
      <c r="LES83" s="50"/>
      <c r="LET83" s="23"/>
      <c r="LEU83" s="50"/>
      <c r="LEV83" s="51"/>
      <c r="LEW83" s="50"/>
      <c r="LEX83" s="23"/>
      <c r="LEY83" s="50"/>
      <c r="LEZ83" s="51"/>
      <c r="LFA83" s="50"/>
      <c r="LFB83" s="23"/>
      <c r="LFC83" s="50"/>
      <c r="LFD83" s="51"/>
      <c r="LFE83" s="50"/>
      <c r="LFF83" s="23"/>
      <c r="LFG83" s="50"/>
      <c r="LFH83" s="51"/>
      <c r="LFI83" s="50"/>
      <c r="LFJ83" s="23"/>
      <c r="LFK83" s="50"/>
      <c r="LFL83" s="51"/>
      <c r="LFM83" s="50"/>
      <c r="LFN83" s="23"/>
      <c r="LFO83" s="50"/>
      <c r="LFP83" s="51"/>
      <c r="LFQ83" s="50"/>
      <c r="LFR83" s="23"/>
      <c r="LFS83" s="50"/>
      <c r="LFT83" s="51"/>
      <c r="LFU83" s="50"/>
      <c r="LFV83" s="23"/>
      <c r="LFW83" s="50"/>
      <c r="LFX83" s="51"/>
      <c r="LFY83" s="50"/>
      <c r="LFZ83" s="23"/>
      <c r="LGA83" s="50"/>
      <c r="LGB83" s="51"/>
      <c r="LGC83" s="50"/>
      <c r="LGD83" s="23"/>
      <c r="LGE83" s="50"/>
      <c r="LGF83" s="51"/>
      <c r="LGG83" s="50"/>
      <c r="LGH83" s="23"/>
      <c r="LGI83" s="50"/>
      <c r="LGJ83" s="51"/>
      <c r="LGK83" s="50"/>
      <c r="LGL83" s="23"/>
      <c r="LGM83" s="50"/>
      <c r="LGN83" s="51"/>
      <c r="LGO83" s="50"/>
      <c r="LGP83" s="23"/>
      <c r="LGQ83" s="50"/>
      <c r="LGR83" s="51"/>
      <c r="LGS83" s="50"/>
      <c r="LGT83" s="23"/>
      <c r="LGU83" s="50"/>
      <c r="LGV83" s="51"/>
      <c r="LGW83" s="50"/>
      <c r="LGX83" s="23"/>
      <c r="LGY83" s="50"/>
      <c r="LGZ83" s="51"/>
      <c r="LHA83" s="50"/>
      <c r="LHB83" s="23"/>
      <c r="LHC83" s="50"/>
      <c r="LHD83" s="51"/>
      <c r="LHE83" s="50"/>
      <c r="LHF83" s="23"/>
      <c r="LHG83" s="50"/>
      <c r="LHH83" s="51"/>
      <c r="LHI83" s="50"/>
      <c r="LHJ83" s="23"/>
      <c r="LHK83" s="50"/>
      <c r="LHL83" s="51"/>
      <c r="LHM83" s="50"/>
      <c r="LHN83" s="23"/>
      <c r="LHO83" s="50"/>
      <c r="LHP83" s="51"/>
      <c r="LHQ83" s="50"/>
      <c r="LHR83" s="23"/>
      <c r="LHS83" s="50"/>
      <c r="LHT83" s="51"/>
      <c r="LHU83" s="50"/>
      <c r="LHV83" s="23"/>
      <c r="LHW83" s="50"/>
      <c r="LHX83" s="51"/>
      <c r="LHY83" s="50"/>
      <c r="LHZ83" s="23"/>
      <c r="LIA83" s="50"/>
      <c r="LIB83" s="51"/>
      <c r="LIC83" s="50"/>
      <c r="LID83" s="23"/>
      <c r="LIE83" s="50"/>
      <c r="LIF83" s="51"/>
      <c r="LIG83" s="50"/>
      <c r="LIH83" s="23"/>
      <c r="LII83" s="50"/>
      <c r="LIJ83" s="51"/>
      <c r="LIK83" s="50"/>
      <c r="LIL83" s="23"/>
      <c r="LIM83" s="50"/>
      <c r="LIN83" s="51"/>
      <c r="LIO83" s="50"/>
      <c r="LIP83" s="23"/>
      <c r="LIQ83" s="50"/>
      <c r="LIR83" s="51"/>
      <c r="LIS83" s="50"/>
      <c r="LIT83" s="23"/>
      <c r="LIU83" s="50"/>
      <c r="LIV83" s="51"/>
      <c r="LIW83" s="50"/>
      <c r="LIX83" s="23"/>
      <c r="LIY83" s="50"/>
      <c r="LIZ83" s="51"/>
      <c r="LJA83" s="50"/>
      <c r="LJB83" s="23"/>
      <c r="LJC83" s="50"/>
      <c r="LJD83" s="51"/>
      <c r="LJE83" s="50"/>
      <c r="LJF83" s="23"/>
      <c r="LJG83" s="50"/>
      <c r="LJH83" s="51"/>
      <c r="LJI83" s="50"/>
      <c r="LJJ83" s="23"/>
      <c r="LJK83" s="50"/>
      <c r="LJL83" s="51"/>
      <c r="LJM83" s="50"/>
      <c r="LJN83" s="23"/>
      <c r="LJO83" s="50"/>
      <c r="LJP83" s="51"/>
      <c r="LJQ83" s="50"/>
      <c r="LJR83" s="23"/>
      <c r="LJS83" s="50"/>
      <c r="LJT83" s="51"/>
      <c r="LJU83" s="50"/>
      <c r="LJV83" s="23"/>
      <c r="LJW83" s="50"/>
      <c r="LJX83" s="51"/>
      <c r="LJY83" s="50"/>
      <c r="LJZ83" s="23"/>
      <c r="LKA83" s="50"/>
      <c r="LKB83" s="51"/>
      <c r="LKC83" s="50"/>
      <c r="LKD83" s="23"/>
      <c r="LKE83" s="50"/>
      <c r="LKF83" s="51"/>
      <c r="LKG83" s="50"/>
      <c r="LKH83" s="23"/>
      <c r="LKI83" s="50"/>
      <c r="LKJ83" s="51"/>
      <c r="LKK83" s="50"/>
      <c r="LKL83" s="23"/>
      <c r="LKM83" s="50"/>
      <c r="LKN83" s="51"/>
      <c r="LKO83" s="50"/>
      <c r="LKP83" s="23"/>
      <c r="LKQ83" s="50"/>
      <c r="LKR83" s="51"/>
      <c r="LKS83" s="50"/>
      <c r="LKT83" s="23"/>
      <c r="LKU83" s="50"/>
      <c r="LKV83" s="51"/>
      <c r="LKW83" s="50"/>
      <c r="LKX83" s="23"/>
      <c r="LKY83" s="50"/>
      <c r="LKZ83" s="51"/>
      <c r="LLA83" s="50"/>
      <c r="LLB83" s="23"/>
      <c r="LLC83" s="50"/>
      <c r="LLD83" s="51"/>
      <c r="LLE83" s="50"/>
      <c r="LLF83" s="23"/>
      <c r="LLG83" s="50"/>
      <c r="LLH83" s="51"/>
      <c r="LLI83" s="50"/>
      <c r="LLJ83" s="23"/>
      <c r="LLK83" s="50"/>
      <c r="LLL83" s="51"/>
      <c r="LLM83" s="50"/>
      <c r="LLN83" s="23"/>
      <c r="LLO83" s="50"/>
      <c r="LLP83" s="51"/>
      <c r="LLQ83" s="50"/>
      <c r="LLR83" s="23"/>
      <c r="LLS83" s="50"/>
      <c r="LLT83" s="51"/>
      <c r="LLU83" s="50"/>
      <c r="LLV83" s="23"/>
      <c r="LLW83" s="50"/>
      <c r="LLX83" s="51"/>
      <c r="LLY83" s="50"/>
      <c r="LLZ83" s="23"/>
      <c r="LMA83" s="50"/>
      <c r="LMB83" s="51"/>
      <c r="LMC83" s="50"/>
      <c r="LMD83" s="23"/>
      <c r="LME83" s="50"/>
      <c r="LMF83" s="51"/>
      <c r="LMG83" s="50"/>
      <c r="LMH83" s="23"/>
      <c r="LMI83" s="50"/>
      <c r="LMJ83" s="51"/>
      <c r="LMK83" s="50"/>
      <c r="LML83" s="23"/>
      <c r="LMM83" s="50"/>
      <c r="LMN83" s="51"/>
      <c r="LMO83" s="50"/>
      <c r="LMP83" s="23"/>
      <c r="LMQ83" s="50"/>
      <c r="LMR83" s="51"/>
      <c r="LMS83" s="50"/>
      <c r="LMT83" s="23"/>
      <c r="LMU83" s="50"/>
      <c r="LMV83" s="51"/>
      <c r="LMW83" s="50"/>
      <c r="LMX83" s="23"/>
      <c r="LMY83" s="50"/>
      <c r="LMZ83" s="51"/>
      <c r="LNA83" s="50"/>
      <c r="LNB83" s="23"/>
      <c r="LNC83" s="50"/>
      <c r="LND83" s="51"/>
      <c r="LNE83" s="50"/>
      <c r="LNF83" s="23"/>
      <c r="LNG83" s="50"/>
      <c r="LNH83" s="51"/>
      <c r="LNI83" s="50"/>
      <c r="LNJ83" s="23"/>
      <c r="LNK83" s="50"/>
      <c r="LNL83" s="51"/>
      <c r="LNM83" s="50"/>
      <c r="LNN83" s="23"/>
      <c r="LNO83" s="50"/>
      <c r="LNP83" s="51"/>
      <c r="LNQ83" s="50"/>
      <c r="LNR83" s="23"/>
      <c r="LNS83" s="50"/>
      <c r="LNT83" s="51"/>
      <c r="LNU83" s="50"/>
      <c r="LNV83" s="23"/>
      <c r="LNW83" s="50"/>
      <c r="LNX83" s="51"/>
      <c r="LNY83" s="50"/>
      <c r="LNZ83" s="23"/>
      <c r="LOA83" s="50"/>
      <c r="LOB83" s="51"/>
      <c r="LOC83" s="50"/>
      <c r="LOD83" s="23"/>
      <c r="LOE83" s="50"/>
      <c r="LOF83" s="51"/>
      <c r="LOG83" s="50"/>
      <c r="LOH83" s="23"/>
      <c r="LOI83" s="50"/>
      <c r="LOJ83" s="51"/>
      <c r="LOK83" s="50"/>
      <c r="LOL83" s="23"/>
      <c r="LOM83" s="50"/>
      <c r="LON83" s="51"/>
      <c r="LOO83" s="50"/>
      <c r="LOP83" s="23"/>
      <c r="LOQ83" s="50"/>
      <c r="LOR83" s="51"/>
      <c r="LOS83" s="50"/>
      <c r="LOT83" s="23"/>
      <c r="LOU83" s="50"/>
      <c r="LOV83" s="51"/>
      <c r="LOW83" s="50"/>
      <c r="LOX83" s="23"/>
      <c r="LOY83" s="50"/>
      <c r="LOZ83" s="51"/>
      <c r="LPA83" s="50"/>
      <c r="LPB83" s="23"/>
      <c r="LPC83" s="50"/>
      <c r="LPD83" s="51"/>
      <c r="LPE83" s="50"/>
      <c r="LPF83" s="23"/>
      <c r="LPG83" s="50"/>
      <c r="LPH83" s="51"/>
      <c r="LPI83" s="50"/>
      <c r="LPJ83" s="23"/>
      <c r="LPK83" s="50"/>
      <c r="LPL83" s="51"/>
      <c r="LPM83" s="50"/>
      <c r="LPN83" s="23"/>
      <c r="LPO83" s="50"/>
      <c r="LPP83" s="51"/>
      <c r="LPQ83" s="50"/>
      <c r="LPR83" s="23"/>
      <c r="LPS83" s="50"/>
      <c r="LPT83" s="51"/>
      <c r="LPU83" s="50"/>
      <c r="LPV83" s="23"/>
      <c r="LPW83" s="50"/>
      <c r="LPX83" s="51"/>
      <c r="LPY83" s="50"/>
      <c r="LPZ83" s="23"/>
      <c r="LQA83" s="50"/>
      <c r="LQB83" s="51"/>
      <c r="LQC83" s="50"/>
      <c r="LQD83" s="23"/>
      <c r="LQE83" s="50"/>
      <c r="LQF83" s="51"/>
      <c r="LQG83" s="50"/>
      <c r="LQH83" s="23"/>
      <c r="LQI83" s="50"/>
      <c r="LQJ83" s="51"/>
      <c r="LQK83" s="50"/>
      <c r="LQL83" s="23"/>
      <c r="LQM83" s="50"/>
      <c r="LQN83" s="51"/>
      <c r="LQO83" s="50"/>
      <c r="LQP83" s="23"/>
      <c r="LQQ83" s="50"/>
      <c r="LQR83" s="51"/>
      <c r="LQS83" s="50"/>
      <c r="LQT83" s="23"/>
      <c r="LQU83" s="50"/>
      <c r="LQV83" s="51"/>
      <c r="LQW83" s="50"/>
      <c r="LQX83" s="23"/>
      <c r="LQY83" s="50"/>
      <c r="LQZ83" s="51"/>
      <c r="LRA83" s="50"/>
      <c r="LRB83" s="23"/>
      <c r="LRC83" s="50"/>
      <c r="LRD83" s="51"/>
      <c r="LRE83" s="50"/>
      <c r="LRF83" s="23"/>
      <c r="LRG83" s="50"/>
      <c r="LRH83" s="51"/>
      <c r="LRI83" s="50"/>
      <c r="LRJ83" s="23"/>
      <c r="LRK83" s="50"/>
      <c r="LRL83" s="51"/>
      <c r="LRM83" s="50"/>
      <c r="LRN83" s="23"/>
      <c r="LRO83" s="50"/>
      <c r="LRP83" s="51"/>
      <c r="LRQ83" s="50"/>
      <c r="LRR83" s="23"/>
      <c r="LRS83" s="50"/>
      <c r="LRT83" s="51"/>
      <c r="LRU83" s="50"/>
      <c r="LRV83" s="23"/>
      <c r="LRW83" s="50"/>
      <c r="LRX83" s="51"/>
      <c r="LRY83" s="50"/>
      <c r="LRZ83" s="23"/>
      <c r="LSA83" s="50"/>
      <c r="LSB83" s="51"/>
      <c r="LSC83" s="50"/>
      <c r="LSD83" s="23"/>
      <c r="LSE83" s="50"/>
      <c r="LSF83" s="51"/>
      <c r="LSG83" s="50"/>
      <c r="LSH83" s="23"/>
      <c r="LSI83" s="50"/>
      <c r="LSJ83" s="51"/>
      <c r="LSK83" s="50"/>
      <c r="LSL83" s="23"/>
      <c r="LSM83" s="50"/>
      <c r="LSN83" s="51"/>
      <c r="LSO83" s="50"/>
      <c r="LSP83" s="23"/>
      <c r="LSQ83" s="50"/>
      <c r="LSR83" s="51"/>
      <c r="LSS83" s="50"/>
      <c r="LST83" s="23"/>
      <c r="LSU83" s="50"/>
      <c r="LSV83" s="51"/>
      <c r="LSW83" s="50"/>
      <c r="LSX83" s="23"/>
      <c r="LSY83" s="50"/>
      <c r="LSZ83" s="51"/>
      <c r="LTA83" s="50"/>
      <c r="LTB83" s="23"/>
      <c r="LTC83" s="50"/>
      <c r="LTD83" s="51"/>
      <c r="LTE83" s="50"/>
      <c r="LTF83" s="23"/>
      <c r="LTG83" s="50"/>
      <c r="LTH83" s="51"/>
      <c r="LTI83" s="50"/>
      <c r="LTJ83" s="23"/>
      <c r="LTK83" s="50"/>
      <c r="LTL83" s="51"/>
      <c r="LTM83" s="50"/>
      <c r="LTN83" s="23"/>
      <c r="LTO83" s="50"/>
      <c r="LTP83" s="51"/>
      <c r="LTQ83" s="50"/>
      <c r="LTR83" s="23"/>
      <c r="LTS83" s="50"/>
      <c r="LTT83" s="51"/>
      <c r="LTU83" s="50"/>
      <c r="LTV83" s="23"/>
      <c r="LTW83" s="50"/>
      <c r="LTX83" s="51"/>
      <c r="LTY83" s="50"/>
      <c r="LTZ83" s="23"/>
      <c r="LUA83" s="50"/>
      <c r="LUB83" s="51"/>
      <c r="LUC83" s="50"/>
      <c r="LUD83" s="23"/>
      <c r="LUE83" s="50"/>
      <c r="LUF83" s="51"/>
      <c r="LUG83" s="50"/>
      <c r="LUH83" s="23"/>
      <c r="LUI83" s="50"/>
      <c r="LUJ83" s="51"/>
      <c r="LUK83" s="50"/>
      <c r="LUL83" s="23"/>
      <c r="LUM83" s="50"/>
      <c r="LUN83" s="51"/>
      <c r="LUO83" s="50"/>
      <c r="LUP83" s="23"/>
      <c r="LUQ83" s="50"/>
      <c r="LUR83" s="51"/>
      <c r="LUS83" s="50"/>
      <c r="LUT83" s="23"/>
      <c r="LUU83" s="50"/>
      <c r="LUV83" s="51"/>
      <c r="LUW83" s="50"/>
      <c r="LUX83" s="23"/>
      <c r="LUY83" s="50"/>
      <c r="LUZ83" s="51"/>
      <c r="LVA83" s="50"/>
      <c r="LVB83" s="23"/>
      <c r="LVC83" s="50"/>
      <c r="LVD83" s="51"/>
      <c r="LVE83" s="50"/>
      <c r="LVF83" s="23"/>
      <c r="LVG83" s="50"/>
      <c r="LVH83" s="51"/>
      <c r="LVI83" s="50"/>
      <c r="LVJ83" s="23"/>
      <c r="LVK83" s="50"/>
      <c r="LVL83" s="51"/>
      <c r="LVM83" s="50"/>
      <c r="LVN83" s="23"/>
      <c r="LVO83" s="50"/>
      <c r="LVP83" s="51"/>
      <c r="LVQ83" s="50"/>
      <c r="LVR83" s="23"/>
      <c r="LVS83" s="50"/>
      <c r="LVT83" s="51"/>
      <c r="LVU83" s="50"/>
      <c r="LVV83" s="23"/>
      <c r="LVW83" s="50"/>
      <c r="LVX83" s="51"/>
      <c r="LVY83" s="50"/>
      <c r="LVZ83" s="23"/>
      <c r="LWA83" s="50"/>
      <c r="LWB83" s="51"/>
      <c r="LWC83" s="50"/>
      <c r="LWD83" s="23"/>
      <c r="LWE83" s="50"/>
      <c r="LWF83" s="51"/>
      <c r="LWG83" s="50"/>
      <c r="LWH83" s="23"/>
      <c r="LWI83" s="50"/>
      <c r="LWJ83" s="51"/>
      <c r="LWK83" s="50"/>
      <c r="LWL83" s="23"/>
      <c r="LWM83" s="50"/>
      <c r="LWN83" s="51"/>
      <c r="LWO83" s="50"/>
      <c r="LWP83" s="23"/>
      <c r="LWQ83" s="50"/>
      <c r="LWR83" s="51"/>
      <c r="LWS83" s="50"/>
      <c r="LWT83" s="23"/>
      <c r="LWU83" s="50"/>
      <c r="LWV83" s="51"/>
      <c r="LWW83" s="50"/>
      <c r="LWX83" s="23"/>
      <c r="LWY83" s="50"/>
      <c r="LWZ83" s="51"/>
      <c r="LXA83" s="50"/>
      <c r="LXB83" s="23"/>
      <c r="LXC83" s="50"/>
      <c r="LXD83" s="51"/>
      <c r="LXE83" s="50"/>
      <c r="LXF83" s="23"/>
      <c r="LXG83" s="50"/>
      <c r="LXH83" s="51"/>
      <c r="LXI83" s="50"/>
      <c r="LXJ83" s="23"/>
      <c r="LXK83" s="50"/>
      <c r="LXL83" s="51"/>
      <c r="LXM83" s="50"/>
      <c r="LXN83" s="23"/>
      <c r="LXO83" s="50"/>
      <c r="LXP83" s="51"/>
      <c r="LXQ83" s="50"/>
      <c r="LXR83" s="23"/>
      <c r="LXS83" s="50"/>
      <c r="LXT83" s="51"/>
      <c r="LXU83" s="50"/>
      <c r="LXV83" s="23"/>
      <c r="LXW83" s="50"/>
      <c r="LXX83" s="51"/>
      <c r="LXY83" s="50"/>
      <c r="LXZ83" s="23"/>
      <c r="LYA83" s="50"/>
      <c r="LYB83" s="51"/>
      <c r="LYC83" s="50"/>
      <c r="LYD83" s="23"/>
      <c r="LYE83" s="50"/>
      <c r="LYF83" s="51"/>
      <c r="LYG83" s="50"/>
      <c r="LYH83" s="23"/>
      <c r="LYI83" s="50"/>
      <c r="LYJ83" s="51"/>
      <c r="LYK83" s="50"/>
      <c r="LYL83" s="23"/>
      <c r="LYM83" s="50"/>
      <c r="LYN83" s="51"/>
      <c r="LYO83" s="50"/>
      <c r="LYP83" s="23"/>
      <c r="LYQ83" s="50"/>
      <c r="LYR83" s="51"/>
      <c r="LYS83" s="50"/>
      <c r="LYT83" s="23"/>
      <c r="LYU83" s="50"/>
      <c r="LYV83" s="51"/>
      <c r="LYW83" s="50"/>
      <c r="LYX83" s="23"/>
      <c r="LYY83" s="50"/>
      <c r="LYZ83" s="51"/>
      <c r="LZA83" s="50"/>
      <c r="LZB83" s="23"/>
      <c r="LZC83" s="50"/>
      <c r="LZD83" s="51"/>
      <c r="LZE83" s="50"/>
      <c r="LZF83" s="23"/>
      <c r="LZG83" s="50"/>
      <c r="LZH83" s="51"/>
      <c r="LZI83" s="50"/>
      <c r="LZJ83" s="23"/>
      <c r="LZK83" s="50"/>
      <c r="LZL83" s="51"/>
      <c r="LZM83" s="50"/>
      <c r="LZN83" s="23"/>
      <c r="LZO83" s="50"/>
      <c r="LZP83" s="51"/>
      <c r="LZQ83" s="50"/>
      <c r="LZR83" s="23"/>
      <c r="LZS83" s="50"/>
      <c r="LZT83" s="51"/>
      <c r="LZU83" s="50"/>
      <c r="LZV83" s="23"/>
      <c r="LZW83" s="50"/>
      <c r="LZX83" s="51"/>
      <c r="LZY83" s="50"/>
      <c r="LZZ83" s="23"/>
      <c r="MAA83" s="50"/>
      <c r="MAB83" s="51"/>
      <c r="MAC83" s="50"/>
      <c r="MAD83" s="23"/>
      <c r="MAE83" s="50"/>
      <c r="MAF83" s="51"/>
      <c r="MAG83" s="50"/>
      <c r="MAH83" s="23"/>
      <c r="MAI83" s="50"/>
      <c r="MAJ83" s="51"/>
      <c r="MAK83" s="50"/>
      <c r="MAL83" s="23"/>
      <c r="MAM83" s="50"/>
      <c r="MAN83" s="51"/>
      <c r="MAO83" s="50"/>
      <c r="MAP83" s="23"/>
      <c r="MAQ83" s="50"/>
      <c r="MAR83" s="51"/>
      <c r="MAS83" s="50"/>
      <c r="MAT83" s="23"/>
      <c r="MAU83" s="50"/>
      <c r="MAV83" s="51"/>
      <c r="MAW83" s="50"/>
      <c r="MAX83" s="23"/>
      <c r="MAY83" s="50"/>
      <c r="MAZ83" s="51"/>
      <c r="MBA83" s="50"/>
      <c r="MBB83" s="23"/>
      <c r="MBC83" s="50"/>
      <c r="MBD83" s="51"/>
      <c r="MBE83" s="50"/>
      <c r="MBF83" s="23"/>
      <c r="MBG83" s="50"/>
      <c r="MBH83" s="51"/>
      <c r="MBI83" s="50"/>
      <c r="MBJ83" s="23"/>
      <c r="MBK83" s="50"/>
      <c r="MBL83" s="51"/>
      <c r="MBM83" s="50"/>
      <c r="MBN83" s="23"/>
      <c r="MBO83" s="50"/>
      <c r="MBP83" s="51"/>
      <c r="MBQ83" s="50"/>
      <c r="MBR83" s="23"/>
      <c r="MBS83" s="50"/>
      <c r="MBT83" s="51"/>
      <c r="MBU83" s="50"/>
      <c r="MBV83" s="23"/>
      <c r="MBW83" s="50"/>
      <c r="MBX83" s="51"/>
      <c r="MBY83" s="50"/>
      <c r="MBZ83" s="23"/>
      <c r="MCA83" s="50"/>
      <c r="MCB83" s="51"/>
      <c r="MCC83" s="50"/>
      <c r="MCD83" s="23"/>
      <c r="MCE83" s="50"/>
      <c r="MCF83" s="51"/>
      <c r="MCG83" s="50"/>
      <c r="MCH83" s="23"/>
      <c r="MCI83" s="50"/>
      <c r="MCJ83" s="51"/>
      <c r="MCK83" s="50"/>
      <c r="MCL83" s="23"/>
      <c r="MCM83" s="50"/>
      <c r="MCN83" s="51"/>
      <c r="MCO83" s="50"/>
      <c r="MCP83" s="23"/>
      <c r="MCQ83" s="50"/>
      <c r="MCR83" s="51"/>
      <c r="MCS83" s="50"/>
      <c r="MCT83" s="23"/>
      <c r="MCU83" s="50"/>
      <c r="MCV83" s="51"/>
      <c r="MCW83" s="50"/>
      <c r="MCX83" s="23"/>
      <c r="MCY83" s="50"/>
      <c r="MCZ83" s="51"/>
      <c r="MDA83" s="50"/>
      <c r="MDB83" s="23"/>
      <c r="MDC83" s="50"/>
      <c r="MDD83" s="51"/>
      <c r="MDE83" s="50"/>
      <c r="MDF83" s="23"/>
      <c r="MDG83" s="50"/>
      <c r="MDH83" s="51"/>
      <c r="MDI83" s="50"/>
      <c r="MDJ83" s="23"/>
      <c r="MDK83" s="50"/>
      <c r="MDL83" s="51"/>
      <c r="MDM83" s="50"/>
      <c r="MDN83" s="23"/>
      <c r="MDO83" s="50"/>
      <c r="MDP83" s="51"/>
      <c r="MDQ83" s="50"/>
      <c r="MDR83" s="23"/>
      <c r="MDS83" s="50"/>
      <c r="MDT83" s="51"/>
      <c r="MDU83" s="50"/>
      <c r="MDV83" s="23"/>
      <c r="MDW83" s="50"/>
      <c r="MDX83" s="51"/>
      <c r="MDY83" s="50"/>
      <c r="MDZ83" s="23"/>
      <c r="MEA83" s="50"/>
      <c r="MEB83" s="51"/>
      <c r="MEC83" s="50"/>
      <c r="MED83" s="23"/>
      <c r="MEE83" s="50"/>
      <c r="MEF83" s="51"/>
      <c r="MEG83" s="50"/>
      <c r="MEH83" s="23"/>
      <c r="MEI83" s="50"/>
      <c r="MEJ83" s="51"/>
      <c r="MEK83" s="50"/>
      <c r="MEL83" s="23"/>
      <c r="MEM83" s="50"/>
      <c r="MEN83" s="51"/>
      <c r="MEO83" s="50"/>
      <c r="MEP83" s="23"/>
      <c r="MEQ83" s="50"/>
      <c r="MER83" s="51"/>
      <c r="MES83" s="50"/>
      <c r="MET83" s="23"/>
      <c r="MEU83" s="50"/>
      <c r="MEV83" s="51"/>
      <c r="MEW83" s="50"/>
      <c r="MEX83" s="23"/>
      <c r="MEY83" s="50"/>
      <c r="MEZ83" s="51"/>
      <c r="MFA83" s="50"/>
      <c r="MFB83" s="23"/>
      <c r="MFC83" s="50"/>
      <c r="MFD83" s="51"/>
      <c r="MFE83" s="50"/>
      <c r="MFF83" s="23"/>
      <c r="MFG83" s="50"/>
      <c r="MFH83" s="51"/>
      <c r="MFI83" s="50"/>
      <c r="MFJ83" s="23"/>
      <c r="MFK83" s="50"/>
      <c r="MFL83" s="51"/>
      <c r="MFM83" s="50"/>
      <c r="MFN83" s="23"/>
      <c r="MFO83" s="50"/>
      <c r="MFP83" s="51"/>
      <c r="MFQ83" s="50"/>
      <c r="MFR83" s="23"/>
      <c r="MFS83" s="50"/>
      <c r="MFT83" s="51"/>
      <c r="MFU83" s="50"/>
      <c r="MFV83" s="23"/>
      <c r="MFW83" s="50"/>
      <c r="MFX83" s="51"/>
      <c r="MFY83" s="50"/>
      <c r="MFZ83" s="23"/>
      <c r="MGA83" s="50"/>
      <c r="MGB83" s="51"/>
      <c r="MGC83" s="50"/>
      <c r="MGD83" s="23"/>
      <c r="MGE83" s="50"/>
      <c r="MGF83" s="51"/>
      <c r="MGG83" s="50"/>
      <c r="MGH83" s="23"/>
      <c r="MGI83" s="50"/>
      <c r="MGJ83" s="51"/>
      <c r="MGK83" s="50"/>
      <c r="MGL83" s="23"/>
      <c r="MGM83" s="50"/>
      <c r="MGN83" s="51"/>
      <c r="MGO83" s="50"/>
      <c r="MGP83" s="23"/>
      <c r="MGQ83" s="50"/>
      <c r="MGR83" s="51"/>
      <c r="MGS83" s="50"/>
      <c r="MGT83" s="23"/>
      <c r="MGU83" s="50"/>
      <c r="MGV83" s="51"/>
      <c r="MGW83" s="50"/>
      <c r="MGX83" s="23"/>
      <c r="MGY83" s="50"/>
      <c r="MGZ83" s="51"/>
      <c r="MHA83" s="50"/>
      <c r="MHB83" s="23"/>
      <c r="MHC83" s="50"/>
      <c r="MHD83" s="51"/>
      <c r="MHE83" s="50"/>
      <c r="MHF83" s="23"/>
      <c r="MHG83" s="50"/>
      <c r="MHH83" s="51"/>
      <c r="MHI83" s="50"/>
      <c r="MHJ83" s="23"/>
      <c r="MHK83" s="50"/>
      <c r="MHL83" s="51"/>
      <c r="MHM83" s="50"/>
      <c r="MHN83" s="23"/>
      <c r="MHO83" s="50"/>
      <c r="MHP83" s="51"/>
      <c r="MHQ83" s="50"/>
      <c r="MHR83" s="23"/>
      <c r="MHS83" s="50"/>
      <c r="MHT83" s="51"/>
      <c r="MHU83" s="50"/>
      <c r="MHV83" s="23"/>
      <c r="MHW83" s="50"/>
      <c r="MHX83" s="51"/>
      <c r="MHY83" s="50"/>
      <c r="MHZ83" s="23"/>
      <c r="MIA83" s="50"/>
      <c r="MIB83" s="51"/>
      <c r="MIC83" s="50"/>
      <c r="MID83" s="23"/>
      <c r="MIE83" s="50"/>
      <c r="MIF83" s="51"/>
      <c r="MIG83" s="50"/>
      <c r="MIH83" s="23"/>
      <c r="MII83" s="50"/>
      <c r="MIJ83" s="51"/>
      <c r="MIK83" s="50"/>
      <c r="MIL83" s="23"/>
      <c r="MIM83" s="50"/>
      <c r="MIN83" s="51"/>
      <c r="MIO83" s="50"/>
      <c r="MIP83" s="23"/>
      <c r="MIQ83" s="50"/>
      <c r="MIR83" s="51"/>
      <c r="MIS83" s="50"/>
      <c r="MIT83" s="23"/>
      <c r="MIU83" s="50"/>
      <c r="MIV83" s="51"/>
      <c r="MIW83" s="50"/>
      <c r="MIX83" s="23"/>
      <c r="MIY83" s="50"/>
      <c r="MIZ83" s="51"/>
      <c r="MJA83" s="50"/>
      <c r="MJB83" s="23"/>
      <c r="MJC83" s="50"/>
      <c r="MJD83" s="51"/>
      <c r="MJE83" s="50"/>
      <c r="MJF83" s="23"/>
      <c r="MJG83" s="50"/>
      <c r="MJH83" s="51"/>
      <c r="MJI83" s="50"/>
      <c r="MJJ83" s="23"/>
      <c r="MJK83" s="50"/>
      <c r="MJL83" s="51"/>
      <c r="MJM83" s="50"/>
      <c r="MJN83" s="23"/>
      <c r="MJO83" s="50"/>
      <c r="MJP83" s="51"/>
      <c r="MJQ83" s="50"/>
      <c r="MJR83" s="23"/>
      <c r="MJS83" s="50"/>
      <c r="MJT83" s="51"/>
      <c r="MJU83" s="50"/>
      <c r="MJV83" s="23"/>
      <c r="MJW83" s="50"/>
      <c r="MJX83" s="51"/>
      <c r="MJY83" s="50"/>
      <c r="MJZ83" s="23"/>
      <c r="MKA83" s="50"/>
      <c r="MKB83" s="51"/>
      <c r="MKC83" s="50"/>
      <c r="MKD83" s="23"/>
      <c r="MKE83" s="50"/>
      <c r="MKF83" s="51"/>
      <c r="MKG83" s="50"/>
      <c r="MKH83" s="23"/>
      <c r="MKI83" s="50"/>
      <c r="MKJ83" s="51"/>
      <c r="MKK83" s="50"/>
      <c r="MKL83" s="23"/>
      <c r="MKM83" s="50"/>
      <c r="MKN83" s="51"/>
      <c r="MKO83" s="50"/>
      <c r="MKP83" s="23"/>
      <c r="MKQ83" s="50"/>
      <c r="MKR83" s="51"/>
      <c r="MKS83" s="50"/>
      <c r="MKT83" s="23"/>
      <c r="MKU83" s="50"/>
      <c r="MKV83" s="51"/>
      <c r="MKW83" s="50"/>
      <c r="MKX83" s="23"/>
      <c r="MKY83" s="50"/>
      <c r="MKZ83" s="51"/>
      <c r="MLA83" s="50"/>
      <c r="MLB83" s="23"/>
      <c r="MLC83" s="50"/>
      <c r="MLD83" s="51"/>
      <c r="MLE83" s="50"/>
      <c r="MLF83" s="23"/>
      <c r="MLG83" s="50"/>
      <c r="MLH83" s="51"/>
      <c r="MLI83" s="50"/>
      <c r="MLJ83" s="23"/>
      <c r="MLK83" s="50"/>
      <c r="MLL83" s="51"/>
      <c r="MLM83" s="50"/>
      <c r="MLN83" s="23"/>
      <c r="MLO83" s="50"/>
      <c r="MLP83" s="51"/>
      <c r="MLQ83" s="50"/>
      <c r="MLR83" s="23"/>
      <c r="MLS83" s="50"/>
      <c r="MLT83" s="51"/>
      <c r="MLU83" s="50"/>
      <c r="MLV83" s="23"/>
      <c r="MLW83" s="50"/>
      <c r="MLX83" s="51"/>
      <c r="MLY83" s="50"/>
      <c r="MLZ83" s="23"/>
      <c r="MMA83" s="50"/>
      <c r="MMB83" s="51"/>
      <c r="MMC83" s="50"/>
      <c r="MMD83" s="23"/>
      <c r="MME83" s="50"/>
      <c r="MMF83" s="51"/>
      <c r="MMG83" s="50"/>
      <c r="MMH83" s="23"/>
      <c r="MMI83" s="50"/>
      <c r="MMJ83" s="51"/>
      <c r="MMK83" s="50"/>
      <c r="MML83" s="23"/>
      <c r="MMM83" s="50"/>
      <c r="MMN83" s="51"/>
      <c r="MMO83" s="50"/>
      <c r="MMP83" s="23"/>
      <c r="MMQ83" s="50"/>
      <c r="MMR83" s="51"/>
      <c r="MMS83" s="50"/>
      <c r="MMT83" s="23"/>
      <c r="MMU83" s="50"/>
      <c r="MMV83" s="51"/>
      <c r="MMW83" s="50"/>
      <c r="MMX83" s="23"/>
      <c r="MMY83" s="50"/>
      <c r="MMZ83" s="51"/>
      <c r="MNA83" s="50"/>
      <c r="MNB83" s="23"/>
      <c r="MNC83" s="50"/>
      <c r="MND83" s="51"/>
      <c r="MNE83" s="50"/>
      <c r="MNF83" s="23"/>
      <c r="MNG83" s="50"/>
      <c r="MNH83" s="51"/>
      <c r="MNI83" s="50"/>
      <c r="MNJ83" s="23"/>
      <c r="MNK83" s="50"/>
      <c r="MNL83" s="51"/>
      <c r="MNM83" s="50"/>
      <c r="MNN83" s="23"/>
      <c r="MNO83" s="50"/>
      <c r="MNP83" s="51"/>
      <c r="MNQ83" s="50"/>
      <c r="MNR83" s="23"/>
      <c r="MNS83" s="50"/>
      <c r="MNT83" s="51"/>
      <c r="MNU83" s="50"/>
      <c r="MNV83" s="23"/>
      <c r="MNW83" s="50"/>
      <c r="MNX83" s="51"/>
      <c r="MNY83" s="50"/>
      <c r="MNZ83" s="23"/>
      <c r="MOA83" s="50"/>
      <c r="MOB83" s="51"/>
      <c r="MOC83" s="50"/>
      <c r="MOD83" s="23"/>
      <c r="MOE83" s="50"/>
      <c r="MOF83" s="51"/>
      <c r="MOG83" s="50"/>
      <c r="MOH83" s="23"/>
      <c r="MOI83" s="50"/>
      <c r="MOJ83" s="51"/>
      <c r="MOK83" s="50"/>
      <c r="MOL83" s="23"/>
      <c r="MOM83" s="50"/>
      <c r="MON83" s="51"/>
      <c r="MOO83" s="50"/>
      <c r="MOP83" s="23"/>
      <c r="MOQ83" s="50"/>
      <c r="MOR83" s="51"/>
      <c r="MOS83" s="50"/>
      <c r="MOT83" s="23"/>
      <c r="MOU83" s="50"/>
      <c r="MOV83" s="51"/>
      <c r="MOW83" s="50"/>
      <c r="MOX83" s="23"/>
      <c r="MOY83" s="50"/>
      <c r="MOZ83" s="51"/>
      <c r="MPA83" s="50"/>
      <c r="MPB83" s="23"/>
      <c r="MPC83" s="50"/>
      <c r="MPD83" s="51"/>
      <c r="MPE83" s="50"/>
      <c r="MPF83" s="23"/>
      <c r="MPG83" s="50"/>
      <c r="MPH83" s="51"/>
      <c r="MPI83" s="50"/>
      <c r="MPJ83" s="23"/>
      <c r="MPK83" s="50"/>
      <c r="MPL83" s="51"/>
      <c r="MPM83" s="50"/>
      <c r="MPN83" s="23"/>
      <c r="MPO83" s="50"/>
      <c r="MPP83" s="51"/>
      <c r="MPQ83" s="50"/>
      <c r="MPR83" s="23"/>
      <c r="MPS83" s="50"/>
      <c r="MPT83" s="51"/>
      <c r="MPU83" s="50"/>
      <c r="MPV83" s="23"/>
      <c r="MPW83" s="50"/>
      <c r="MPX83" s="51"/>
      <c r="MPY83" s="50"/>
      <c r="MPZ83" s="23"/>
      <c r="MQA83" s="50"/>
      <c r="MQB83" s="51"/>
      <c r="MQC83" s="50"/>
      <c r="MQD83" s="23"/>
      <c r="MQE83" s="50"/>
      <c r="MQF83" s="51"/>
      <c r="MQG83" s="50"/>
      <c r="MQH83" s="23"/>
      <c r="MQI83" s="50"/>
      <c r="MQJ83" s="51"/>
      <c r="MQK83" s="50"/>
      <c r="MQL83" s="23"/>
      <c r="MQM83" s="50"/>
      <c r="MQN83" s="51"/>
      <c r="MQO83" s="50"/>
      <c r="MQP83" s="23"/>
      <c r="MQQ83" s="50"/>
      <c r="MQR83" s="51"/>
      <c r="MQS83" s="50"/>
      <c r="MQT83" s="23"/>
      <c r="MQU83" s="50"/>
      <c r="MQV83" s="51"/>
      <c r="MQW83" s="50"/>
      <c r="MQX83" s="23"/>
      <c r="MQY83" s="50"/>
      <c r="MQZ83" s="51"/>
      <c r="MRA83" s="50"/>
      <c r="MRB83" s="23"/>
      <c r="MRC83" s="50"/>
      <c r="MRD83" s="51"/>
      <c r="MRE83" s="50"/>
      <c r="MRF83" s="23"/>
      <c r="MRG83" s="50"/>
      <c r="MRH83" s="51"/>
      <c r="MRI83" s="50"/>
      <c r="MRJ83" s="23"/>
      <c r="MRK83" s="50"/>
      <c r="MRL83" s="51"/>
      <c r="MRM83" s="50"/>
      <c r="MRN83" s="23"/>
      <c r="MRO83" s="50"/>
      <c r="MRP83" s="51"/>
      <c r="MRQ83" s="50"/>
      <c r="MRR83" s="23"/>
      <c r="MRS83" s="50"/>
      <c r="MRT83" s="51"/>
      <c r="MRU83" s="50"/>
      <c r="MRV83" s="23"/>
      <c r="MRW83" s="50"/>
      <c r="MRX83" s="51"/>
      <c r="MRY83" s="50"/>
      <c r="MRZ83" s="23"/>
      <c r="MSA83" s="50"/>
      <c r="MSB83" s="51"/>
      <c r="MSC83" s="50"/>
      <c r="MSD83" s="23"/>
      <c r="MSE83" s="50"/>
      <c r="MSF83" s="51"/>
      <c r="MSG83" s="50"/>
      <c r="MSH83" s="23"/>
      <c r="MSI83" s="50"/>
      <c r="MSJ83" s="51"/>
      <c r="MSK83" s="50"/>
      <c r="MSL83" s="23"/>
      <c r="MSM83" s="50"/>
      <c r="MSN83" s="51"/>
      <c r="MSO83" s="50"/>
      <c r="MSP83" s="23"/>
      <c r="MSQ83" s="50"/>
      <c r="MSR83" s="51"/>
      <c r="MSS83" s="50"/>
      <c r="MST83" s="23"/>
      <c r="MSU83" s="50"/>
      <c r="MSV83" s="51"/>
      <c r="MSW83" s="50"/>
      <c r="MSX83" s="23"/>
      <c r="MSY83" s="50"/>
      <c r="MSZ83" s="51"/>
      <c r="MTA83" s="50"/>
      <c r="MTB83" s="23"/>
      <c r="MTC83" s="50"/>
      <c r="MTD83" s="51"/>
      <c r="MTE83" s="50"/>
      <c r="MTF83" s="23"/>
      <c r="MTG83" s="50"/>
      <c r="MTH83" s="51"/>
      <c r="MTI83" s="50"/>
      <c r="MTJ83" s="23"/>
      <c r="MTK83" s="50"/>
      <c r="MTL83" s="51"/>
      <c r="MTM83" s="50"/>
      <c r="MTN83" s="23"/>
      <c r="MTO83" s="50"/>
      <c r="MTP83" s="51"/>
      <c r="MTQ83" s="50"/>
      <c r="MTR83" s="23"/>
      <c r="MTS83" s="50"/>
      <c r="MTT83" s="51"/>
      <c r="MTU83" s="50"/>
      <c r="MTV83" s="23"/>
      <c r="MTW83" s="50"/>
      <c r="MTX83" s="51"/>
      <c r="MTY83" s="50"/>
      <c r="MTZ83" s="23"/>
      <c r="MUA83" s="50"/>
      <c r="MUB83" s="51"/>
      <c r="MUC83" s="50"/>
      <c r="MUD83" s="23"/>
      <c r="MUE83" s="50"/>
      <c r="MUF83" s="51"/>
      <c r="MUG83" s="50"/>
      <c r="MUH83" s="23"/>
      <c r="MUI83" s="50"/>
      <c r="MUJ83" s="51"/>
      <c r="MUK83" s="50"/>
      <c r="MUL83" s="23"/>
      <c r="MUM83" s="50"/>
      <c r="MUN83" s="51"/>
      <c r="MUO83" s="50"/>
      <c r="MUP83" s="23"/>
      <c r="MUQ83" s="50"/>
      <c r="MUR83" s="51"/>
      <c r="MUS83" s="50"/>
      <c r="MUT83" s="23"/>
      <c r="MUU83" s="50"/>
      <c r="MUV83" s="51"/>
      <c r="MUW83" s="50"/>
      <c r="MUX83" s="23"/>
      <c r="MUY83" s="50"/>
      <c r="MUZ83" s="51"/>
      <c r="MVA83" s="50"/>
      <c r="MVB83" s="23"/>
      <c r="MVC83" s="50"/>
      <c r="MVD83" s="51"/>
      <c r="MVE83" s="50"/>
      <c r="MVF83" s="23"/>
      <c r="MVG83" s="50"/>
      <c r="MVH83" s="51"/>
      <c r="MVI83" s="50"/>
      <c r="MVJ83" s="23"/>
      <c r="MVK83" s="50"/>
      <c r="MVL83" s="51"/>
      <c r="MVM83" s="50"/>
      <c r="MVN83" s="23"/>
      <c r="MVO83" s="50"/>
      <c r="MVP83" s="51"/>
      <c r="MVQ83" s="50"/>
      <c r="MVR83" s="23"/>
      <c r="MVS83" s="50"/>
      <c r="MVT83" s="51"/>
      <c r="MVU83" s="50"/>
      <c r="MVV83" s="23"/>
      <c r="MVW83" s="50"/>
      <c r="MVX83" s="51"/>
      <c r="MVY83" s="50"/>
      <c r="MVZ83" s="23"/>
      <c r="MWA83" s="50"/>
      <c r="MWB83" s="51"/>
      <c r="MWC83" s="50"/>
      <c r="MWD83" s="23"/>
      <c r="MWE83" s="50"/>
      <c r="MWF83" s="51"/>
      <c r="MWG83" s="50"/>
      <c r="MWH83" s="23"/>
      <c r="MWI83" s="50"/>
      <c r="MWJ83" s="51"/>
      <c r="MWK83" s="50"/>
      <c r="MWL83" s="23"/>
      <c r="MWM83" s="50"/>
      <c r="MWN83" s="51"/>
      <c r="MWO83" s="50"/>
      <c r="MWP83" s="23"/>
      <c r="MWQ83" s="50"/>
      <c r="MWR83" s="51"/>
      <c r="MWS83" s="50"/>
      <c r="MWT83" s="23"/>
      <c r="MWU83" s="50"/>
      <c r="MWV83" s="51"/>
      <c r="MWW83" s="50"/>
      <c r="MWX83" s="23"/>
      <c r="MWY83" s="50"/>
      <c r="MWZ83" s="51"/>
      <c r="MXA83" s="50"/>
      <c r="MXB83" s="23"/>
      <c r="MXC83" s="50"/>
      <c r="MXD83" s="51"/>
      <c r="MXE83" s="50"/>
      <c r="MXF83" s="23"/>
      <c r="MXG83" s="50"/>
      <c r="MXH83" s="51"/>
      <c r="MXI83" s="50"/>
      <c r="MXJ83" s="23"/>
      <c r="MXK83" s="50"/>
      <c r="MXL83" s="51"/>
      <c r="MXM83" s="50"/>
      <c r="MXN83" s="23"/>
      <c r="MXO83" s="50"/>
      <c r="MXP83" s="51"/>
      <c r="MXQ83" s="50"/>
      <c r="MXR83" s="23"/>
      <c r="MXS83" s="50"/>
      <c r="MXT83" s="51"/>
      <c r="MXU83" s="50"/>
      <c r="MXV83" s="23"/>
      <c r="MXW83" s="50"/>
      <c r="MXX83" s="51"/>
      <c r="MXY83" s="50"/>
      <c r="MXZ83" s="23"/>
      <c r="MYA83" s="50"/>
      <c r="MYB83" s="51"/>
      <c r="MYC83" s="50"/>
      <c r="MYD83" s="23"/>
      <c r="MYE83" s="50"/>
      <c r="MYF83" s="51"/>
      <c r="MYG83" s="50"/>
      <c r="MYH83" s="23"/>
      <c r="MYI83" s="50"/>
      <c r="MYJ83" s="51"/>
      <c r="MYK83" s="50"/>
      <c r="MYL83" s="23"/>
      <c r="MYM83" s="50"/>
      <c r="MYN83" s="51"/>
      <c r="MYO83" s="50"/>
      <c r="MYP83" s="23"/>
      <c r="MYQ83" s="50"/>
      <c r="MYR83" s="51"/>
      <c r="MYS83" s="50"/>
      <c r="MYT83" s="23"/>
      <c r="MYU83" s="50"/>
      <c r="MYV83" s="51"/>
      <c r="MYW83" s="50"/>
      <c r="MYX83" s="23"/>
      <c r="MYY83" s="50"/>
      <c r="MYZ83" s="51"/>
      <c r="MZA83" s="50"/>
      <c r="MZB83" s="23"/>
      <c r="MZC83" s="50"/>
      <c r="MZD83" s="51"/>
      <c r="MZE83" s="50"/>
      <c r="MZF83" s="23"/>
      <c r="MZG83" s="50"/>
      <c r="MZH83" s="51"/>
      <c r="MZI83" s="50"/>
      <c r="MZJ83" s="23"/>
      <c r="MZK83" s="50"/>
      <c r="MZL83" s="51"/>
      <c r="MZM83" s="50"/>
      <c r="MZN83" s="23"/>
      <c r="MZO83" s="50"/>
      <c r="MZP83" s="51"/>
      <c r="MZQ83" s="50"/>
      <c r="MZR83" s="23"/>
      <c r="MZS83" s="50"/>
      <c r="MZT83" s="51"/>
      <c r="MZU83" s="50"/>
      <c r="MZV83" s="23"/>
      <c r="MZW83" s="50"/>
      <c r="MZX83" s="51"/>
      <c r="MZY83" s="50"/>
      <c r="MZZ83" s="23"/>
      <c r="NAA83" s="50"/>
      <c r="NAB83" s="51"/>
      <c r="NAC83" s="50"/>
      <c r="NAD83" s="23"/>
      <c r="NAE83" s="50"/>
      <c r="NAF83" s="51"/>
      <c r="NAG83" s="50"/>
      <c r="NAH83" s="23"/>
      <c r="NAI83" s="50"/>
      <c r="NAJ83" s="51"/>
      <c r="NAK83" s="50"/>
      <c r="NAL83" s="23"/>
      <c r="NAM83" s="50"/>
      <c r="NAN83" s="51"/>
      <c r="NAO83" s="50"/>
      <c r="NAP83" s="23"/>
      <c r="NAQ83" s="50"/>
      <c r="NAR83" s="51"/>
      <c r="NAS83" s="50"/>
      <c r="NAT83" s="23"/>
      <c r="NAU83" s="50"/>
      <c r="NAV83" s="51"/>
      <c r="NAW83" s="50"/>
      <c r="NAX83" s="23"/>
      <c r="NAY83" s="50"/>
      <c r="NAZ83" s="51"/>
      <c r="NBA83" s="50"/>
      <c r="NBB83" s="23"/>
      <c r="NBC83" s="50"/>
      <c r="NBD83" s="51"/>
      <c r="NBE83" s="50"/>
      <c r="NBF83" s="23"/>
      <c r="NBG83" s="50"/>
      <c r="NBH83" s="51"/>
      <c r="NBI83" s="50"/>
      <c r="NBJ83" s="23"/>
      <c r="NBK83" s="50"/>
      <c r="NBL83" s="51"/>
      <c r="NBM83" s="50"/>
      <c r="NBN83" s="23"/>
      <c r="NBO83" s="50"/>
      <c r="NBP83" s="51"/>
      <c r="NBQ83" s="50"/>
      <c r="NBR83" s="23"/>
      <c r="NBS83" s="50"/>
      <c r="NBT83" s="51"/>
      <c r="NBU83" s="50"/>
      <c r="NBV83" s="23"/>
      <c r="NBW83" s="50"/>
      <c r="NBX83" s="51"/>
      <c r="NBY83" s="50"/>
      <c r="NBZ83" s="23"/>
      <c r="NCA83" s="50"/>
      <c r="NCB83" s="51"/>
      <c r="NCC83" s="50"/>
      <c r="NCD83" s="23"/>
      <c r="NCE83" s="50"/>
      <c r="NCF83" s="51"/>
      <c r="NCG83" s="50"/>
      <c r="NCH83" s="23"/>
      <c r="NCI83" s="50"/>
      <c r="NCJ83" s="51"/>
      <c r="NCK83" s="50"/>
      <c r="NCL83" s="23"/>
      <c r="NCM83" s="50"/>
      <c r="NCN83" s="51"/>
      <c r="NCO83" s="50"/>
      <c r="NCP83" s="23"/>
      <c r="NCQ83" s="50"/>
      <c r="NCR83" s="51"/>
      <c r="NCS83" s="50"/>
      <c r="NCT83" s="23"/>
      <c r="NCU83" s="50"/>
      <c r="NCV83" s="51"/>
      <c r="NCW83" s="50"/>
      <c r="NCX83" s="23"/>
      <c r="NCY83" s="50"/>
      <c r="NCZ83" s="51"/>
      <c r="NDA83" s="50"/>
      <c r="NDB83" s="23"/>
      <c r="NDC83" s="50"/>
      <c r="NDD83" s="51"/>
      <c r="NDE83" s="50"/>
      <c r="NDF83" s="23"/>
      <c r="NDG83" s="50"/>
      <c r="NDH83" s="51"/>
      <c r="NDI83" s="50"/>
      <c r="NDJ83" s="23"/>
      <c r="NDK83" s="50"/>
      <c r="NDL83" s="51"/>
      <c r="NDM83" s="50"/>
      <c r="NDN83" s="23"/>
      <c r="NDO83" s="50"/>
      <c r="NDP83" s="51"/>
      <c r="NDQ83" s="50"/>
      <c r="NDR83" s="23"/>
      <c r="NDS83" s="50"/>
      <c r="NDT83" s="51"/>
      <c r="NDU83" s="50"/>
      <c r="NDV83" s="23"/>
      <c r="NDW83" s="50"/>
      <c r="NDX83" s="51"/>
      <c r="NDY83" s="50"/>
      <c r="NDZ83" s="23"/>
      <c r="NEA83" s="50"/>
      <c r="NEB83" s="51"/>
      <c r="NEC83" s="50"/>
      <c r="NED83" s="23"/>
      <c r="NEE83" s="50"/>
      <c r="NEF83" s="51"/>
      <c r="NEG83" s="50"/>
      <c r="NEH83" s="23"/>
      <c r="NEI83" s="50"/>
      <c r="NEJ83" s="51"/>
      <c r="NEK83" s="50"/>
      <c r="NEL83" s="23"/>
      <c r="NEM83" s="50"/>
      <c r="NEN83" s="51"/>
      <c r="NEO83" s="50"/>
      <c r="NEP83" s="23"/>
      <c r="NEQ83" s="50"/>
      <c r="NER83" s="51"/>
      <c r="NES83" s="50"/>
      <c r="NET83" s="23"/>
      <c r="NEU83" s="50"/>
      <c r="NEV83" s="51"/>
      <c r="NEW83" s="50"/>
      <c r="NEX83" s="23"/>
      <c r="NEY83" s="50"/>
      <c r="NEZ83" s="51"/>
      <c r="NFA83" s="50"/>
      <c r="NFB83" s="23"/>
      <c r="NFC83" s="50"/>
      <c r="NFD83" s="51"/>
      <c r="NFE83" s="50"/>
      <c r="NFF83" s="23"/>
      <c r="NFG83" s="50"/>
      <c r="NFH83" s="51"/>
      <c r="NFI83" s="50"/>
      <c r="NFJ83" s="23"/>
      <c r="NFK83" s="50"/>
      <c r="NFL83" s="51"/>
      <c r="NFM83" s="50"/>
      <c r="NFN83" s="23"/>
      <c r="NFO83" s="50"/>
      <c r="NFP83" s="51"/>
      <c r="NFQ83" s="50"/>
      <c r="NFR83" s="23"/>
      <c r="NFS83" s="50"/>
      <c r="NFT83" s="51"/>
      <c r="NFU83" s="50"/>
      <c r="NFV83" s="23"/>
      <c r="NFW83" s="50"/>
      <c r="NFX83" s="51"/>
      <c r="NFY83" s="50"/>
      <c r="NFZ83" s="23"/>
      <c r="NGA83" s="50"/>
      <c r="NGB83" s="51"/>
      <c r="NGC83" s="50"/>
      <c r="NGD83" s="23"/>
      <c r="NGE83" s="50"/>
      <c r="NGF83" s="51"/>
      <c r="NGG83" s="50"/>
      <c r="NGH83" s="23"/>
      <c r="NGI83" s="50"/>
      <c r="NGJ83" s="51"/>
      <c r="NGK83" s="50"/>
      <c r="NGL83" s="23"/>
      <c r="NGM83" s="50"/>
      <c r="NGN83" s="51"/>
      <c r="NGO83" s="50"/>
      <c r="NGP83" s="23"/>
      <c r="NGQ83" s="50"/>
      <c r="NGR83" s="51"/>
      <c r="NGS83" s="50"/>
      <c r="NGT83" s="23"/>
      <c r="NGU83" s="50"/>
      <c r="NGV83" s="51"/>
      <c r="NGW83" s="50"/>
      <c r="NGX83" s="23"/>
      <c r="NGY83" s="50"/>
      <c r="NGZ83" s="51"/>
      <c r="NHA83" s="50"/>
      <c r="NHB83" s="23"/>
      <c r="NHC83" s="50"/>
      <c r="NHD83" s="51"/>
      <c r="NHE83" s="50"/>
      <c r="NHF83" s="23"/>
      <c r="NHG83" s="50"/>
      <c r="NHH83" s="51"/>
      <c r="NHI83" s="50"/>
      <c r="NHJ83" s="23"/>
      <c r="NHK83" s="50"/>
      <c r="NHL83" s="51"/>
      <c r="NHM83" s="50"/>
      <c r="NHN83" s="23"/>
      <c r="NHO83" s="50"/>
      <c r="NHP83" s="51"/>
      <c r="NHQ83" s="50"/>
      <c r="NHR83" s="23"/>
      <c r="NHS83" s="50"/>
      <c r="NHT83" s="51"/>
      <c r="NHU83" s="50"/>
      <c r="NHV83" s="23"/>
      <c r="NHW83" s="50"/>
      <c r="NHX83" s="51"/>
      <c r="NHY83" s="50"/>
      <c r="NHZ83" s="23"/>
      <c r="NIA83" s="50"/>
      <c r="NIB83" s="51"/>
      <c r="NIC83" s="50"/>
      <c r="NID83" s="23"/>
      <c r="NIE83" s="50"/>
      <c r="NIF83" s="51"/>
      <c r="NIG83" s="50"/>
      <c r="NIH83" s="23"/>
      <c r="NII83" s="50"/>
      <c r="NIJ83" s="51"/>
      <c r="NIK83" s="50"/>
      <c r="NIL83" s="23"/>
      <c r="NIM83" s="50"/>
      <c r="NIN83" s="51"/>
      <c r="NIO83" s="50"/>
      <c r="NIP83" s="23"/>
      <c r="NIQ83" s="50"/>
      <c r="NIR83" s="51"/>
      <c r="NIS83" s="50"/>
      <c r="NIT83" s="23"/>
      <c r="NIU83" s="50"/>
      <c r="NIV83" s="51"/>
      <c r="NIW83" s="50"/>
      <c r="NIX83" s="23"/>
      <c r="NIY83" s="50"/>
      <c r="NIZ83" s="51"/>
      <c r="NJA83" s="50"/>
      <c r="NJB83" s="23"/>
      <c r="NJC83" s="50"/>
      <c r="NJD83" s="51"/>
      <c r="NJE83" s="50"/>
      <c r="NJF83" s="23"/>
      <c r="NJG83" s="50"/>
      <c r="NJH83" s="51"/>
      <c r="NJI83" s="50"/>
      <c r="NJJ83" s="23"/>
      <c r="NJK83" s="50"/>
      <c r="NJL83" s="51"/>
      <c r="NJM83" s="50"/>
      <c r="NJN83" s="23"/>
      <c r="NJO83" s="50"/>
      <c r="NJP83" s="51"/>
      <c r="NJQ83" s="50"/>
      <c r="NJR83" s="23"/>
      <c r="NJS83" s="50"/>
      <c r="NJT83" s="51"/>
      <c r="NJU83" s="50"/>
      <c r="NJV83" s="23"/>
      <c r="NJW83" s="50"/>
      <c r="NJX83" s="51"/>
      <c r="NJY83" s="50"/>
      <c r="NJZ83" s="23"/>
      <c r="NKA83" s="50"/>
      <c r="NKB83" s="51"/>
      <c r="NKC83" s="50"/>
      <c r="NKD83" s="23"/>
      <c r="NKE83" s="50"/>
      <c r="NKF83" s="51"/>
      <c r="NKG83" s="50"/>
      <c r="NKH83" s="23"/>
      <c r="NKI83" s="50"/>
      <c r="NKJ83" s="51"/>
      <c r="NKK83" s="50"/>
      <c r="NKL83" s="23"/>
      <c r="NKM83" s="50"/>
      <c r="NKN83" s="51"/>
      <c r="NKO83" s="50"/>
      <c r="NKP83" s="23"/>
      <c r="NKQ83" s="50"/>
      <c r="NKR83" s="51"/>
      <c r="NKS83" s="50"/>
      <c r="NKT83" s="23"/>
      <c r="NKU83" s="50"/>
      <c r="NKV83" s="51"/>
      <c r="NKW83" s="50"/>
      <c r="NKX83" s="23"/>
      <c r="NKY83" s="50"/>
      <c r="NKZ83" s="51"/>
      <c r="NLA83" s="50"/>
      <c r="NLB83" s="23"/>
      <c r="NLC83" s="50"/>
      <c r="NLD83" s="51"/>
      <c r="NLE83" s="50"/>
      <c r="NLF83" s="23"/>
      <c r="NLG83" s="50"/>
      <c r="NLH83" s="51"/>
      <c r="NLI83" s="50"/>
      <c r="NLJ83" s="23"/>
      <c r="NLK83" s="50"/>
      <c r="NLL83" s="51"/>
      <c r="NLM83" s="50"/>
      <c r="NLN83" s="23"/>
      <c r="NLO83" s="50"/>
      <c r="NLP83" s="51"/>
      <c r="NLQ83" s="50"/>
      <c r="NLR83" s="23"/>
      <c r="NLS83" s="50"/>
      <c r="NLT83" s="51"/>
      <c r="NLU83" s="50"/>
      <c r="NLV83" s="23"/>
      <c r="NLW83" s="50"/>
      <c r="NLX83" s="51"/>
      <c r="NLY83" s="50"/>
      <c r="NLZ83" s="23"/>
      <c r="NMA83" s="50"/>
      <c r="NMB83" s="51"/>
      <c r="NMC83" s="50"/>
      <c r="NMD83" s="23"/>
      <c r="NME83" s="50"/>
      <c r="NMF83" s="51"/>
      <c r="NMG83" s="50"/>
      <c r="NMH83" s="23"/>
      <c r="NMI83" s="50"/>
      <c r="NMJ83" s="51"/>
      <c r="NMK83" s="50"/>
      <c r="NML83" s="23"/>
      <c r="NMM83" s="50"/>
      <c r="NMN83" s="51"/>
      <c r="NMO83" s="50"/>
      <c r="NMP83" s="23"/>
      <c r="NMQ83" s="50"/>
      <c r="NMR83" s="51"/>
      <c r="NMS83" s="50"/>
      <c r="NMT83" s="23"/>
      <c r="NMU83" s="50"/>
      <c r="NMV83" s="51"/>
      <c r="NMW83" s="50"/>
      <c r="NMX83" s="23"/>
      <c r="NMY83" s="50"/>
      <c r="NMZ83" s="51"/>
      <c r="NNA83" s="50"/>
      <c r="NNB83" s="23"/>
      <c r="NNC83" s="50"/>
      <c r="NND83" s="51"/>
      <c r="NNE83" s="50"/>
      <c r="NNF83" s="23"/>
      <c r="NNG83" s="50"/>
      <c r="NNH83" s="51"/>
      <c r="NNI83" s="50"/>
      <c r="NNJ83" s="23"/>
      <c r="NNK83" s="50"/>
      <c r="NNL83" s="51"/>
      <c r="NNM83" s="50"/>
      <c r="NNN83" s="23"/>
      <c r="NNO83" s="50"/>
      <c r="NNP83" s="51"/>
      <c r="NNQ83" s="50"/>
      <c r="NNR83" s="23"/>
      <c r="NNS83" s="50"/>
      <c r="NNT83" s="51"/>
      <c r="NNU83" s="50"/>
      <c r="NNV83" s="23"/>
      <c r="NNW83" s="50"/>
      <c r="NNX83" s="51"/>
      <c r="NNY83" s="50"/>
      <c r="NNZ83" s="23"/>
      <c r="NOA83" s="50"/>
      <c r="NOB83" s="51"/>
      <c r="NOC83" s="50"/>
      <c r="NOD83" s="23"/>
      <c r="NOE83" s="50"/>
      <c r="NOF83" s="51"/>
      <c r="NOG83" s="50"/>
      <c r="NOH83" s="23"/>
      <c r="NOI83" s="50"/>
      <c r="NOJ83" s="51"/>
      <c r="NOK83" s="50"/>
      <c r="NOL83" s="23"/>
      <c r="NOM83" s="50"/>
      <c r="NON83" s="51"/>
      <c r="NOO83" s="50"/>
      <c r="NOP83" s="23"/>
      <c r="NOQ83" s="50"/>
      <c r="NOR83" s="51"/>
      <c r="NOS83" s="50"/>
      <c r="NOT83" s="23"/>
      <c r="NOU83" s="50"/>
      <c r="NOV83" s="51"/>
      <c r="NOW83" s="50"/>
      <c r="NOX83" s="23"/>
      <c r="NOY83" s="50"/>
      <c r="NOZ83" s="51"/>
      <c r="NPA83" s="50"/>
      <c r="NPB83" s="23"/>
      <c r="NPC83" s="50"/>
      <c r="NPD83" s="51"/>
      <c r="NPE83" s="50"/>
      <c r="NPF83" s="23"/>
      <c r="NPG83" s="50"/>
      <c r="NPH83" s="51"/>
      <c r="NPI83" s="50"/>
      <c r="NPJ83" s="23"/>
      <c r="NPK83" s="50"/>
      <c r="NPL83" s="51"/>
      <c r="NPM83" s="50"/>
      <c r="NPN83" s="23"/>
      <c r="NPO83" s="50"/>
      <c r="NPP83" s="51"/>
      <c r="NPQ83" s="50"/>
      <c r="NPR83" s="23"/>
      <c r="NPS83" s="50"/>
      <c r="NPT83" s="51"/>
      <c r="NPU83" s="50"/>
      <c r="NPV83" s="23"/>
      <c r="NPW83" s="50"/>
      <c r="NPX83" s="51"/>
      <c r="NPY83" s="50"/>
      <c r="NPZ83" s="23"/>
      <c r="NQA83" s="50"/>
      <c r="NQB83" s="51"/>
      <c r="NQC83" s="50"/>
      <c r="NQD83" s="23"/>
      <c r="NQE83" s="50"/>
      <c r="NQF83" s="51"/>
      <c r="NQG83" s="50"/>
      <c r="NQH83" s="23"/>
      <c r="NQI83" s="50"/>
      <c r="NQJ83" s="51"/>
      <c r="NQK83" s="50"/>
      <c r="NQL83" s="23"/>
      <c r="NQM83" s="50"/>
      <c r="NQN83" s="51"/>
      <c r="NQO83" s="50"/>
      <c r="NQP83" s="23"/>
      <c r="NQQ83" s="50"/>
      <c r="NQR83" s="51"/>
      <c r="NQS83" s="50"/>
      <c r="NQT83" s="23"/>
      <c r="NQU83" s="50"/>
      <c r="NQV83" s="51"/>
      <c r="NQW83" s="50"/>
      <c r="NQX83" s="23"/>
      <c r="NQY83" s="50"/>
      <c r="NQZ83" s="51"/>
      <c r="NRA83" s="50"/>
      <c r="NRB83" s="23"/>
      <c r="NRC83" s="50"/>
      <c r="NRD83" s="51"/>
      <c r="NRE83" s="50"/>
      <c r="NRF83" s="23"/>
      <c r="NRG83" s="50"/>
      <c r="NRH83" s="51"/>
      <c r="NRI83" s="50"/>
      <c r="NRJ83" s="23"/>
      <c r="NRK83" s="50"/>
      <c r="NRL83" s="51"/>
      <c r="NRM83" s="50"/>
      <c r="NRN83" s="23"/>
      <c r="NRO83" s="50"/>
      <c r="NRP83" s="51"/>
      <c r="NRQ83" s="50"/>
      <c r="NRR83" s="23"/>
      <c r="NRS83" s="50"/>
      <c r="NRT83" s="51"/>
      <c r="NRU83" s="50"/>
      <c r="NRV83" s="23"/>
      <c r="NRW83" s="50"/>
      <c r="NRX83" s="51"/>
      <c r="NRY83" s="50"/>
      <c r="NRZ83" s="23"/>
      <c r="NSA83" s="50"/>
      <c r="NSB83" s="51"/>
      <c r="NSC83" s="50"/>
      <c r="NSD83" s="23"/>
      <c r="NSE83" s="50"/>
      <c r="NSF83" s="51"/>
      <c r="NSG83" s="50"/>
      <c r="NSH83" s="23"/>
      <c r="NSI83" s="50"/>
      <c r="NSJ83" s="51"/>
      <c r="NSK83" s="50"/>
      <c r="NSL83" s="23"/>
      <c r="NSM83" s="50"/>
      <c r="NSN83" s="51"/>
      <c r="NSO83" s="50"/>
      <c r="NSP83" s="23"/>
      <c r="NSQ83" s="50"/>
      <c r="NSR83" s="51"/>
      <c r="NSS83" s="50"/>
      <c r="NST83" s="23"/>
      <c r="NSU83" s="50"/>
      <c r="NSV83" s="51"/>
      <c r="NSW83" s="50"/>
      <c r="NSX83" s="23"/>
      <c r="NSY83" s="50"/>
      <c r="NSZ83" s="51"/>
      <c r="NTA83" s="50"/>
      <c r="NTB83" s="23"/>
      <c r="NTC83" s="50"/>
      <c r="NTD83" s="51"/>
      <c r="NTE83" s="50"/>
      <c r="NTF83" s="23"/>
      <c r="NTG83" s="50"/>
      <c r="NTH83" s="51"/>
      <c r="NTI83" s="50"/>
      <c r="NTJ83" s="23"/>
      <c r="NTK83" s="50"/>
      <c r="NTL83" s="51"/>
      <c r="NTM83" s="50"/>
      <c r="NTN83" s="23"/>
      <c r="NTO83" s="50"/>
      <c r="NTP83" s="51"/>
      <c r="NTQ83" s="50"/>
      <c r="NTR83" s="23"/>
      <c r="NTS83" s="50"/>
      <c r="NTT83" s="51"/>
      <c r="NTU83" s="50"/>
      <c r="NTV83" s="23"/>
      <c r="NTW83" s="50"/>
      <c r="NTX83" s="51"/>
      <c r="NTY83" s="50"/>
      <c r="NTZ83" s="23"/>
      <c r="NUA83" s="50"/>
      <c r="NUB83" s="51"/>
      <c r="NUC83" s="50"/>
      <c r="NUD83" s="23"/>
      <c r="NUE83" s="50"/>
      <c r="NUF83" s="51"/>
      <c r="NUG83" s="50"/>
      <c r="NUH83" s="23"/>
      <c r="NUI83" s="50"/>
      <c r="NUJ83" s="51"/>
      <c r="NUK83" s="50"/>
      <c r="NUL83" s="23"/>
      <c r="NUM83" s="50"/>
      <c r="NUN83" s="51"/>
      <c r="NUO83" s="50"/>
      <c r="NUP83" s="23"/>
      <c r="NUQ83" s="50"/>
      <c r="NUR83" s="51"/>
      <c r="NUS83" s="50"/>
      <c r="NUT83" s="23"/>
      <c r="NUU83" s="50"/>
      <c r="NUV83" s="51"/>
      <c r="NUW83" s="50"/>
      <c r="NUX83" s="23"/>
      <c r="NUY83" s="50"/>
      <c r="NUZ83" s="51"/>
      <c r="NVA83" s="50"/>
      <c r="NVB83" s="23"/>
      <c r="NVC83" s="50"/>
      <c r="NVD83" s="51"/>
      <c r="NVE83" s="50"/>
      <c r="NVF83" s="23"/>
      <c r="NVG83" s="50"/>
      <c r="NVH83" s="51"/>
      <c r="NVI83" s="50"/>
      <c r="NVJ83" s="23"/>
      <c r="NVK83" s="50"/>
      <c r="NVL83" s="51"/>
      <c r="NVM83" s="50"/>
      <c r="NVN83" s="23"/>
      <c r="NVO83" s="50"/>
      <c r="NVP83" s="51"/>
      <c r="NVQ83" s="50"/>
      <c r="NVR83" s="23"/>
      <c r="NVS83" s="50"/>
      <c r="NVT83" s="51"/>
      <c r="NVU83" s="50"/>
      <c r="NVV83" s="23"/>
      <c r="NVW83" s="50"/>
      <c r="NVX83" s="51"/>
      <c r="NVY83" s="50"/>
      <c r="NVZ83" s="23"/>
      <c r="NWA83" s="50"/>
      <c r="NWB83" s="51"/>
      <c r="NWC83" s="50"/>
      <c r="NWD83" s="23"/>
      <c r="NWE83" s="50"/>
      <c r="NWF83" s="51"/>
      <c r="NWG83" s="50"/>
      <c r="NWH83" s="23"/>
      <c r="NWI83" s="50"/>
      <c r="NWJ83" s="51"/>
      <c r="NWK83" s="50"/>
      <c r="NWL83" s="23"/>
      <c r="NWM83" s="50"/>
      <c r="NWN83" s="51"/>
      <c r="NWO83" s="50"/>
      <c r="NWP83" s="23"/>
      <c r="NWQ83" s="50"/>
      <c r="NWR83" s="51"/>
      <c r="NWS83" s="50"/>
      <c r="NWT83" s="23"/>
      <c r="NWU83" s="50"/>
      <c r="NWV83" s="51"/>
      <c r="NWW83" s="50"/>
      <c r="NWX83" s="23"/>
      <c r="NWY83" s="50"/>
      <c r="NWZ83" s="51"/>
      <c r="NXA83" s="50"/>
      <c r="NXB83" s="23"/>
      <c r="NXC83" s="50"/>
      <c r="NXD83" s="51"/>
      <c r="NXE83" s="50"/>
      <c r="NXF83" s="23"/>
      <c r="NXG83" s="50"/>
      <c r="NXH83" s="51"/>
      <c r="NXI83" s="50"/>
      <c r="NXJ83" s="23"/>
      <c r="NXK83" s="50"/>
      <c r="NXL83" s="51"/>
      <c r="NXM83" s="50"/>
      <c r="NXN83" s="23"/>
      <c r="NXO83" s="50"/>
      <c r="NXP83" s="51"/>
      <c r="NXQ83" s="50"/>
      <c r="NXR83" s="23"/>
      <c r="NXS83" s="50"/>
      <c r="NXT83" s="51"/>
      <c r="NXU83" s="50"/>
      <c r="NXV83" s="23"/>
      <c r="NXW83" s="50"/>
      <c r="NXX83" s="51"/>
      <c r="NXY83" s="50"/>
      <c r="NXZ83" s="23"/>
      <c r="NYA83" s="50"/>
      <c r="NYB83" s="51"/>
      <c r="NYC83" s="50"/>
      <c r="NYD83" s="23"/>
      <c r="NYE83" s="50"/>
      <c r="NYF83" s="51"/>
      <c r="NYG83" s="50"/>
      <c r="NYH83" s="23"/>
      <c r="NYI83" s="50"/>
      <c r="NYJ83" s="51"/>
      <c r="NYK83" s="50"/>
      <c r="NYL83" s="23"/>
      <c r="NYM83" s="50"/>
      <c r="NYN83" s="51"/>
      <c r="NYO83" s="50"/>
      <c r="NYP83" s="23"/>
      <c r="NYQ83" s="50"/>
      <c r="NYR83" s="51"/>
      <c r="NYS83" s="50"/>
      <c r="NYT83" s="23"/>
      <c r="NYU83" s="50"/>
      <c r="NYV83" s="51"/>
      <c r="NYW83" s="50"/>
      <c r="NYX83" s="23"/>
      <c r="NYY83" s="50"/>
      <c r="NYZ83" s="51"/>
      <c r="NZA83" s="50"/>
      <c r="NZB83" s="23"/>
      <c r="NZC83" s="50"/>
      <c r="NZD83" s="51"/>
      <c r="NZE83" s="50"/>
      <c r="NZF83" s="23"/>
      <c r="NZG83" s="50"/>
      <c r="NZH83" s="51"/>
      <c r="NZI83" s="50"/>
      <c r="NZJ83" s="23"/>
      <c r="NZK83" s="50"/>
      <c r="NZL83" s="51"/>
      <c r="NZM83" s="50"/>
      <c r="NZN83" s="23"/>
      <c r="NZO83" s="50"/>
      <c r="NZP83" s="51"/>
      <c r="NZQ83" s="50"/>
      <c r="NZR83" s="23"/>
      <c r="NZS83" s="50"/>
      <c r="NZT83" s="51"/>
      <c r="NZU83" s="50"/>
      <c r="NZV83" s="23"/>
      <c r="NZW83" s="50"/>
      <c r="NZX83" s="51"/>
      <c r="NZY83" s="50"/>
      <c r="NZZ83" s="23"/>
      <c r="OAA83" s="50"/>
      <c r="OAB83" s="51"/>
      <c r="OAC83" s="50"/>
      <c r="OAD83" s="23"/>
      <c r="OAE83" s="50"/>
      <c r="OAF83" s="51"/>
      <c r="OAG83" s="50"/>
      <c r="OAH83" s="23"/>
      <c r="OAI83" s="50"/>
      <c r="OAJ83" s="51"/>
      <c r="OAK83" s="50"/>
      <c r="OAL83" s="23"/>
      <c r="OAM83" s="50"/>
      <c r="OAN83" s="51"/>
      <c r="OAO83" s="50"/>
      <c r="OAP83" s="23"/>
      <c r="OAQ83" s="50"/>
      <c r="OAR83" s="51"/>
      <c r="OAS83" s="50"/>
      <c r="OAT83" s="23"/>
      <c r="OAU83" s="50"/>
      <c r="OAV83" s="51"/>
      <c r="OAW83" s="50"/>
      <c r="OAX83" s="23"/>
      <c r="OAY83" s="50"/>
      <c r="OAZ83" s="51"/>
      <c r="OBA83" s="50"/>
      <c r="OBB83" s="23"/>
      <c r="OBC83" s="50"/>
      <c r="OBD83" s="51"/>
      <c r="OBE83" s="50"/>
      <c r="OBF83" s="23"/>
      <c r="OBG83" s="50"/>
      <c r="OBH83" s="51"/>
      <c r="OBI83" s="50"/>
      <c r="OBJ83" s="23"/>
      <c r="OBK83" s="50"/>
      <c r="OBL83" s="51"/>
      <c r="OBM83" s="50"/>
      <c r="OBN83" s="23"/>
      <c r="OBO83" s="50"/>
      <c r="OBP83" s="51"/>
      <c r="OBQ83" s="50"/>
      <c r="OBR83" s="23"/>
      <c r="OBS83" s="50"/>
      <c r="OBT83" s="51"/>
      <c r="OBU83" s="50"/>
      <c r="OBV83" s="23"/>
      <c r="OBW83" s="50"/>
      <c r="OBX83" s="51"/>
      <c r="OBY83" s="50"/>
      <c r="OBZ83" s="23"/>
      <c r="OCA83" s="50"/>
      <c r="OCB83" s="51"/>
      <c r="OCC83" s="50"/>
      <c r="OCD83" s="23"/>
      <c r="OCE83" s="50"/>
      <c r="OCF83" s="51"/>
      <c r="OCG83" s="50"/>
      <c r="OCH83" s="23"/>
      <c r="OCI83" s="50"/>
      <c r="OCJ83" s="51"/>
      <c r="OCK83" s="50"/>
      <c r="OCL83" s="23"/>
      <c r="OCM83" s="50"/>
      <c r="OCN83" s="51"/>
      <c r="OCO83" s="50"/>
      <c r="OCP83" s="23"/>
      <c r="OCQ83" s="50"/>
      <c r="OCR83" s="51"/>
      <c r="OCS83" s="50"/>
      <c r="OCT83" s="23"/>
      <c r="OCU83" s="50"/>
      <c r="OCV83" s="51"/>
      <c r="OCW83" s="50"/>
      <c r="OCX83" s="23"/>
      <c r="OCY83" s="50"/>
      <c r="OCZ83" s="51"/>
      <c r="ODA83" s="50"/>
      <c r="ODB83" s="23"/>
      <c r="ODC83" s="50"/>
      <c r="ODD83" s="51"/>
      <c r="ODE83" s="50"/>
      <c r="ODF83" s="23"/>
      <c r="ODG83" s="50"/>
      <c r="ODH83" s="51"/>
      <c r="ODI83" s="50"/>
      <c r="ODJ83" s="23"/>
      <c r="ODK83" s="50"/>
      <c r="ODL83" s="51"/>
      <c r="ODM83" s="50"/>
      <c r="ODN83" s="23"/>
      <c r="ODO83" s="50"/>
      <c r="ODP83" s="51"/>
      <c r="ODQ83" s="50"/>
      <c r="ODR83" s="23"/>
      <c r="ODS83" s="50"/>
      <c r="ODT83" s="51"/>
      <c r="ODU83" s="50"/>
      <c r="ODV83" s="23"/>
      <c r="ODW83" s="50"/>
      <c r="ODX83" s="51"/>
      <c r="ODY83" s="50"/>
      <c r="ODZ83" s="23"/>
      <c r="OEA83" s="50"/>
      <c r="OEB83" s="51"/>
      <c r="OEC83" s="50"/>
      <c r="OED83" s="23"/>
      <c r="OEE83" s="50"/>
      <c r="OEF83" s="51"/>
      <c r="OEG83" s="50"/>
      <c r="OEH83" s="23"/>
      <c r="OEI83" s="50"/>
      <c r="OEJ83" s="51"/>
      <c r="OEK83" s="50"/>
      <c r="OEL83" s="23"/>
      <c r="OEM83" s="50"/>
      <c r="OEN83" s="51"/>
      <c r="OEO83" s="50"/>
      <c r="OEP83" s="23"/>
      <c r="OEQ83" s="50"/>
      <c r="OER83" s="51"/>
      <c r="OES83" s="50"/>
      <c r="OET83" s="23"/>
      <c r="OEU83" s="50"/>
      <c r="OEV83" s="51"/>
      <c r="OEW83" s="50"/>
      <c r="OEX83" s="23"/>
      <c r="OEY83" s="50"/>
      <c r="OEZ83" s="51"/>
      <c r="OFA83" s="50"/>
      <c r="OFB83" s="23"/>
      <c r="OFC83" s="50"/>
      <c r="OFD83" s="51"/>
      <c r="OFE83" s="50"/>
      <c r="OFF83" s="23"/>
      <c r="OFG83" s="50"/>
      <c r="OFH83" s="51"/>
      <c r="OFI83" s="50"/>
      <c r="OFJ83" s="23"/>
      <c r="OFK83" s="50"/>
      <c r="OFL83" s="51"/>
      <c r="OFM83" s="50"/>
      <c r="OFN83" s="23"/>
      <c r="OFO83" s="50"/>
      <c r="OFP83" s="51"/>
      <c r="OFQ83" s="50"/>
      <c r="OFR83" s="23"/>
      <c r="OFS83" s="50"/>
      <c r="OFT83" s="51"/>
      <c r="OFU83" s="50"/>
      <c r="OFV83" s="23"/>
      <c r="OFW83" s="50"/>
      <c r="OFX83" s="51"/>
      <c r="OFY83" s="50"/>
      <c r="OFZ83" s="23"/>
      <c r="OGA83" s="50"/>
      <c r="OGB83" s="51"/>
      <c r="OGC83" s="50"/>
      <c r="OGD83" s="23"/>
      <c r="OGE83" s="50"/>
      <c r="OGF83" s="51"/>
      <c r="OGG83" s="50"/>
      <c r="OGH83" s="23"/>
      <c r="OGI83" s="50"/>
      <c r="OGJ83" s="51"/>
      <c r="OGK83" s="50"/>
      <c r="OGL83" s="23"/>
      <c r="OGM83" s="50"/>
      <c r="OGN83" s="51"/>
      <c r="OGO83" s="50"/>
      <c r="OGP83" s="23"/>
      <c r="OGQ83" s="50"/>
      <c r="OGR83" s="51"/>
      <c r="OGS83" s="50"/>
      <c r="OGT83" s="23"/>
      <c r="OGU83" s="50"/>
      <c r="OGV83" s="51"/>
      <c r="OGW83" s="50"/>
      <c r="OGX83" s="23"/>
      <c r="OGY83" s="50"/>
      <c r="OGZ83" s="51"/>
      <c r="OHA83" s="50"/>
      <c r="OHB83" s="23"/>
      <c r="OHC83" s="50"/>
      <c r="OHD83" s="51"/>
      <c r="OHE83" s="50"/>
      <c r="OHF83" s="23"/>
      <c r="OHG83" s="50"/>
      <c r="OHH83" s="51"/>
      <c r="OHI83" s="50"/>
      <c r="OHJ83" s="23"/>
      <c r="OHK83" s="50"/>
      <c r="OHL83" s="51"/>
      <c r="OHM83" s="50"/>
      <c r="OHN83" s="23"/>
      <c r="OHO83" s="50"/>
      <c r="OHP83" s="51"/>
      <c r="OHQ83" s="50"/>
      <c r="OHR83" s="23"/>
      <c r="OHS83" s="50"/>
      <c r="OHT83" s="51"/>
      <c r="OHU83" s="50"/>
      <c r="OHV83" s="23"/>
      <c r="OHW83" s="50"/>
      <c r="OHX83" s="51"/>
      <c r="OHY83" s="50"/>
      <c r="OHZ83" s="23"/>
      <c r="OIA83" s="50"/>
      <c r="OIB83" s="51"/>
      <c r="OIC83" s="50"/>
      <c r="OID83" s="23"/>
      <c r="OIE83" s="50"/>
      <c r="OIF83" s="51"/>
      <c r="OIG83" s="50"/>
      <c r="OIH83" s="23"/>
      <c r="OII83" s="50"/>
      <c r="OIJ83" s="51"/>
      <c r="OIK83" s="50"/>
      <c r="OIL83" s="23"/>
      <c r="OIM83" s="50"/>
      <c r="OIN83" s="51"/>
      <c r="OIO83" s="50"/>
      <c r="OIP83" s="23"/>
      <c r="OIQ83" s="50"/>
      <c r="OIR83" s="51"/>
      <c r="OIS83" s="50"/>
      <c r="OIT83" s="23"/>
      <c r="OIU83" s="50"/>
      <c r="OIV83" s="51"/>
      <c r="OIW83" s="50"/>
      <c r="OIX83" s="23"/>
      <c r="OIY83" s="50"/>
      <c r="OIZ83" s="51"/>
      <c r="OJA83" s="50"/>
      <c r="OJB83" s="23"/>
      <c r="OJC83" s="50"/>
      <c r="OJD83" s="51"/>
      <c r="OJE83" s="50"/>
      <c r="OJF83" s="23"/>
      <c r="OJG83" s="50"/>
      <c r="OJH83" s="51"/>
      <c r="OJI83" s="50"/>
      <c r="OJJ83" s="23"/>
      <c r="OJK83" s="50"/>
      <c r="OJL83" s="51"/>
      <c r="OJM83" s="50"/>
      <c r="OJN83" s="23"/>
      <c r="OJO83" s="50"/>
      <c r="OJP83" s="51"/>
      <c r="OJQ83" s="50"/>
      <c r="OJR83" s="23"/>
      <c r="OJS83" s="50"/>
      <c r="OJT83" s="51"/>
      <c r="OJU83" s="50"/>
      <c r="OJV83" s="23"/>
      <c r="OJW83" s="50"/>
      <c r="OJX83" s="51"/>
      <c r="OJY83" s="50"/>
      <c r="OJZ83" s="23"/>
      <c r="OKA83" s="50"/>
      <c r="OKB83" s="51"/>
      <c r="OKC83" s="50"/>
      <c r="OKD83" s="23"/>
      <c r="OKE83" s="50"/>
      <c r="OKF83" s="51"/>
      <c r="OKG83" s="50"/>
      <c r="OKH83" s="23"/>
      <c r="OKI83" s="50"/>
      <c r="OKJ83" s="51"/>
      <c r="OKK83" s="50"/>
      <c r="OKL83" s="23"/>
      <c r="OKM83" s="50"/>
      <c r="OKN83" s="51"/>
      <c r="OKO83" s="50"/>
      <c r="OKP83" s="23"/>
      <c r="OKQ83" s="50"/>
      <c r="OKR83" s="51"/>
      <c r="OKS83" s="50"/>
      <c r="OKT83" s="23"/>
      <c r="OKU83" s="50"/>
      <c r="OKV83" s="51"/>
      <c r="OKW83" s="50"/>
      <c r="OKX83" s="23"/>
      <c r="OKY83" s="50"/>
      <c r="OKZ83" s="51"/>
      <c r="OLA83" s="50"/>
      <c r="OLB83" s="23"/>
      <c r="OLC83" s="50"/>
      <c r="OLD83" s="51"/>
      <c r="OLE83" s="50"/>
      <c r="OLF83" s="23"/>
      <c r="OLG83" s="50"/>
      <c r="OLH83" s="51"/>
      <c r="OLI83" s="50"/>
      <c r="OLJ83" s="23"/>
      <c r="OLK83" s="50"/>
      <c r="OLL83" s="51"/>
      <c r="OLM83" s="50"/>
      <c r="OLN83" s="23"/>
      <c r="OLO83" s="50"/>
      <c r="OLP83" s="51"/>
      <c r="OLQ83" s="50"/>
      <c r="OLR83" s="23"/>
      <c r="OLS83" s="50"/>
      <c r="OLT83" s="51"/>
      <c r="OLU83" s="50"/>
      <c r="OLV83" s="23"/>
      <c r="OLW83" s="50"/>
      <c r="OLX83" s="51"/>
      <c r="OLY83" s="50"/>
      <c r="OLZ83" s="23"/>
      <c r="OMA83" s="50"/>
      <c r="OMB83" s="51"/>
      <c r="OMC83" s="50"/>
      <c r="OMD83" s="23"/>
      <c r="OME83" s="50"/>
      <c r="OMF83" s="51"/>
      <c r="OMG83" s="50"/>
      <c r="OMH83" s="23"/>
      <c r="OMI83" s="50"/>
      <c r="OMJ83" s="51"/>
      <c r="OMK83" s="50"/>
      <c r="OML83" s="23"/>
      <c r="OMM83" s="50"/>
      <c r="OMN83" s="51"/>
      <c r="OMO83" s="50"/>
      <c r="OMP83" s="23"/>
      <c r="OMQ83" s="50"/>
      <c r="OMR83" s="51"/>
      <c r="OMS83" s="50"/>
      <c r="OMT83" s="23"/>
      <c r="OMU83" s="50"/>
      <c r="OMV83" s="51"/>
      <c r="OMW83" s="50"/>
      <c r="OMX83" s="23"/>
      <c r="OMY83" s="50"/>
      <c r="OMZ83" s="51"/>
      <c r="ONA83" s="50"/>
      <c r="ONB83" s="23"/>
      <c r="ONC83" s="50"/>
      <c r="OND83" s="51"/>
      <c r="ONE83" s="50"/>
      <c r="ONF83" s="23"/>
      <c r="ONG83" s="50"/>
      <c r="ONH83" s="51"/>
      <c r="ONI83" s="50"/>
      <c r="ONJ83" s="23"/>
      <c r="ONK83" s="50"/>
      <c r="ONL83" s="51"/>
      <c r="ONM83" s="50"/>
      <c r="ONN83" s="23"/>
      <c r="ONO83" s="50"/>
      <c r="ONP83" s="51"/>
      <c r="ONQ83" s="50"/>
      <c r="ONR83" s="23"/>
      <c r="ONS83" s="50"/>
      <c r="ONT83" s="51"/>
      <c r="ONU83" s="50"/>
      <c r="ONV83" s="23"/>
      <c r="ONW83" s="50"/>
      <c r="ONX83" s="51"/>
      <c r="ONY83" s="50"/>
      <c r="ONZ83" s="23"/>
      <c r="OOA83" s="50"/>
      <c r="OOB83" s="51"/>
      <c r="OOC83" s="50"/>
      <c r="OOD83" s="23"/>
      <c r="OOE83" s="50"/>
      <c r="OOF83" s="51"/>
      <c r="OOG83" s="50"/>
      <c r="OOH83" s="23"/>
      <c r="OOI83" s="50"/>
      <c r="OOJ83" s="51"/>
      <c r="OOK83" s="50"/>
      <c r="OOL83" s="23"/>
      <c r="OOM83" s="50"/>
      <c r="OON83" s="51"/>
      <c r="OOO83" s="50"/>
      <c r="OOP83" s="23"/>
      <c r="OOQ83" s="50"/>
      <c r="OOR83" s="51"/>
      <c r="OOS83" s="50"/>
      <c r="OOT83" s="23"/>
      <c r="OOU83" s="50"/>
      <c r="OOV83" s="51"/>
      <c r="OOW83" s="50"/>
      <c r="OOX83" s="23"/>
      <c r="OOY83" s="50"/>
      <c r="OOZ83" s="51"/>
      <c r="OPA83" s="50"/>
      <c r="OPB83" s="23"/>
      <c r="OPC83" s="50"/>
      <c r="OPD83" s="51"/>
      <c r="OPE83" s="50"/>
      <c r="OPF83" s="23"/>
      <c r="OPG83" s="50"/>
      <c r="OPH83" s="51"/>
      <c r="OPI83" s="50"/>
      <c r="OPJ83" s="23"/>
      <c r="OPK83" s="50"/>
      <c r="OPL83" s="51"/>
      <c r="OPM83" s="50"/>
      <c r="OPN83" s="23"/>
      <c r="OPO83" s="50"/>
      <c r="OPP83" s="51"/>
      <c r="OPQ83" s="50"/>
      <c r="OPR83" s="23"/>
      <c r="OPS83" s="50"/>
      <c r="OPT83" s="51"/>
      <c r="OPU83" s="50"/>
      <c r="OPV83" s="23"/>
      <c r="OPW83" s="50"/>
      <c r="OPX83" s="51"/>
      <c r="OPY83" s="50"/>
      <c r="OPZ83" s="23"/>
      <c r="OQA83" s="50"/>
      <c r="OQB83" s="51"/>
      <c r="OQC83" s="50"/>
      <c r="OQD83" s="23"/>
      <c r="OQE83" s="50"/>
      <c r="OQF83" s="51"/>
      <c r="OQG83" s="50"/>
      <c r="OQH83" s="23"/>
      <c r="OQI83" s="50"/>
      <c r="OQJ83" s="51"/>
      <c r="OQK83" s="50"/>
      <c r="OQL83" s="23"/>
      <c r="OQM83" s="50"/>
      <c r="OQN83" s="51"/>
      <c r="OQO83" s="50"/>
      <c r="OQP83" s="23"/>
      <c r="OQQ83" s="50"/>
      <c r="OQR83" s="51"/>
      <c r="OQS83" s="50"/>
      <c r="OQT83" s="23"/>
      <c r="OQU83" s="50"/>
      <c r="OQV83" s="51"/>
      <c r="OQW83" s="50"/>
      <c r="OQX83" s="23"/>
      <c r="OQY83" s="50"/>
      <c r="OQZ83" s="51"/>
      <c r="ORA83" s="50"/>
      <c r="ORB83" s="23"/>
      <c r="ORC83" s="50"/>
      <c r="ORD83" s="51"/>
      <c r="ORE83" s="50"/>
      <c r="ORF83" s="23"/>
      <c r="ORG83" s="50"/>
      <c r="ORH83" s="51"/>
      <c r="ORI83" s="50"/>
      <c r="ORJ83" s="23"/>
      <c r="ORK83" s="50"/>
      <c r="ORL83" s="51"/>
      <c r="ORM83" s="50"/>
      <c r="ORN83" s="23"/>
      <c r="ORO83" s="50"/>
      <c r="ORP83" s="51"/>
      <c r="ORQ83" s="50"/>
      <c r="ORR83" s="23"/>
      <c r="ORS83" s="50"/>
      <c r="ORT83" s="51"/>
      <c r="ORU83" s="50"/>
      <c r="ORV83" s="23"/>
      <c r="ORW83" s="50"/>
      <c r="ORX83" s="51"/>
      <c r="ORY83" s="50"/>
      <c r="ORZ83" s="23"/>
      <c r="OSA83" s="50"/>
      <c r="OSB83" s="51"/>
      <c r="OSC83" s="50"/>
      <c r="OSD83" s="23"/>
      <c r="OSE83" s="50"/>
      <c r="OSF83" s="51"/>
      <c r="OSG83" s="50"/>
      <c r="OSH83" s="23"/>
      <c r="OSI83" s="50"/>
      <c r="OSJ83" s="51"/>
      <c r="OSK83" s="50"/>
      <c r="OSL83" s="23"/>
      <c r="OSM83" s="50"/>
      <c r="OSN83" s="51"/>
      <c r="OSO83" s="50"/>
      <c r="OSP83" s="23"/>
      <c r="OSQ83" s="50"/>
      <c r="OSR83" s="51"/>
      <c r="OSS83" s="50"/>
      <c r="OST83" s="23"/>
      <c r="OSU83" s="50"/>
      <c r="OSV83" s="51"/>
      <c r="OSW83" s="50"/>
      <c r="OSX83" s="23"/>
      <c r="OSY83" s="50"/>
      <c r="OSZ83" s="51"/>
      <c r="OTA83" s="50"/>
      <c r="OTB83" s="23"/>
      <c r="OTC83" s="50"/>
      <c r="OTD83" s="51"/>
      <c r="OTE83" s="50"/>
      <c r="OTF83" s="23"/>
      <c r="OTG83" s="50"/>
      <c r="OTH83" s="51"/>
      <c r="OTI83" s="50"/>
      <c r="OTJ83" s="23"/>
      <c r="OTK83" s="50"/>
      <c r="OTL83" s="51"/>
      <c r="OTM83" s="50"/>
      <c r="OTN83" s="23"/>
      <c r="OTO83" s="50"/>
      <c r="OTP83" s="51"/>
      <c r="OTQ83" s="50"/>
      <c r="OTR83" s="23"/>
      <c r="OTS83" s="50"/>
      <c r="OTT83" s="51"/>
      <c r="OTU83" s="50"/>
      <c r="OTV83" s="23"/>
      <c r="OTW83" s="50"/>
      <c r="OTX83" s="51"/>
      <c r="OTY83" s="50"/>
      <c r="OTZ83" s="23"/>
      <c r="OUA83" s="50"/>
      <c r="OUB83" s="51"/>
      <c r="OUC83" s="50"/>
      <c r="OUD83" s="23"/>
      <c r="OUE83" s="50"/>
      <c r="OUF83" s="51"/>
      <c r="OUG83" s="50"/>
      <c r="OUH83" s="23"/>
      <c r="OUI83" s="50"/>
      <c r="OUJ83" s="51"/>
      <c r="OUK83" s="50"/>
      <c r="OUL83" s="23"/>
      <c r="OUM83" s="50"/>
      <c r="OUN83" s="51"/>
      <c r="OUO83" s="50"/>
      <c r="OUP83" s="23"/>
      <c r="OUQ83" s="50"/>
      <c r="OUR83" s="51"/>
      <c r="OUS83" s="50"/>
      <c r="OUT83" s="23"/>
      <c r="OUU83" s="50"/>
      <c r="OUV83" s="51"/>
      <c r="OUW83" s="50"/>
      <c r="OUX83" s="23"/>
      <c r="OUY83" s="50"/>
      <c r="OUZ83" s="51"/>
      <c r="OVA83" s="50"/>
      <c r="OVB83" s="23"/>
      <c r="OVC83" s="50"/>
      <c r="OVD83" s="51"/>
      <c r="OVE83" s="50"/>
      <c r="OVF83" s="23"/>
      <c r="OVG83" s="50"/>
      <c r="OVH83" s="51"/>
      <c r="OVI83" s="50"/>
      <c r="OVJ83" s="23"/>
      <c r="OVK83" s="50"/>
      <c r="OVL83" s="51"/>
      <c r="OVM83" s="50"/>
      <c r="OVN83" s="23"/>
      <c r="OVO83" s="50"/>
      <c r="OVP83" s="51"/>
      <c r="OVQ83" s="50"/>
      <c r="OVR83" s="23"/>
      <c r="OVS83" s="50"/>
      <c r="OVT83" s="51"/>
      <c r="OVU83" s="50"/>
      <c r="OVV83" s="23"/>
      <c r="OVW83" s="50"/>
      <c r="OVX83" s="51"/>
      <c r="OVY83" s="50"/>
      <c r="OVZ83" s="23"/>
      <c r="OWA83" s="50"/>
      <c r="OWB83" s="51"/>
      <c r="OWC83" s="50"/>
      <c r="OWD83" s="23"/>
      <c r="OWE83" s="50"/>
      <c r="OWF83" s="51"/>
      <c r="OWG83" s="50"/>
      <c r="OWH83" s="23"/>
      <c r="OWI83" s="50"/>
      <c r="OWJ83" s="51"/>
      <c r="OWK83" s="50"/>
      <c r="OWL83" s="23"/>
      <c r="OWM83" s="50"/>
      <c r="OWN83" s="51"/>
      <c r="OWO83" s="50"/>
      <c r="OWP83" s="23"/>
      <c r="OWQ83" s="50"/>
      <c r="OWR83" s="51"/>
      <c r="OWS83" s="50"/>
      <c r="OWT83" s="23"/>
      <c r="OWU83" s="50"/>
      <c r="OWV83" s="51"/>
      <c r="OWW83" s="50"/>
      <c r="OWX83" s="23"/>
      <c r="OWY83" s="50"/>
      <c r="OWZ83" s="51"/>
      <c r="OXA83" s="50"/>
      <c r="OXB83" s="23"/>
      <c r="OXC83" s="50"/>
      <c r="OXD83" s="51"/>
      <c r="OXE83" s="50"/>
      <c r="OXF83" s="23"/>
      <c r="OXG83" s="50"/>
      <c r="OXH83" s="51"/>
      <c r="OXI83" s="50"/>
      <c r="OXJ83" s="23"/>
      <c r="OXK83" s="50"/>
      <c r="OXL83" s="51"/>
      <c r="OXM83" s="50"/>
      <c r="OXN83" s="23"/>
      <c r="OXO83" s="50"/>
      <c r="OXP83" s="51"/>
      <c r="OXQ83" s="50"/>
      <c r="OXR83" s="23"/>
      <c r="OXS83" s="50"/>
      <c r="OXT83" s="51"/>
      <c r="OXU83" s="50"/>
      <c r="OXV83" s="23"/>
      <c r="OXW83" s="50"/>
      <c r="OXX83" s="51"/>
      <c r="OXY83" s="50"/>
      <c r="OXZ83" s="23"/>
      <c r="OYA83" s="50"/>
      <c r="OYB83" s="51"/>
      <c r="OYC83" s="50"/>
      <c r="OYD83" s="23"/>
      <c r="OYE83" s="50"/>
      <c r="OYF83" s="51"/>
      <c r="OYG83" s="50"/>
      <c r="OYH83" s="23"/>
      <c r="OYI83" s="50"/>
      <c r="OYJ83" s="51"/>
      <c r="OYK83" s="50"/>
      <c r="OYL83" s="23"/>
      <c r="OYM83" s="50"/>
      <c r="OYN83" s="51"/>
      <c r="OYO83" s="50"/>
      <c r="OYP83" s="23"/>
      <c r="OYQ83" s="50"/>
      <c r="OYR83" s="51"/>
      <c r="OYS83" s="50"/>
      <c r="OYT83" s="23"/>
      <c r="OYU83" s="50"/>
      <c r="OYV83" s="51"/>
      <c r="OYW83" s="50"/>
      <c r="OYX83" s="23"/>
      <c r="OYY83" s="50"/>
      <c r="OYZ83" s="51"/>
      <c r="OZA83" s="50"/>
      <c r="OZB83" s="23"/>
      <c r="OZC83" s="50"/>
      <c r="OZD83" s="51"/>
      <c r="OZE83" s="50"/>
      <c r="OZF83" s="23"/>
      <c r="OZG83" s="50"/>
      <c r="OZH83" s="51"/>
      <c r="OZI83" s="50"/>
      <c r="OZJ83" s="23"/>
      <c r="OZK83" s="50"/>
      <c r="OZL83" s="51"/>
      <c r="OZM83" s="50"/>
      <c r="OZN83" s="23"/>
      <c r="OZO83" s="50"/>
      <c r="OZP83" s="51"/>
      <c r="OZQ83" s="50"/>
      <c r="OZR83" s="23"/>
      <c r="OZS83" s="50"/>
      <c r="OZT83" s="51"/>
      <c r="OZU83" s="50"/>
      <c r="OZV83" s="23"/>
      <c r="OZW83" s="50"/>
      <c r="OZX83" s="51"/>
      <c r="OZY83" s="50"/>
      <c r="OZZ83" s="23"/>
      <c r="PAA83" s="50"/>
      <c r="PAB83" s="51"/>
      <c r="PAC83" s="50"/>
      <c r="PAD83" s="23"/>
      <c r="PAE83" s="50"/>
      <c r="PAF83" s="51"/>
      <c r="PAG83" s="50"/>
      <c r="PAH83" s="23"/>
      <c r="PAI83" s="50"/>
      <c r="PAJ83" s="51"/>
      <c r="PAK83" s="50"/>
      <c r="PAL83" s="23"/>
      <c r="PAM83" s="50"/>
      <c r="PAN83" s="51"/>
      <c r="PAO83" s="50"/>
      <c r="PAP83" s="23"/>
      <c r="PAQ83" s="50"/>
      <c r="PAR83" s="51"/>
      <c r="PAS83" s="50"/>
      <c r="PAT83" s="23"/>
      <c r="PAU83" s="50"/>
      <c r="PAV83" s="51"/>
      <c r="PAW83" s="50"/>
      <c r="PAX83" s="23"/>
      <c r="PAY83" s="50"/>
      <c r="PAZ83" s="51"/>
      <c r="PBA83" s="50"/>
      <c r="PBB83" s="23"/>
      <c r="PBC83" s="50"/>
      <c r="PBD83" s="51"/>
      <c r="PBE83" s="50"/>
      <c r="PBF83" s="23"/>
      <c r="PBG83" s="50"/>
      <c r="PBH83" s="51"/>
      <c r="PBI83" s="50"/>
      <c r="PBJ83" s="23"/>
      <c r="PBK83" s="50"/>
      <c r="PBL83" s="51"/>
      <c r="PBM83" s="50"/>
      <c r="PBN83" s="23"/>
      <c r="PBO83" s="50"/>
      <c r="PBP83" s="51"/>
      <c r="PBQ83" s="50"/>
      <c r="PBR83" s="23"/>
      <c r="PBS83" s="50"/>
      <c r="PBT83" s="51"/>
      <c r="PBU83" s="50"/>
      <c r="PBV83" s="23"/>
      <c r="PBW83" s="50"/>
      <c r="PBX83" s="51"/>
      <c r="PBY83" s="50"/>
      <c r="PBZ83" s="23"/>
      <c r="PCA83" s="50"/>
      <c r="PCB83" s="51"/>
      <c r="PCC83" s="50"/>
      <c r="PCD83" s="23"/>
      <c r="PCE83" s="50"/>
      <c r="PCF83" s="51"/>
      <c r="PCG83" s="50"/>
      <c r="PCH83" s="23"/>
      <c r="PCI83" s="50"/>
      <c r="PCJ83" s="51"/>
      <c r="PCK83" s="50"/>
      <c r="PCL83" s="23"/>
      <c r="PCM83" s="50"/>
      <c r="PCN83" s="51"/>
      <c r="PCO83" s="50"/>
      <c r="PCP83" s="23"/>
      <c r="PCQ83" s="50"/>
      <c r="PCR83" s="51"/>
      <c r="PCS83" s="50"/>
      <c r="PCT83" s="23"/>
      <c r="PCU83" s="50"/>
      <c r="PCV83" s="51"/>
      <c r="PCW83" s="50"/>
      <c r="PCX83" s="23"/>
      <c r="PCY83" s="50"/>
      <c r="PCZ83" s="51"/>
      <c r="PDA83" s="50"/>
      <c r="PDB83" s="23"/>
      <c r="PDC83" s="50"/>
      <c r="PDD83" s="51"/>
      <c r="PDE83" s="50"/>
      <c r="PDF83" s="23"/>
      <c r="PDG83" s="50"/>
      <c r="PDH83" s="51"/>
      <c r="PDI83" s="50"/>
      <c r="PDJ83" s="23"/>
      <c r="PDK83" s="50"/>
      <c r="PDL83" s="51"/>
      <c r="PDM83" s="50"/>
      <c r="PDN83" s="23"/>
      <c r="PDO83" s="50"/>
      <c r="PDP83" s="51"/>
      <c r="PDQ83" s="50"/>
      <c r="PDR83" s="23"/>
      <c r="PDS83" s="50"/>
      <c r="PDT83" s="51"/>
      <c r="PDU83" s="50"/>
      <c r="PDV83" s="23"/>
      <c r="PDW83" s="50"/>
      <c r="PDX83" s="51"/>
      <c r="PDY83" s="50"/>
      <c r="PDZ83" s="23"/>
      <c r="PEA83" s="50"/>
      <c r="PEB83" s="51"/>
      <c r="PEC83" s="50"/>
      <c r="PED83" s="23"/>
      <c r="PEE83" s="50"/>
      <c r="PEF83" s="51"/>
      <c r="PEG83" s="50"/>
      <c r="PEH83" s="23"/>
      <c r="PEI83" s="50"/>
      <c r="PEJ83" s="51"/>
      <c r="PEK83" s="50"/>
      <c r="PEL83" s="23"/>
      <c r="PEM83" s="50"/>
      <c r="PEN83" s="51"/>
      <c r="PEO83" s="50"/>
      <c r="PEP83" s="23"/>
      <c r="PEQ83" s="50"/>
      <c r="PER83" s="51"/>
      <c r="PES83" s="50"/>
      <c r="PET83" s="23"/>
      <c r="PEU83" s="50"/>
      <c r="PEV83" s="51"/>
      <c r="PEW83" s="50"/>
      <c r="PEX83" s="23"/>
      <c r="PEY83" s="50"/>
      <c r="PEZ83" s="51"/>
      <c r="PFA83" s="50"/>
      <c r="PFB83" s="23"/>
      <c r="PFC83" s="50"/>
      <c r="PFD83" s="51"/>
      <c r="PFE83" s="50"/>
      <c r="PFF83" s="23"/>
      <c r="PFG83" s="50"/>
      <c r="PFH83" s="51"/>
      <c r="PFI83" s="50"/>
      <c r="PFJ83" s="23"/>
      <c r="PFK83" s="50"/>
      <c r="PFL83" s="51"/>
      <c r="PFM83" s="50"/>
      <c r="PFN83" s="23"/>
      <c r="PFO83" s="50"/>
      <c r="PFP83" s="51"/>
      <c r="PFQ83" s="50"/>
      <c r="PFR83" s="23"/>
      <c r="PFS83" s="50"/>
      <c r="PFT83" s="51"/>
      <c r="PFU83" s="50"/>
      <c r="PFV83" s="23"/>
      <c r="PFW83" s="50"/>
      <c r="PFX83" s="51"/>
      <c r="PFY83" s="50"/>
      <c r="PFZ83" s="23"/>
      <c r="PGA83" s="50"/>
      <c r="PGB83" s="51"/>
      <c r="PGC83" s="50"/>
      <c r="PGD83" s="23"/>
      <c r="PGE83" s="50"/>
      <c r="PGF83" s="51"/>
      <c r="PGG83" s="50"/>
      <c r="PGH83" s="23"/>
      <c r="PGI83" s="50"/>
      <c r="PGJ83" s="51"/>
      <c r="PGK83" s="50"/>
      <c r="PGL83" s="23"/>
      <c r="PGM83" s="50"/>
      <c r="PGN83" s="51"/>
      <c r="PGO83" s="50"/>
      <c r="PGP83" s="23"/>
      <c r="PGQ83" s="50"/>
      <c r="PGR83" s="51"/>
      <c r="PGS83" s="50"/>
      <c r="PGT83" s="23"/>
      <c r="PGU83" s="50"/>
      <c r="PGV83" s="51"/>
      <c r="PGW83" s="50"/>
      <c r="PGX83" s="23"/>
      <c r="PGY83" s="50"/>
      <c r="PGZ83" s="51"/>
      <c r="PHA83" s="50"/>
      <c r="PHB83" s="23"/>
      <c r="PHC83" s="50"/>
      <c r="PHD83" s="51"/>
      <c r="PHE83" s="50"/>
      <c r="PHF83" s="23"/>
      <c r="PHG83" s="50"/>
      <c r="PHH83" s="51"/>
      <c r="PHI83" s="50"/>
      <c r="PHJ83" s="23"/>
      <c r="PHK83" s="50"/>
      <c r="PHL83" s="51"/>
      <c r="PHM83" s="50"/>
      <c r="PHN83" s="23"/>
      <c r="PHO83" s="50"/>
      <c r="PHP83" s="51"/>
      <c r="PHQ83" s="50"/>
      <c r="PHR83" s="23"/>
      <c r="PHS83" s="50"/>
      <c r="PHT83" s="51"/>
      <c r="PHU83" s="50"/>
      <c r="PHV83" s="23"/>
      <c r="PHW83" s="50"/>
      <c r="PHX83" s="51"/>
      <c r="PHY83" s="50"/>
      <c r="PHZ83" s="23"/>
      <c r="PIA83" s="50"/>
      <c r="PIB83" s="51"/>
      <c r="PIC83" s="50"/>
      <c r="PID83" s="23"/>
      <c r="PIE83" s="50"/>
      <c r="PIF83" s="51"/>
      <c r="PIG83" s="50"/>
      <c r="PIH83" s="23"/>
      <c r="PII83" s="50"/>
      <c r="PIJ83" s="51"/>
      <c r="PIK83" s="50"/>
      <c r="PIL83" s="23"/>
      <c r="PIM83" s="50"/>
      <c r="PIN83" s="51"/>
      <c r="PIO83" s="50"/>
      <c r="PIP83" s="23"/>
      <c r="PIQ83" s="50"/>
      <c r="PIR83" s="51"/>
      <c r="PIS83" s="50"/>
      <c r="PIT83" s="23"/>
      <c r="PIU83" s="50"/>
      <c r="PIV83" s="51"/>
      <c r="PIW83" s="50"/>
      <c r="PIX83" s="23"/>
      <c r="PIY83" s="50"/>
      <c r="PIZ83" s="51"/>
      <c r="PJA83" s="50"/>
      <c r="PJB83" s="23"/>
      <c r="PJC83" s="50"/>
      <c r="PJD83" s="51"/>
      <c r="PJE83" s="50"/>
      <c r="PJF83" s="23"/>
      <c r="PJG83" s="50"/>
      <c r="PJH83" s="51"/>
      <c r="PJI83" s="50"/>
      <c r="PJJ83" s="23"/>
      <c r="PJK83" s="50"/>
      <c r="PJL83" s="51"/>
      <c r="PJM83" s="50"/>
      <c r="PJN83" s="23"/>
      <c r="PJO83" s="50"/>
      <c r="PJP83" s="51"/>
      <c r="PJQ83" s="50"/>
      <c r="PJR83" s="23"/>
      <c r="PJS83" s="50"/>
      <c r="PJT83" s="51"/>
      <c r="PJU83" s="50"/>
      <c r="PJV83" s="23"/>
      <c r="PJW83" s="50"/>
      <c r="PJX83" s="51"/>
      <c r="PJY83" s="50"/>
      <c r="PJZ83" s="23"/>
      <c r="PKA83" s="50"/>
      <c r="PKB83" s="51"/>
      <c r="PKC83" s="50"/>
      <c r="PKD83" s="23"/>
      <c r="PKE83" s="50"/>
      <c r="PKF83" s="51"/>
      <c r="PKG83" s="50"/>
      <c r="PKH83" s="23"/>
      <c r="PKI83" s="50"/>
      <c r="PKJ83" s="51"/>
      <c r="PKK83" s="50"/>
      <c r="PKL83" s="23"/>
      <c r="PKM83" s="50"/>
      <c r="PKN83" s="51"/>
      <c r="PKO83" s="50"/>
      <c r="PKP83" s="23"/>
      <c r="PKQ83" s="50"/>
      <c r="PKR83" s="51"/>
      <c r="PKS83" s="50"/>
      <c r="PKT83" s="23"/>
      <c r="PKU83" s="50"/>
      <c r="PKV83" s="51"/>
      <c r="PKW83" s="50"/>
      <c r="PKX83" s="23"/>
      <c r="PKY83" s="50"/>
      <c r="PKZ83" s="51"/>
      <c r="PLA83" s="50"/>
      <c r="PLB83" s="23"/>
      <c r="PLC83" s="50"/>
      <c r="PLD83" s="51"/>
      <c r="PLE83" s="50"/>
      <c r="PLF83" s="23"/>
      <c r="PLG83" s="50"/>
      <c r="PLH83" s="51"/>
      <c r="PLI83" s="50"/>
      <c r="PLJ83" s="23"/>
      <c r="PLK83" s="50"/>
      <c r="PLL83" s="51"/>
      <c r="PLM83" s="50"/>
      <c r="PLN83" s="23"/>
      <c r="PLO83" s="50"/>
      <c r="PLP83" s="51"/>
      <c r="PLQ83" s="50"/>
      <c r="PLR83" s="23"/>
      <c r="PLS83" s="50"/>
      <c r="PLT83" s="51"/>
      <c r="PLU83" s="50"/>
      <c r="PLV83" s="23"/>
      <c r="PLW83" s="50"/>
      <c r="PLX83" s="51"/>
      <c r="PLY83" s="50"/>
      <c r="PLZ83" s="23"/>
      <c r="PMA83" s="50"/>
      <c r="PMB83" s="51"/>
      <c r="PMC83" s="50"/>
      <c r="PMD83" s="23"/>
      <c r="PME83" s="50"/>
      <c r="PMF83" s="51"/>
      <c r="PMG83" s="50"/>
      <c r="PMH83" s="23"/>
      <c r="PMI83" s="50"/>
      <c r="PMJ83" s="51"/>
      <c r="PMK83" s="50"/>
      <c r="PML83" s="23"/>
      <c r="PMM83" s="50"/>
      <c r="PMN83" s="51"/>
      <c r="PMO83" s="50"/>
      <c r="PMP83" s="23"/>
      <c r="PMQ83" s="50"/>
      <c r="PMR83" s="51"/>
      <c r="PMS83" s="50"/>
      <c r="PMT83" s="23"/>
      <c r="PMU83" s="50"/>
      <c r="PMV83" s="51"/>
      <c r="PMW83" s="50"/>
      <c r="PMX83" s="23"/>
      <c r="PMY83" s="50"/>
      <c r="PMZ83" s="51"/>
      <c r="PNA83" s="50"/>
      <c r="PNB83" s="23"/>
      <c r="PNC83" s="50"/>
      <c r="PND83" s="51"/>
      <c r="PNE83" s="50"/>
      <c r="PNF83" s="23"/>
      <c r="PNG83" s="50"/>
      <c r="PNH83" s="51"/>
      <c r="PNI83" s="50"/>
      <c r="PNJ83" s="23"/>
      <c r="PNK83" s="50"/>
      <c r="PNL83" s="51"/>
      <c r="PNM83" s="50"/>
      <c r="PNN83" s="23"/>
      <c r="PNO83" s="50"/>
      <c r="PNP83" s="51"/>
      <c r="PNQ83" s="50"/>
      <c r="PNR83" s="23"/>
      <c r="PNS83" s="50"/>
      <c r="PNT83" s="51"/>
      <c r="PNU83" s="50"/>
      <c r="PNV83" s="23"/>
      <c r="PNW83" s="50"/>
      <c r="PNX83" s="51"/>
      <c r="PNY83" s="50"/>
      <c r="PNZ83" s="23"/>
      <c r="POA83" s="50"/>
      <c r="POB83" s="51"/>
      <c r="POC83" s="50"/>
      <c r="POD83" s="23"/>
      <c r="POE83" s="50"/>
      <c r="POF83" s="51"/>
      <c r="POG83" s="50"/>
      <c r="POH83" s="23"/>
      <c r="POI83" s="50"/>
      <c r="POJ83" s="51"/>
      <c r="POK83" s="50"/>
      <c r="POL83" s="23"/>
      <c r="POM83" s="50"/>
      <c r="PON83" s="51"/>
      <c r="POO83" s="50"/>
      <c r="POP83" s="23"/>
      <c r="POQ83" s="50"/>
      <c r="POR83" s="51"/>
      <c r="POS83" s="50"/>
      <c r="POT83" s="23"/>
      <c r="POU83" s="50"/>
      <c r="POV83" s="51"/>
      <c r="POW83" s="50"/>
      <c r="POX83" s="23"/>
      <c r="POY83" s="50"/>
      <c r="POZ83" s="51"/>
      <c r="PPA83" s="50"/>
      <c r="PPB83" s="23"/>
      <c r="PPC83" s="50"/>
      <c r="PPD83" s="51"/>
      <c r="PPE83" s="50"/>
      <c r="PPF83" s="23"/>
      <c r="PPG83" s="50"/>
      <c r="PPH83" s="51"/>
      <c r="PPI83" s="50"/>
      <c r="PPJ83" s="23"/>
      <c r="PPK83" s="50"/>
      <c r="PPL83" s="51"/>
      <c r="PPM83" s="50"/>
      <c r="PPN83" s="23"/>
      <c r="PPO83" s="50"/>
      <c r="PPP83" s="51"/>
      <c r="PPQ83" s="50"/>
      <c r="PPR83" s="23"/>
      <c r="PPS83" s="50"/>
      <c r="PPT83" s="51"/>
      <c r="PPU83" s="50"/>
      <c r="PPV83" s="23"/>
      <c r="PPW83" s="50"/>
      <c r="PPX83" s="51"/>
      <c r="PPY83" s="50"/>
      <c r="PPZ83" s="23"/>
      <c r="PQA83" s="50"/>
      <c r="PQB83" s="51"/>
      <c r="PQC83" s="50"/>
      <c r="PQD83" s="23"/>
      <c r="PQE83" s="50"/>
      <c r="PQF83" s="51"/>
      <c r="PQG83" s="50"/>
      <c r="PQH83" s="23"/>
      <c r="PQI83" s="50"/>
      <c r="PQJ83" s="51"/>
      <c r="PQK83" s="50"/>
      <c r="PQL83" s="23"/>
      <c r="PQM83" s="50"/>
      <c r="PQN83" s="51"/>
      <c r="PQO83" s="50"/>
      <c r="PQP83" s="23"/>
      <c r="PQQ83" s="50"/>
      <c r="PQR83" s="51"/>
      <c r="PQS83" s="50"/>
      <c r="PQT83" s="23"/>
      <c r="PQU83" s="50"/>
      <c r="PQV83" s="51"/>
      <c r="PQW83" s="50"/>
      <c r="PQX83" s="23"/>
      <c r="PQY83" s="50"/>
      <c r="PQZ83" s="51"/>
      <c r="PRA83" s="50"/>
      <c r="PRB83" s="23"/>
      <c r="PRC83" s="50"/>
      <c r="PRD83" s="51"/>
      <c r="PRE83" s="50"/>
      <c r="PRF83" s="23"/>
      <c r="PRG83" s="50"/>
      <c r="PRH83" s="51"/>
      <c r="PRI83" s="50"/>
      <c r="PRJ83" s="23"/>
      <c r="PRK83" s="50"/>
      <c r="PRL83" s="51"/>
      <c r="PRM83" s="50"/>
      <c r="PRN83" s="23"/>
      <c r="PRO83" s="50"/>
      <c r="PRP83" s="51"/>
      <c r="PRQ83" s="50"/>
      <c r="PRR83" s="23"/>
      <c r="PRS83" s="50"/>
      <c r="PRT83" s="51"/>
      <c r="PRU83" s="50"/>
      <c r="PRV83" s="23"/>
      <c r="PRW83" s="50"/>
      <c r="PRX83" s="51"/>
      <c r="PRY83" s="50"/>
      <c r="PRZ83" s="23"/>
      <c r="PSA83" s="50"/>
      <c r="PSB83" s="51"/>
      <c r="PSC83" s="50"/>
      <c r="PSD83" s="23"/>
      <c r="PSE83" s="50"/>
      <c r="PSF83" s="51"/>
      <c r="PSG83" s="50"/>
      <c r="PSH83" s="23"/>
      <c r="PSI83" s="50"/>
      <c r="PSJ83" s="51"/>
      <c r="PSK83" s="50"/>
      <c r="PSL83" s="23"/>
      <c r="PSM83" s="50"/>
      <c r="PSN83" s="51"/>
      <c r="PSO83" s="50"/>
      <c r="PSP83" s="23"/>
      <c r="PSQ83" s="50"/>
      <c r="PSR83" s="51"/>
      <c r="PSS83" s="50"/>
      <c r="PST83" s="23"/>
      <c r="PSU83" s="50"/>
      <c r="PSV83" s="51"/>
      <c r="PSW83" s="50"/>
      <c r="PSX83" s="23"/>
      <c r="PSY83" s="50"/>
      <c r="PSZ83" s="51"/>
      <c r="PTA83" s="50"/>
      <c r="PTB83" s="23"/>
      <c r="PTC83" s="50"/>
      <c r="PTD83" s="51"/>
      <c r="PTE83" s="50"/>
      <c r="PTF83" s="23"/>
      <c r="PTG83" s="50"/>
      <c r="PTH83" s="51"/>
      <c r="PTI83" s="50"/>
      <c r="PTJ83" s="23"/>
      <c r="PTK83" s="50"/>
      <c r="PTL83" s="51"/>
      <c r="PTM83" s="50"/>
      <c r="PTN83" s="23"/>
      <c r="PTO83" s="50"/>
      <c r="PTP83" s="51"/>
      <c r="PTQ83" s="50"/>
      <c r="PTR83" s="23"/>
      <c r="PTS83" s="50"/>
      <c r="PTT83" s="51"/>
      <c r="PTU83" s="50"/>
      <c r="PTV83" s="23"/>
      <c r="PTW83" s="50"/>
      <c r="PTX83" s="51"/>
      <c r="PTY83" s="50"/>
      <c r="PTZ83" s="23"/>
      <c r="PUA83" s="50"/>
      <c r="PUB83" s="51"/>
      <c r="PUC83" s="50"/>
      <c r="PUD83" s="23"/>
      <c r="PUE83" s="50"/>
      <c r="PUF83" s="51"/>
      <c r="PUG83" s="50"/>
      <c r="PUH83" s="23"/>
      <c r="PUI83" s="50"/>
      <c r="PUJ83" s="51"/>
      <c r="PUK83" s="50"/>
      <c r="PUL83" s="23"/>
      <c r="PUM83" s="50"/>
      <c r="PUN83" s="51"/>
      <c r="PUO83" s="50"/>
      <c r="PUP83" s="23"/>
      <c r="PUQ83" s="50"/>
      <c r="PUR83" s="51"/>
      <c r="PUS83" s="50"/>
      <c r="PUT83" s="23"/>
      <c r="PUU83" s="50"/>
      <c r="PUV83" s="51"/>
      <c r="PUW83" s="50"/>
      <c r="PUX83" s="23"/>
      <c r="PUY83" s="50"/>
      <c r="PUZ83" s="51"/>
      <c r="PVA83" s="50"/>
      <c r="PVB83" s="23"/>
      <c r="PVC83" s="50"/>
      <c r="PVD83" s="51"/>
      <c r="PVE83" s="50"/>
      <c r="PVF83" s="23"/>
      <c r="PVG83" s="50"/>
      <c r="PVH83" s="51"/>
      <c r="PVI83" s="50"/>
      <c r="PVJ83" s="23"/>
      <c r="PVK83" s="50"/>
      <c r="PVL83" s="51"/>
      <c r="PVM83" s="50"/>
      <c r="PVN83" s="23"/>
      <c r="PVO83" s="50"/>
      <c r="PVP83" s="51"/>
      <c r="PVQ83" s="50"/>
      <c r="PVR83" s="23"/>
      <c r="PVS83" s="50"/>
      <c r="PVT83" s="51"/>
      <c r="PVU83" s="50"/>
      <c r="PVV83" s="23"/>
      <c r="PVW83" s="50"/>
      <c r="PVX83" s="51"/>
      <c r="PVY83" s="50"/>
      <c r="PVZ83" s="23"/>
      <c r="PWA83" s="50"/>
      <c r="PWB83" s="51"/>
      <c r="PWC83" s="50"/>
      <c r="PWD83" s="23"/>
      <c r="PWE83" s="50"/>
      <c r="PWF83" s="51"/>
      <c r="PWG83" s="50"/>
      <c r="PWH83" s="23"/>
      <c r="PWI83" s="50"/>
      <c r="PWJ83" s="51"/>
      <c r="PWK83" s="50"/>
      <c r="PWL83" s="23"/>
      <c r="PWM83" s="50"/>
      <c r="PWN83" s="51"/>
      <c r="PWO83" s="50"/>
      <c r="PWP83" s="23"/>
      <c r="PWQ83" s="50"/>
      <c r="PWR83" s="51"/>
      <c r="PWS83" s="50"/>
      <c r="PWT83" s="23"/>
      <c r="PWU83" s="50"/>
      <c r="PWV83" s="51"/>
      <c r="PWW83" s="50"/>
      <c r="PWX83" s="23"/>
      <c r="PWY83" s="50"/>
      <c r="PWZ83" s="51"/>
      <c r="PXA83" s="50"/>
      <c r="PXB83" s="23"/>
      <c r="PXC83" s="50"/>
      <c r="PXD83" s="51"/>
      <c r="PXE83" s="50"/>
      <c r="PXF83" s="23"/>
      <c r="PXG83" s="50"/>
      <c r="PXH83" s="51"/>
      <c r="PXI83" s="50"/>
      <c r="PXJ83" s="23"/>
      <c r="PXK83" s="50"/>
      <c r="PXL83" s="51"/>
      <c r="PXM83" s="50"/>
      <c r="PXN83" s="23"/>
      <c r="PXO83" s="50"/>
      <c r="PXP83" s="51"/>
      <c r="PXQ83" s="50"/>
      <c r="PXR83" s="23"/>
      <c r="PXS83" s="50"/>
      <c r="PXT83" s="51"/>
      <c r="PXU83" s="50"/>
      <c r="PXV83" s="23"/>
      <c r="PXW83" s="50"/>
      <c r="PXX83" s="51"/>
      <c r="PXY83" s="50"/>
      <c r="PXZ83" s="23"/>
      <c r="PYA83" s="50"/>
      <c r="PYB83" s="51"/>
      <c r="PYC83" s="50"/>
      <c r="PYD83" s="23"/>
      <c r="PYE83" s="50"/>
      <c r="PYF83" s="51"/>
      <c r="PYG83" s="50"/>
      <c r="PYH83" s="23"/>
      <c r="PYI83" s="50"/>
      <c r="PYJ83" s="51"/>
      <c r="PYK83" s="50"/>
      <c r="PYL83" s="23"/>
      <c r="PYM83" s="50"/>
      <c r="PYN83" s="51"/>
      <c r="PYO83" s="50"/>
      <c r="PYP83" s="23"/>
      <c r="PYQ83" s="50"/>
      <c r="PYR83" s="51"/>
      <c r="PYS83" s="50"/>
      <c r="PYT83" s="23"/>
      <c r="PYU83" s="50"/>
      <c r="PYV83" s="51"/>
      <c r="PYW83" s="50"/>
      <c r="PYX83" s="23"/>
      <c r="PYY83" s="50"/>
      <c r="PYZ83" s="51"/>
      <c r="PZA83" s="50"/>
      <c r="PZB83" s="23"/>
      <c r="PZC83" s="50"/>
      <c r="PZD83" s="51"/>
      <c r="PZE83" s="50"/>
      <c r="PZF83" s="23"/>
      <c r="PZG83" s="50"/>
      <c r="PZH83" s="51"/>
      <c r="PZI83" s="50"/>
      <c r="PZJ83" s="23"/>
      <c r="PZK83" s="50"/>
      <c r="PZL83" s="51"/>
      <c r="PZM83" s="50"/>
      <c r="PZN83" s="23"/>
      <c r="PZO83" s="50"/>
      <c r="PZP83" s="51"/>
      <c r="PZQ83" s="50"/>
      <c r="PZR83" s="23"/>
      <c r="PZS83" s="50"/>
      <c r="PZT83" s="51"/>
      <c r="PZU83" s="50"/>
      <c r="PZV83" s="23"/>
      <c r="PZW83" s="50"/>
      <c r="PZX83" s="51"/>
      <c r="PZY83" s="50"/>
      <c r="PZZ83" s="23"/>
      <c r="QAA83" s="50"/>
      <c r="QAB83" s="51"/>
      <c r="QAC83" s="50"/>
      <c r="QAD83" s="23"/>
      <c r="QAE83" s="50"/>
      <c r="QAF83" s="51"/>
      <c r="QAG83" s="50"/>
      <c r="QAH83" s="23"/>
      <c r="QAI83" s="50"/>
      <c r="QAJ83" s="51"/>
      <c r="QAK83" s="50"/>
      <c r="QAL83" s="23"/>
      <c r="QAM83" s="50"/>
      <c r="QAN83" s="51"/>
      <c r="QAO83" s="50"/>
      <c r="QAP83" s="23"/>
      <c r="QAQ83" s="50"/>
      <c r="QAR83" s="51"/>
      <c r="QAS83" s="50"/>
      <c r="QAT83" s="23"/>
      <c r="QAU83" s="50"/>
      <c r="QAV83" s="51"/>
      <c r="QAW83" s="50"/>
      <c r="QAX83" s="23"/>
      <c r="QAY83" s="50"/>
      <c r="QAZ83" s="51"/>
      <c r="QBA83" s="50"/>
      <c r="QBB83" s="23"/>
      <c r="QBC83" s="50"/>
      <c r="QBD83" s="51"/>
      <c r="QBE83" s="50"/>
      <c r="QBF83" s="23"/>
      <c r="QBG83" s="50"/>
      <c r="QBH83" s="51"/>
      <c r="QBI83" s="50"/>
      <c r="QBJ83" s="23"/>
      <c r="QBK83" s="50"/>
      <c r="QBL83" s="51"/>
      <c r="QBM83" s="50"/>
      <c r="QBN83" s="23"/>
      <c r="QBO83" s="50"/>
      <c r="QBP83" s="51"/>
      <c r="QBQ83" s="50"/>
      <c r="QBR83" s="23"/>
      <c r="QBS83" s="50"/>
      <c r="QBT83" s="51"/>
      <c r="QBU83" s="50"/>
      <c r="QBV83" s="23"/>
      <c r="QBW83" s="50"/>
      <c r="QBX83" s="51"/>
      <c r="QBY83" s="50"/>
      <c r="QBZ83" s="23"/>
      <c r="QCA83" s="50"/>
      <c r="QCB83" s="51"/>
      <c r="QCC83" s="50"/>
      <c r="QCD83" s="23"/>
      <c r="QCE83" s="50"/>
      <c r="QCF83" s="51"/>
      <c r="QCG83" s="50"/>
      <c r="QCH83" s="23"/>
      <c r="QCI83" s="50"/>
      <c r="QCJ83" s="51"/>
      <c r="QCK83" s="50"/>
      <c r="QCL83" s="23"/>
      <c r="QCM83" s="50"/>
      <c r="QCN83" s="51"/>
      <c r="QCO83" s="50"/>
      <c r="QCP83" s="23"/>
      <c r="QCQ83" s="50"/>
      <c r="QCR83" s="51"/>
      <c r="QCS83" s="50"/>
      <c r="QCT83" s="23"/>
      <c r="QCU83" s="50"/>
      <c r="QCV83" s="51"/>
      <c r="QCW83" s="50"/>
      <c r="QCX83" s="23"/>
      <c r="QCY83" s="50"/>
      <c r="QCZ83" s="51"/>
      <c r="QDA83" s="50"/>
      <c r="QDB83" s="23"/>
      <c r="QDC83" s="50"/>
      <c r="QDD83" s="51"/>
      <c r="QDE83" s="50"/>
      <c r="QDF83" s="23"/>
      <c r="QDG83" s="50"/>
      <c r="QDH83" s="51"/>
      <c r="QDI83" s="50"/>
      <c r="QDJ83" s="23"/>
      <c r="QDK83" s="50"/>
      <c r="QDL83" s="51"/>
      <c r="QDM83" s="50"/>
      <c r="QDN83" s="23"/>
      <c r="QDO83" s="50"/>
      <c r="QDP83" s="51"/>
      <c r="QDQ83" s="50"/>
      <c r="QDR83" s="23"/>
      <c r="QDS83" s="50"/>
      <c r="QDT83" s="51"/>
      <c r="QDU83" s="50"/>
      <c r="QDV83" s="23"/>
      <c r="QDW83" s="50"/>
      <c r="QDX83" s="51"/>
      <c r="QDY83" s="50"/>
      <c r="QDZ83" s="23"/>
      <c r="QEA83" s="50"/>
      <c r="QEB83" s="51"/>
      <c r="QEC83" s="50"/>
      <c r="QED83" s="23"/>
      <c r="QEE83" s="50"/>
      <c r="QEF83" s="51"/>
      <c r="QEG83" s="50"/>
      <c r="QEH83" s="23"/>
      <c r="QEI83" s="50"/>
      <c r="QEJ83" s="51"/>
      <c r="QEK83" s="50"/>
      <c r="QEL83" s="23"/>
      <c r="QEM83" s="50"/>
      <c r="QEN83" s="51"/>
      <c r="QEO83" s="50"/>
      <c r="QEP83" s="23"/>
      <c r="QEQ83" s="50"/>
      <c r="QER83" s="51"/>
      <c r="QES83" s="50"/>
      <c r="QET83" s="23"/>
      <c r="QEU83" s="50"/>
      <c r="QEV83" s="51"/>
      <c r="QEW83" s="50"/>
      <c r="QEX83" s="23"/>
      <c r="QEY83" s="50"/>
      <c r="QEZ83" s="51"/>
      <c r="QFA83" s="50"/>
      <c r="QFB83" s="23"/>
      <c r="QFC83" s="50"/>
      <c r="QFD83" s="51"/>
      <c r="QFE83" s="50"/>
      <c r="QFF83" s="23"/>
      <c r="QFG83" s="50"/>
      <c r="QFH83" s="51"/>
      <c r="QFI83" s="50"/>
      <c r="QFJ83" s="23"/>
      <c r="QFK83" s="50"/>
      <c r="QFL83" s="51"/>
      <c r="QFM83" s="50"/>
      <c r="QFN83" s="23"/>
      <c r="QFO83" s="50"/>
      <c r="QFP83" s="51"/>
      <c r="QFQ83" s="50"/>
      <c r="QFR83" s="23"/>
      <c r="QFS83" s="50"/>
      <c r="QFT83" s="51"/>
      <c r="QFU83" s="50"/>
      <c r="QFV83" s="23"/>
      <c r="QFW83" s="50"/>
      <c r="QFX83" s="51"/>
      <c r="QFY83" s="50"/>
      <c r="QFZ83" s="23"/>
      <c r="QGA83" s="50"/>
      <c r="QGB83" s="51"/>
      <c r="QGC83" s="50"/>
      <c r="QGD83" s="23"/>
      <c r="QGE83" s="50"/>
      <c r="QGF83" s="51"/>
      <c r="QGG83" s="50"/>
      <c r="QGH83" s="23"/>
      <c r="QGI83" s="50"/>
      <c r="QGJ83" s="51"/>
      <c r="QGK83" s="50"/>
      <c r="QGL83" s="23"/>
      <c r="QGM83" s="50"/>
      <c r="QGN83" s="51"/>
      <c r="QGO83" s="50"/>
      <c r="QGP83" s="23"/>
      <c r="QGQ83" s="50"/>
      <c r="QGR83" s="51"/>
      <c r="QGS83" s="50"/>
      <c r="QGT83" s="23"/>
      <c r="QGU83" s="50"/>
      <c r="QGV83" s="51"/>
      <c r="QGW83" s="50"/>
      <c r="QGX83" s="23"/>
      <c r="QGY83" s="50"/>
      <c r="QGZ83" s="51"/>
      <c r="QHA83" s="50"/>
      <c r="QHB83" s="23"/>
      <c r="QHC83" s="50"/>
      <c r="QHD83" s="51"/>
      <c r="QHE83" s="50"/>
      <c r="QHF83" s="23"/>
      <c r="QHG83" s="50"/>
      <c r="QHH83" s="51"/>
      <c r="QHI83" s="50"/>
      <c r="QHJ83" s="23"/>
      <c r="QHK83" s="50"/>
      <c r="QHL83" s="51"/>
      <c r="QHM83" s="50"/>
      <c r="QHN83" s="23"/>
      <c r="QHO83" s="50"/>
      <c r="QHP83" s="51"/>
      <c r="QHQ83" s="50"/>
      <c r="QHR83" s="23"/>
      <c r="QHS83" s="50"/>
      <c r="QHT83" s="51"/>
      <c r="QHU83" s="50"/>
      <c r="QHV83" s="23"/>
      <c r="QHW83" s="50"/>
      <c r="QHX83" s="51"/>
      <c r="QHY83" s="50"/>
      <c r="QHZ83" s="23"/>
      <c r="QIA83" s="50"/>
      <c r="QIB83" s="51"/>
      <c r="QIC83" s="50"/>
      <c r="QID83" s="23"/>
      <c r="QIE83" s="50"/>
      <c r="QIF83" s="51"/>
      <c r="QIG83" s="50"/>
      <c r="QIH83" s="23"/>
      <c r="QII83" s="50"/>
      <c r="QIJ83" s="51"/>
      <c r="QIK83" s="50"/>
      <c r="QIL83" s="23"/>
      <c r="QIM83" s="50"/>
      <c r="QIN83" s="51"/>
      <c r="QIO83" s="50"/>
      <c r="QIP83" s="23"/>
      <c r="QIQ83" s="50"/>
      <c r="QIR83" s="51"/>
      <c r="QIS83" s="50"/>
      <c r="QIT83" s="23"/>
      <c r="QIU83" s="50"/>
      <c r="QIV83" s="51"/>
      <c r="QIW83" s="50"/>
      <c r="QIX83" s="23"/>
      <c r="QIY83" s="50"/>
      <c r="QIZ83" s="51"/>
      <c r="QJA83" s="50"/>
      <c r="QJB83" s="23"/>
      <c r="QJC83" s="50"/>
      <c r="QJD83" s="51"/>
      <c r="QJE83" s="50"/>
      <c r="QJF83" s="23"/>
      <c r="QJG83" s="50"/>
      <c r="QJH83" s="51"/>
      <c r="QJI83" s="50"/>
      <c r="QJJ83" s="23"/>
      <c r="QJK83" s="50"/>
      <c r="QJL83" s="51"/>
      <c r="QJM83" s="50"/>
      <c r="QJN83" s="23"/>
      <c r="QJO83" s="50"/>
      <c r="QJP83" s="51"/>
      <c r="QJQ83" s="50"/>
      <c r="QJR83" s="23"/>
      <c r="QJS83" s="50"/>
      <c r="QJT83" s="51"/>
      <c r="QJU83" s="50"/>
      <c r="QJV83" s="23"/>
      <c r="QJW83" s="50"/>
      <c r="QJX83" s="51"/>
      <c r="QJY83" s="50"/>
      <c r="QJZ83" s="23"/>
      <c r="QKA83" s="50"/>
      <c r="QKB83" s="51"/>
      <c r="QKC83" s="50"/>
      <c r="QKD83" s="23"/>
      <c r="QKE83" s="50"/>
      <c r="QKF83" s="51"/>
      <c r="QKG83" s="50"/>
      <c r="QKH83" s="23"/>
      <c r="QKI83" s="50"/>
      <c r="QKJ83" s="51"/>
      <c r="QKK83" s="50"/>
      <c r="QKL83" s="23"/>
      <c r="QKM83" s="50"/>
      <c r="QKN83" s="51"/>
      <c r="QKO83" s="50"/>
      <c r="QKP83" s="23"/>
      <c r="QKQ83" s="50"/>
      <c r="QKR83" s="51"/>
      <c r="QKS83" s="50"/>
      <c r="QKT83" s="23"/>
      <c r="QKU83" s="50"/>
      <c r="QKV83" s="51"/>
      <c r="QKW83" s="50"/>
      <c r="QKX83" s="23"/>
      <c r="QKY83" s="50"/>
      <c r="QKZ83" s="51"/>
      <c r="QLA83" s="50"/>
      <c r="QLB83" s="23"/>
      <c r="QLC83" s="50"/>
      <c r="QLD83" s="51"/>
      <c r="QLE83" s="50"/>
      <c r="QLF83" s="23"/>
      <c r="QLG83" s="50"/>
      <c r="QLH83" s="51"/>
      <c r="QLI83" s="50"/>
      <c r="QLJ83" s="23"/>
      <c r="QLK83" s="50"/>
      <c r="QLL83" s="51"/>
      <c r="QLM83" s="50"/>
      <c r="QLN83" s="23"/>
      <c r="QLO83" s="50"/>
      <c r="QLP83" s="51"/>
      <c r="QLQ83" s="50"/>
      <c r="QLR83" s="23"/>
      <c r="QLS83" s="50"/>
      <c r="QLT83" s="51"/>
      <c r="QLU83" s="50"/>
      <c r="QLV83" s="23"/>
      <c r="QLW83" s="50"/>
      <c r="QLX83" s="51"/>
      <c r="QLY83" s="50"/>
      <c r="QLZ83" s="23"/>
      <c r="QMA83" s="50"/>
      <c r="QMB83" s="51"/>
      <c r="QMC83" s="50"/>
      <c r="QMD83" s="23"/>
      <c r="QME83" s="50"/>
      <c r="QMF83" s="51"/>
      <c r="QMG83" s="50"/>
      <c r="QMH83" s="23"/>
      <c r="QMI83" s="50"/>
      <c r="QMJ83" s="51"/>
      <c r="QMK83" s="50"/>
      <c r="QML83" s="23"/>
      <c r="QMM83" s="50"/>
      <c r="QMN83" s="51"/>
      <c r="QMO83" s="50"/>
      <c r="QMP83" s="23"/>
      <c r="QMQ83" s="50"/>
      <c r="QMR83" s="51"/>
      <c r="QMS83" s="50"/>
      <c r="QMT83" s="23"/>
      <c r="QMU83" s="50"/>
      <c r="QMV83" s="51"/>
      <c r="QMW83" s="50"/>
      <c r="QMX83" s="23"/>
      <c r="QMY83" s="50"/>
      <c r="QMZ83" s="51"/>
      <c r="QNA83" s="50"/>
      <c r="QNB83" s="23"/>
      <c r="QNC83" s="50"/>
      <c r="QND83" s="51"/>
      <c r="QNE83" s="50"/>
      <c r="QNF83" s="23"/>
      <c r="QNG83" s="50"/>
      <c r="QNH83" s="51"/>
      <c r="QNI83" s="50"/>
      <c r="QNJ83" s="23"/>
      <c r="QNK83" s="50"/>
      <c r="QNL83" s="51"/>
      <c r="QNM83" s="50"/>
      <c r="QNN83" s="23"/>
      <c r="QNO83" s="50"/>
      <c r="QNP83" s="51"/>
      <c r="QNQ83" s="50"/>
      <c r="QNR83" s="23"/>
      <c r="QNS83" s="50"/>
      <c r="QNT83" s="51"/>
      <c r="QNU83" s="50"/>
      <c r="QNV83" s="23"/>
      <c r="QNW83" s="50"/>
      <c r="QNX83" s="51"/>
      <c r="QNY83" s="50"/>
      <c r="QNZ83" s="23"/>
      <c r="QOA83" s="50"/>
      <c r="QOB83" s="51"/>
      <c r="QOC83" s="50"/>
      <c r="QOD83" s="23"/>
      <c r="QOE83" s="50"/>
      <c r="QOF83" s="51"/>
      <c r="QOG83" s="50"/>
      <c r="QOH83" s="23"/>
      <c r="QOI83" s="50"/>
      <c r="QOJ83" s="51"/>
      <c r="QOK83" s="50"/>
      <c r="QOL83" s="23"/>
      <c r="QOM83" s="50"/>
      <c r="QON83" s="51"/>
      <c r="QOO83" s="50"/>
      <c r="QOP83" s="23"/>
      <c r="QOQ83" s="50"/>
      <c r="QOR83" s="51"/>
      <c r="QOS83" s="50"/>
      <c r="QOT83" s="23"/>
      <c r="QOU83" s="50"/>
      <c r="QOV83" s="51"/>
      <c r="QOW83" s="50"/>
      <c r="QOX83" s="23"/>
      <c r="QOY83" s="50"/>
      <c r="QOZ83" s="51"/>
      <c r="QPA83" s="50"/>
      <c r="QPB83" s="23"/>
      <c r="QPC83" s="50"/>
      <c r="QPD83" s="51"/>
      <c r="QPE83" s="50"/>
      <c r="QPF83" s="23"/>
      <c r="QPG83" s="50"/>
      <c r="QPH83" s="51"/>
      <c r="QPI83" s="50"/>
      <c r="QPJ83" s="23"/>
      <c r="QPK83" s="50"/>
      <c r="QPL83" s="51"/>
      <c r="QPM83" s="50"/>
      <c r="QPN83" s="23"/>
      <c r="QPO83" s="50"/>
      <c r="QPP83" s="51"/>
      <c r="QPQ83" s="50"/>
      <c r="QPR83" s="23"/>
      <c r="QPS83" s="50"/>
      <c r="QPT83" s="51"/>
      <c r="QPU83" s="50"/>
      <c r="QPV83" s="23"/>
      <c r="QPW83" s="50"/>
      <c r="QPX83" s="51"/>
      <c r="QPY83" s="50"/>
      <c r="QPZ83" s="23"/>
      <c r="QQA83" s="50"/>
      <c r="QQB83" s="51"/>
      <c r="QQC83" s="50"/>
      <c r="QQD83" s="23"/>
      <c r="QQE83" s="50"/>
      <c r="QQF83" s="51"/>
      <c r="QQG83" s="50"/>
      <c r="QQH83" s="23"/>
      <c r="QQI83" s="50"/>
      <c r="QQJ83" s="51"/>
      <c r="QQK83" s="50"/>
      <c r="QQL83" s="23"/>
      <c r="QQM83" s="50"/>
      <c r="QQN83" s="51"/>
      <c r="QQO83" s="50"/>
      <c r="QQP83" s="23"/>
      <c r="QQQ83" s="50"/>
      <c r="QQR83" s="51"/>
      <c r="QQS83" s="50"/>
      <c r="QQT83" s="23"/>
      <c r="QQU83" s="50"/>
      <c r="QQV83" s="51"/>
      <c r="QQW83" s="50"/>
      <c r="QQX83" s="23"/>
      <c r="QQY83" s="50"/>
      <c r="QQZ83" s="51"/>
      <c r="QRA83" s="50"/>
      <c r="QRB83" s="23"/>
      <c r="QRC83" s="50"/>
      <c r="QRD83" s="51"/>
      <c r="QRE83" s="50"/>
      <c r="QRF83" s="23"/>
      <c r="QRG83" s="50"/>
      <c r="QRH83" s="51"/>
      <c r="QRI83" s="50"/>
      <c r="QRJ83" s="23"/>
      <c r="QRK83" s="50"/>
      <c r="QRL83" s="51"/>
      <c r="QRM83" s="50"/>
      <c r="QRN83" s="23"/>
      <c r="QRO83" s="50"/>
      <c r="QRP83" s="51"/>
      <c r="QRQ83" s="50"/>
      <c r="QRR83" s="23"/>
      <c r="QRS83" s="50"/>
      <c r="QRT83" s="51"/>
      <c r="QRU83" s="50"/>
      <c r="QRV83" s="23"/>
      <c r="QRW83" s="50"/>
      <c r="QRX83" s="51"/>
      <c r="QRY83" s="50"/>
      <c r="QRZ83" s="23"/>
      <c r="QSA83" s="50"/>
      <c r="QSB83" s="51"/>
      <c r="QSC83" s="50"/>
      <c r="QSD83" s="23"/>
      <c r="QSE83" s="50"/>
      <c r="QSF83" s="51"/>
      <c r="QSG83" s="50"/>
      <c r="QSH83" s="23"/>
      <c r="QSI83" s="50"/>
      <c r="QSJ83" s="51"/>
      <c r="QSK83" s="50"/>
      <c r="QSL83" s="23"/>
      <c r="QSM83" s="50"/>
      <c r="QSN83" s="51"/>
      <c r="QSO83" s="50"/>
      <c r="QSP83" s="23"/>
      <c r="QSQ83" s="50"/>
      <c r="QSR83" s="51"/>
      <c r="QSS83" s="50"/>
      <c r="QST83" s="23"/>
      <c r="QSU83" s="50"/>
      <c r="QSV83" s="51"/>
      <c r="QSW83" s="50"/>
      <c r="QSX83" s="23"/>
      <c r="QSY83" s="50"/>
      <c r="QSZ83" s="51"/>
      <c r="QTA83" s="50"/>
      <c r="QTB83" s="23"/>
      <c r="QTC83" s="50"/>
      <c r="QTD83" s="51"/>
      <c r="QTE83" s="50"/>
      <c r="QTF83" s="23"/>
      <c r="QTG83" s="50"/>
      <c r="QTH83" s="51"/>
      <c r="QTI83" s="50"/>
      <c r="QTJ83" s="23"/>
      <c r="QTK83" s="50"/>
      <c r="QTL83" s="51"/>
      <c r="QTM83" s="50"/>
      <c r="QTN83" s="23"/>
      <c r="QTO83" s="50"/>
      <c r="QTP83" s="51"/>
      <c r="QTQ83" s="50"/>
      <c r="QTR83" s="23"/>
      <c r="QTS83" s="50"/>
      <c r="QTT83" s="51"/>
      <c r="QTU83" s="50"/>
      <c r="QTV83" s="23"/>
      <c r="QTW83" s="50"/>
      <c r="QTX83" s="51"/>
      <c r="QTY83" s="50"/>
      <c r="QTZ83" s="23"/>
      <c r="QUA83" s="50"/>
      <c r="QUB83" s="51"/>
      <c r="QUC83" s="50"/>
      <c r="QUD83" s="23"/>
      <c r="QUE83" s="50"/>
      <c r="QUF83" s="51"/>
      <c r="QUG83" s="50"/>
      <c r="QUH83" s="23"/>
      <c r="QUI83" s="50"/>
      <c r="QUJ83" s="51"/>
      <c r="QUK83" s="50"/>
      <c r="QUL83" s="23"/>
      <c r="QUM83" s="50"/>
      <c r="QUN83" s="51"/>
      <c r="QUO83" s="50"/>
      <c r="QUP83" s="23"/>
      <c r="QUQ83" s="50"/>
      <c r="QUR83" s="51"/>
      <c r="QUS83" s="50"/>
      <c r="QUT83" s="23"/>
      <c r="QUU83" s="50"/>
      <c r="QUV83" s="51"/>
      <c r="QUW83" s="50"/>
      <c r="QUX83" s="23"/>
      <c r="QUY83" s="50"/>
      <c r="QUZ83" s="51"/>
      <c r="QVA83" s="50"/>
      <c r="QVB83" s="23"/>
      <c r="QVC83" s="50"/>
      <c r="QVD83" s="51"/>
      <c r="QVE83" s="50"/>
      <c r="QVF83" s="23"/>
      <c r="QVG83" s="50"/>
      <c r="QVH83" s="51"/>
      <c r="QVI83" s="50"/>
      <c r="QVJ83" s="23"/>
      <c r="QVK83" s="50"/>
      <c r="QVL83" s="51"/>
      <c r="QVM83" s="50"/>
      <c r="QVN83" s="23"/>
      <c r="QVO83" s="50"/>
      <c r="QVP83" s="51"/>
      <c r="QVQ83" s="50"/>
      <c r="QVR83" s="23"/>
      <c r="QVS83" s="50"/>
      <c r="QVT83" s="51"/>
      <c r="QVU83" s="50"/>
      <c r="QVV83" s="23"/>
      <c r="QVW83" s="50"/>
      <c r="QVX83" s="51"/>
      <c r="QVY83" s="50"/>
      <c r="QVZ83" s="23"/>
      <c r="QWA83" s="50"/>
      <c r="QWB83" s="51"/>
      <c r="QWC83" s="50"/>
      <c r="QWD83" s="23"/>
      <c r="QWE83" s="50"/>
      <c r="QWF83" s="51"/>
      <c r="QWG83" s="50"/>
      <c r="QWH83" s="23"/>
      <c r="QWI83" s="50"/>
      <c r="QWJ83" s="51"/>
      <c r="QWK83" s="50"/>
      <c r="QWL83" s="23"/>
      <c r="QWM83" s="50"/>
      <c r="QWN83" s="51"/>
      <c r="QWO83" s="50"/>
      <c r="QWP83" s="23"/>
      <c r="QWQ83" s="50"/>
      <c r="QWR83" s="51"/>
      <c r="QWS83" s="50"/>
      <c r="QWT83" s="23"/>
      <c r="QWU83" s="50"/>
      <c r="QWV83" s="51"/>
      <c r="QWW83" s="50"/>
      <c r="QWX83" s="23"/>
      <c r="QWY83" s="50"/>
      <c r="QWZ83" s="51"/>
      <c r="QXA83" s="50"/>
      <c r="QXB83" s="23"/>
      <c r="QXC83" s="50"/>
      <c r="QXD83" s="51"/>
      <c r="QXE83" s="50"/>
      <c r="QXF83" s="23"/>
      <c r="QXG83" s="50"/>
      <c r="QXH83" s="51"/>
      <c r="QXI83" s="50"/>
      <c r="QXJ83" s="23"/>
      <c r="QXK83" s="50"/>
      <c r="QXL83" s="51"/>
      <c r="QXM83" s="50"/>
      <c r="QXN83" s="23"/>
      <c r="QXO83" s="50"/>
      <c r="QXP83" s="51"/>
      <c r="QXQ83" s="50"/>
      <c r="QXR83" s="23"/>
      <c r="QXS83" s="50"/>
      <c r="QXT83" s="51"/>
      <c r="QXU83" s="50"/>
      <c r="QXV83" s="23"/>
      <c r="QXW83" s="50"/>
      <c r="QXX83" s="51"/>
      <c r="QXY83" s="50"/>
      <c r="QXZ83" s="23"/>
      <c r="QYA83" s="50"/>
      <c r="QYB83" s="51"/>
      <c r="QYC83" s="50"/>
      <c r="QYD83" s="23"/>
      <c r="QYE83" s="50"/>
      <c r="QYF83" s="51"/>
      <c r="QYG83" s="50"/>
      <c r="QYH83" s="23"/>
      <c r="QYI83" s="50"/>
      <c r="QYJ83" s="51"/>
      <c r="QYK83" s="50"/>
      <c r="QYL83" s="23"/>
      <c r="QYM83" s="50"/>
      <c r="QYN83" s="51"/>
      <c r="QYO83" s="50"/>
      <c r="QYP83" s="23"/>
      <c r="QYQ83" s="50"/>
      <c r="QYR83" s="51"/>
      <c r="QYS83" s="50"/>
      <c r="QYT83" s="23"/>
      <c r="QYU83" s="50"/>
      <c r="QYV83" s="51"/>
      <c r="QYW83" s="50"/>
      <c r="QYX83" s="23"/>
      <c r="QYY83" s="50"/>
      <c r="QYZ83" s="51"/>
      <c r="QZA83" s="50"/>
      <c r="QZB83" s="23"/>
      <c r="QZC83" s="50"/>
      <c r="QZD83" s="51"/>
      <c r="QZE83" s="50"/>
      <c r="QZF83" s="23"/>
      <c r="QZG83" s="50"/>
      <c r="QZH83" s="51"/>
      <c r="QZI83" s="50"/>
      <c r="QZJ83" s="23"/>
      <c r="QZK83" s="50"/>
      <c r="QZL83" s="51"/>
      <c r="QZM83" s="50"/>
      <c r="QZN83" s="23"/>
      <c r="QZO83" s="50"/>
      <c r="QZP83" s="51"/>
      <c r="QZQ83" s="50"/>
      <c r="QZR83" s="23"/>
      <c r="QZS83" s="50"/>
      <c r="QZT83" s="51"/>
      <c r="QZU83" s="50"/>
      <c r="QZV83" s="23"/>
      <c r="QZW83" s="50"/>
      <c r="QZX83" s="51"/>
      <c r="QZY83" s="50"/>
      <c r="QZZ83" s="23"/>
      <c r="RAA83" s="50"/>
      <c r="RAB83" s="51"/>
      <c r="RAC83" s="50"/>
      <c r="RAD83" s="23"/>
      <c r="RAE83" s="50"/>
      <c r="RAF83" s="51"/>
      <c r="RAG83" s="50"/>
      <c r="RAH83" s="23"/>
      <c r="RAI83" s="50"/>
      <c r="RAJ83" s="51"/>
      <c r="RAK83" s="50"/>
      <c r="RAL83" s="23"/>
      <c r="RAM83" s="50"/>
      <c r="RAN83" s="51"/>
      <c r="RAO83" s="50"/>
      <c r="RAP83" s="23"/>
      <c r="RAQ83" s="50"/>
      <c r="RAR83" s="51"/>
      <c r="RAS83" s="50"/>
      <c r="RAT83" s="23"/>
      <c r="RAU83" s="50"/>
      <c r="RAV83" s="51"/>
      <c r="RAW83" s="50"/>
      <c r="RAX83" s="23"/>
      <c r="RAY83" s="50"/>
      <c r="RAZ83" s="51"/>
      <c r="RBA83" s="50"/>
      <c r="RBB83" s="23"/>
      <c r="RBC83" s="50"/>
      <c r="RBD83" s="51"/>
      <c r="RBE83" s="50"/>
      <c r="RBF83" s="23"/>
      <c r="RBG83" s="50"/>
      <c r="RBH83" s="51"/>
      <c r="RBI83" s="50"/>
      <c r="RBJ83" s="23"/>
      <c r="RBK83" s="50"/>
      <c r="RBL83" s="51"/>
      <c r="RBM83" s="50"/>
      <c r="RBN83" s="23"/>
      <c r="RBO83" s="50"/>
      <c r="RBP83" s="51"/>
      <c r="RBQ83" s="50"/>
      <c r="RBR83" s="23"/>
      <c r="RBS83" s="50"/>
      <c r="RBT83" s="51"/>
      <c r="RBU83" s="50"/>
      <c r="RBV83" s="23"/>
      <c r="RBW83" s="50"/>
      <c r="RBX83" s="51"/>
      <c r="RBY83" s="50"/>
      <c r="RBZ83" s="23"/>
      <c r="RCA83" s="50"/>
      <c r="RCB83" s="51"/>
      <c r="RCC83" s="50"/>
      <c r="RCD83" s="23"/>
      <c r="RCE83" s="50"/>
      <c r="RCF83" s="51"/>
      <c r="RCG83" s="50"/>
      <c r="RCH83" s="23"/>
      <c r="RCI83" s="50"/>
      <c r="RCJ83" s="51"/>
      <c r="RCK83" s="50"/>
      <c r="RCL83" s="23"/>
      <c r="RCM83" s="50"/>
      <c r="RCN83" s="51"/>
      <c r="RCO83" s="50"/>
      <c r="RCP83" s="23"/>
      <c r="RCQ83" s="50"/>
      <c r="RCR83" s="51"/>
      <c r="RCS83" s="50"/>
      <c r="RCT83" s="23"/>
      <c r="RCU83" s="50"/>
      <c r="RCV83" s="51"/>
      <c r="RCW83" s="50"/>
      <c r="RCX83" s="23"/>
      <c r="RCY83" s="50"/>
      <c r="RCZ83" s="51"/>
      <c r="RDA83" s="50"/>
      <c r="RDB83" s="23"/>
      <c r="RDC83" s="50"/>
      <c r="RDD83" s="51"/>
      <c r="RDE83" s="50"/>
      <c r="RDF83" s="23"/>
      <c r="RDG83" s="50"/>
      <c r="RDH83" s="51"/>
      <c r="RDI83" s="50"/>
      <c r="RDJ83" s="23"/>
      <c r="RDK83" s="50"/>
      <c r="RDL83" s="51"/>
      <c r="RDM83" s="50"/>
      <c r="RDN83" s="23"/>
      <c r="RDO83" s="50"/>
      <c r="RDP83" s="51"/>
      <c r="RDQ83" s="50"/>
      <c r="RDR83" s="23"/>
      <c r="RDS83" s="50"/>
      <c r="RDT83" s="51"/>
      <c r="RDU83" s="50"/>
      <c r="RDV83" s="23"/>
      <c r="RDW83" s="50"/>
      <c r="RDX83" s="51"/>
      <c r="RDY83" s="50"/>
      <c r="RDZ83" s="23"/>
      <c r="REA83" s="50"/>
      <c r="REB83" s="51"/>
      <c r="REC83" s="50"/>
      <c r="RED83" s="23"/>
      <c r="REE83" s="50"/>
      <c r="REF83" s="51"/>
      <c r="REG83" s="50"/>
      <c r="REH83" s="23"/>
      <c r="REI83" s="50"/>
      <c r="REJ83" s="51"/>
      <c r="REK83" s="50"/>
      <c r="REL83" s="23"/>
      <c r="REM83" s="50"/>
      <c r="REN83" s="51"/>
      <c r="REO83" s="50"/>
      <c r="REP83" s="23"/>
      <c r="REQ83" s="50"/>
      <c r="RER83" s="51"/>
      <c r="RES83" s="50"/>
      <c r="RET83" s="23"/>
      <c r="REU83" s="50"/>
      <c r="REV83" s="51"/>
      <c r="REW83" s="50"/>
      <c r="REX83" s="23"/>
      <c r="REY83" s="50"/>
      <c r="REZ83" s="51"/>
      <c r="RFA83" s="50"/>
      <c r="RFB83" s="23"/>
      <c r="RFC83" s="50"/>
      <c r="RFD83" s="51"/>
      <c r="RFE83" s="50"/>
      <c r="RFF83" s="23"/>
      <c r="RFG83" s="50"/>
      <c r="RFH83" s="51"/>
      <c r="RFI83" s="50"/>
      <c r="RFJ83" s="23"/>
      <c r="RFK83" s="50"/>
      <c r="RFL83" s="51"/>
      <c r="RFM83" s="50"/>
      <c r="RFN83" s="23"/>
      <c r="RFO83" s="50"/>
      <c r="RFP83" s="51"/>
      <c r="RFQ83" s="50"/>
      <c r="RFR83" s="23"/>
      <c r="RFS83" s="50"/>
      <c r="RFT83" s="51"/>
      <c r="RFU83" s="50"/>
      <c r="RFV83" s="23"/>
      <c r="RFW83" s="50"/>
      <c r="RFX83" s="51"/>
      <c r="RFY83" s="50"/>
      <c r="RFZ83" s="23"/>
      <c r="RGA83" s="50"/>
      <c r="RGB83" s="51"/>
      <c r="RGC83" s="50"/>
      <c r="RGD83" s="23"/>
      <c r="RGE83" s="50"/>
      <c r="RGF83" s="51"/>
      <c r="RGG83" s="50"/>
      <c r="RGH83" s="23"/>
      <c r="RGI83" s="50"/>
      <c r="RGJ83" s="51"/>
      <c r="RGK83" s="50"/>
      <c r="RGL83" s="23"/>
      <c r="RGM83" s="50"/>
      <c r="RGN83" s="51"/>
      <c r="RGO83" s="50"/>
      <c r="RGP83" s="23"/>
      <c r="RGQ83" s="50"/>
      <c r="RGR83" s="51"/>
      <c r="RGS83" s="50"/>
      <c r="RGT83" s="23"/>
      <c r="RGU83" s="50"/>
      <c r="RGV83" s="51"/>
      <c r="RGW83" s="50"/>
      <c r="RGX83" s="23"/>
      <c r="RGY83" s="50"/>
      <c r="RGZ83" s="51"/>
      <c r="RHA83" s="50"/>
      <c r="RHB83" s="23"/>
      <c r="RHC83" s="50"/>
      <c r="RHD83" s="51"/>
      <c r="RHE83" s="50"/>
      <c r="RHF83" s="23"/>
      <c r="RHG83" s="50"/>
      <c r="RHH83" s="51"/>
      <c r="RHI83" s="50"/>
      <c r="RHJ83" s="23"/>
      <c r="RHK83" s="50"/>
      <c r="RHL83" s="51"/>
      <c r="RHM83" s="50"/>
      <c r="RHN83" s="23"/>
      <c r="RHO83" s="50"/>
      <c r="RHP83" s="51"/>
      <c r="RHQ83" s="50"/>
      <c r="RHR83" s="23"/>
      <c r="RHS83" s="50"/>
      <c r="RHT83" s="51"/>
      <c r="RHU83" s="50"/>
      <c r="RHV83" s="23"/>
      <c r="RHW83" s="50"/>
      <c r="RHX83" s="51"/>
      <c r="RHY83" s="50"/>
      <c r="RHZ83" s="23"/>
      <c r="RIA83" s="50"/>
      <c r="RIB83" s="51"/>
      <c r="RIC83" s="50"/>
      <c r="RID83" s="23"/>
      <c r="RIE83" s="50"/>
      <c r="RIF83" s="51"/>
      <c r="RIG83" s="50"/>
      <c r="RIH83" s="23"/>
      <c r="RII83" s="50"/>
      <c r="RIJ83" s="51"/>
      <c r="RIK83" s="50"/>
      <c r="RIL83" s="23"/>
      <c r="RIM83" s="50"/>
      <c r="RIN83" s="51"/>
      <c r="RIO83" s="50"/>
      <c r="RIP83" s="23"/>
      <c r="RIQ83" s="50"/>
      <c r="RIR83" s="51"/>
      <c r="RIS83" s="50"/>
      <c r="RIT83" s="23"/>
      <c r="RIU83" s="50"/>
      <c r="RIV83" s="51"/>
      <c r="RIW83" s="50"/>
      <c r="RIX83" s="23"/>
      <c r="RIY83" s="50"/>
      <c r="RIZ83" s="51"/>
      <c r="RJA83" s="50"/>
      <c r="RJB83" s="23"/>
      <c r="RJC83" s="50"/>
      <c r="RJD83" s="51"/>
      <c r="RJE83" s="50"/>
      <c r="RJF83" s="23"/>
      <c r="RJG83" s="50"/>
      <c r="RJH83" s="51"/>
      <c r="RJI83" s="50"/>
      <c r="RJJ83" s="23"/>
      <c r="RJK83" s="50"/>
      <c r="RJL83" s="51"/>
      <c r="RJM83" s="50"/>
      <c r="RJN83" s="23"/>
      <c r="RJO83" s="50"/>
      <c r="RJP83" s="51"/>
      <c r="RJQ83" s="50"/>
      <c r="RJR83" s="23"/>
      <c r="RJS83" s="50"/>
      <c r="RJT83" s="51"/>
      <c r="RJU83" s="50"/>
      <c r="RJV83" s="23"/>
      <c r="RJW83" s="50"/>
      <c r="RJX83" s="51"/>
      <c r="RJY83" s="50"/>
      <c r="RJZ83" s="23"/>
      <c r="RKA83" s="50"/>
      <c r="RKB83" s="51"/>
      <c r="RKC83" s="50"/>
      <c r="RKD83" s="23"/>
      <c r="RKE83" s="50"/>
      <c r="RKF83" s="51"/>
      <c r="RKG83" s="50"/>
      <c r="RKH83" s="23"/>
      <c r="RKI83" s="50"/>
      <c r="RKJ83" s="51"/>
      <c r="RKK83" s="50"/>
      <c r="RKL83" s="23"/>
      <c r="RKM83" s="50"/>
      <c r="RKN83" s="51"/>
      <c r="RKO83" s="50"/>
      <c r="RKP83" s="23"/>
      <c r="RKQ83" s="50"/>
      <c r="RKR83" s="51"/>
      <c r="RKS83" s="50"/>
      <c r="RKT83" s="23"/>
      <c r="RKU83" s="50"/>
      <c r="RKV83" s="51"/>
      <c r="RKW83" s="50"/>
      <c r="RKX83" s="23"/>
      <c r="RKY83" s="50"/>
      <c r="RKZ83" s="51"/>
      <c r="RLA83" s="50"/>
      <c r="RLB83" s="23"/>
      <c r="RLC83" s="50"/>
      <c r="RLD83" s="51"/>
      <c r="RLE83" s="50"/>
      <c r="RLF83" s="23"/>
      <c r="RLG83" s="50"/>
      <c r="RLH83" s="51"/>
      <c r="RLI83" s="50"/>
      <c r="RLJ83" s="23"/>
      <c r="RLK83" s="50"/>
      <c r="RLL83" s="51"/>
      <c r="RLM83" s="50"/>
      <c r="RLN83" s="23"/>
      <c r="RLO83" s="50"/>
      <c r="RLP83" s="51"/>
      <c r="RLQ83" s="50"/>
      <c r="RLR83" s="23"/>
      <c r="RLS83" s="50"/>
      <c r="RLT83" s="51"/>
      <c r="RLU83" s="50"/>
      <c r="RLV83" s="23"/>
      <c r="RLW83" s="50"/>
      <c r="RLX83" s="51"/>
      <c r="RLY83" s="50"/>
      <c r="RLZ83" s="23"/>
      <c r="RMA83" s="50"/>
      <c r="RMB83" s="51"/>
      <c r="RMC83" s="50"/>
      <c r="RMD83" s="23"/>
      <c r="RME83" s="50"/>
      <c r="RMF83" s="51"/>
      <c r="RMG83" s="50"/>
      <c r="RMH83" s="23"/>
      <c r="RMI83" s="50"/>
      <c r="RMJ83" s="51"/>
      <c r="RMK83" s="50"/>
      <c r="RML83" s="23"/>
      <c r="RMM83" s="50"/>
      <c r="RMN83" s="51"/>
      <c r="RMO83" s="50"/>
      <c r="RMP83" s="23"/>
      <c r="RMQ83" s="50"/>
      <c r="RMR83" s="51"/>
      <c r="RMS83" s="50"/>
      <c r="RMT83" s="23"/>
      <c r="RMU83" s="50"/>
      <c r="RMV83" s="51"/>
      <c r="RMW83" s="50"/>
      <c r="RMX83" s="23"/>
      <c r="RMY83" s="50"/>
      <c r="RMZ83" s="51"/>
      <c r="RNA83" s="50"/>
      <c r="RNB83" s="23"/>
      <c r="RNC83" s="50"/>
      <c r="RND83" s="51"/>
      <c r="RNE83" s="50"/>
      <c r="RNF83" s="23"/>
      <c r="RNG83" s="50"/>
      <c r="RNH83" s="51"/>
      <c r="RNI83" s="50"/>
      <c r="RNJ83" s="23"/>
      <c r="RNK83" s="50"/>
      <c r="RNL83" s="51"/>
      <c r="RNM83" s="50"/>
      <c r="RNN83" s="23"/>
      <c r="RNO83" s="50"/>
      <c r="RNP83" s="51"/>
      <c r="RNQ83" s="50"/>
      <c r="RNR83" s="23"/>
      <c r="RNS83" s="50"/>
      <c r="RNT83" s="51"/>
      <c r="RNU83" s="50"/>
      <c r="RNV83" s="23"/>
      <c r="RNW83" s="50"/>
      <c r="RNX83" s="51"/>
      <c r="RNY83" s="50"/>
      <c r="RNZ83" s="23"/>
      <c r="ROA83" s="50"/>
      <c r="ROB83" s="51"/>
      <c r="ROC83" s="50"/>
      <c r="ROD83" s="23"/>
      <c r="ROE83" s="50"/>
      <c r="ROF83" s="51"/>
      <c r="ROG83" s="50"/>
      <c r="ROH83" s="23"/>
      <c r="ROI83" s="50"/>
      <c r="ROJ83" s="51"/>
      <c r="ROK83" s="50"/>
      <c r="ROL83" s="23"/>
      <c r="ROM83" s="50"/>
      <c r="RON83" s="51"/>
      <c r="ROO83" s="50"/>
      <c r="ROP83" s="23"/>
      <c r="ROQ83" s="50"/>
      <c r="ROR83" s="51"/>
      <c r="ROS83" s="50"/>
      <c r="ROT83" s="23"/>
      <c r="ROU83" s="50"/>
      <c r="ROV83" s="51"/>
      <c r="ROW83" s="50"/>
      <c r="ROX83" s="23"/>
      <c r="ROY83" s="50"/>
      <c r="ROZ83" s="51"/>
      <c r="RPA83" s="50"/>
      <c r="RPB83" s="23"/>
      <c r="RPC83" s="50"/>
      <c r="RPD83" s="51"/>
      <c r="RPE83" s="50"/>
      <c r="RPF83" s="23"/>
      <c r="RPG83" s="50"/>
      <c r="RPH83" s="51"/>
      <c r="RPI83" s="50"/>
      <c r="RPJ83" s="23"/>
      <c r="RPK83" s="50"/>
      <c r="RPL83" s="51"/>
      <c r="RPM83" s="50"/>
      <c r="RPN83" s="23"/>
      <c r="RPO83" s="50"/>
      <c r="RPP83" s="51"/>
      <c r="RPQ83" s="50"/>
      <c r="RPR83" s="23"/>
      <c r="RPS83" s="50"/>
      <c r="RPT83" s="51"/>
      <c r="RPU83" s="50"/>
      <c r="RPV83" s="23"/>
      <c r="RPW83" s="50"/>
      <c r="RPX83" s="51"/>
      <c r="RPY83" s="50"/>
      <c r="RPZ83" s="23"/>
      <c r="RQA83" s="50"/>
      <c r="RQB83" s="51"/>
      <c r="RQC83" s="50"/>
      <c r="RQD83" s="23"/>
      <c r="RQE83" s="50"/>
      <c r="RQF83" s="51"/>
      <c r="RQG83" s="50"/>
      <c r="RQH83" s="23"/>
      <c r="RQI83" s="50"/>
      <c r="RQJ83" s="51"/>
      <c r="RQK83" s="50"/>
      <c r="RQL83" s="23"/>
      <c r="RQM83" s="50"/>
      <c r="RQN83" s="51"/>
      <c r="RQO83" s="50"/>
      <c r="RQP83" s="23"/>
      <c r="RQQ83" s="50"/>
      <c r="RQR83" s="51"/>
      <c r="RQS83" s="50"/>
      <c r="RQT83" s="23"/>
      <c r="RQU83" s="50"/>
      <c r="RQV83" s="51"/>
      <c r="RQW83" s="50"/>
      <c r="RQX83" s="23"/>
      <c r="RQY83" s="50"/>
      <c r="RQZ83" s="51"/>
      <c r="RRA83" s="50"/>
      <c r="RRB83" s="23"/>
      <c r="RRC83" s="50"/>
      <c r="RRD83" s="51"/>
      <c r="RRE83" s="50"/>
      <c r="RRF83" s="23"/>
      <c r="RRG83" s="50"/>
      <c r="RRH83" s="51"/>
      <c r="RRI83" s="50"/>
      <c r="RRJ83" s="23"/>
      <c r="RRK83" s="50"/>
      <c r="RRL83" s="51"/>
      <c r="RRM83" s="50"/>
      <c r="RRN83" s="23"/>
      <c r="RRO83" s="50"/>
      <c r="RRP83" s="51"/>
      <c r="RRQ83" s="50"/>
      <c r="RRR83" s="23"/>
      <c r="RRS83" s="50"/>
      <c r="RRT83" s="51"/>
      <c r="RRU83" s="50"/>
      <c r="RRV83" s="23"/>
      <c r="RRW83" s="50"/>
      <c r="RRX83" s="51"/>
      <c r="RRY83" s="50"/>
      <c r="RRZ83" s="23"/>
      <c r="RSA83" s="50"/>
      <c r="RSB83" s="51"/>
      <c r="RSC83" s="50"/>
      <c r="RSD83" s="23"/>
      <c r="RSE83" s="50"/>
      <c r="RSF83" s="51"/>
      <c r="RSG83" s="50"/>
      <c r="RSH83" s="23"/>
      <c r="RSI83" s="50"/>
      <c r="RSJ83" s="51"/>
      <c r="RSK83" s="50"/>
      <c r="RSL83" s="23"/>
      <c r="RSM83" s="50"/>
      <c r="RSN83" s="51"/>
      <c r="RSO83" s="50"/>
      <c r="RSP83" s="23"/>
      <c r="RSQ83" s="50"/>
      <c r="RSR83" s="51"/>
      <c r="RSS83" s="50"/>
      <c r="RST83" s="23"/>
      <c r="RSU83" s="50"/>
      <c r="RSV83" s="51"/>
      <c r="RSW83" s="50"/>
      <c r="RSX83" s="23"/>
      <c r="RSY83" s="50"/>
      <c r="RSZ83" s="51"/>
      <c r="RTA83" s="50"/>
      <c r="RTB83" s="23"/>
      <c r="RTC83" s="50"/>
      <c r="RTD83" s="51"/>
      <c r="RTE83" s="50"/>
      <c r="RTF83" s="23"/>
      <c r="RTG83" s="50"/>
      <c r="RTH83" s="51"/>
      <c r="RTI83" s="50"/>
      <c r="RTJ83" s="23"/>
      <c r="RTK83" s="50"/>
      <c r="RTL83" s="51"/>
      <c r="RTM83" s="50"/>
      <c r="RTN83" s="23"/>
      <c r="RTO83" s="50"/>
      <c r="RTP83" s="51"/>
      <c r="RTQ83" s="50"/>
      <c r="RTR83" s="23"/>
      <c r="RTS83" s="50"/>
      <c r="RTT83" s="51"/>
      <c r="RTU83" s="50"/>
      <c r="RTV83" s="23"/>
      <c r="RTW83" s="50"/>
      <c r="RTX83" s="51"/>
      <c r="RTY83" s="50"/>
      <c r="RTZ83" s="23"/>
      <c r="RUA83" s="50"/>
      <c r="RUB83" s="51"/>
      <c r="RUC83" s="50"/>
      <c r="RUD83" s="23"/>
      <c r="RUE83" s="50"/>
      <c r="RUF83" s="51"/>
      <c r="RUG83" s="50"/>
      <c r="RUH83" s="23"/>
      <c r="RUI83" s="50"/>
      <c r="RUJ83" s="51"/>
      <c r="RUK83" s="50"/>
      <c r="RUL83" s="23"/>
      <c r="RUM83" s="50"/>
      <c r="RUN83" s="51"/>
      <c r="RUO83" s="50"/>
      <c r="RUP83" s="23"/>
      <c r="RUQ83" s="50"/>
      <c r="RUR83" s="51"/>
      <c r="RUS83" s="50"/>
      <c r="RUT83" s="23"/>
      <c r="RUU83" s="50"/>
      <c r="RUV83" s="51"/>
      <c r="RUW83" s="50"/>
      <c r="RUX83" s="23"/>
      <c r="RUY83" s="50"/>
      <c r="RUZ83" s="51"/>
      <c r="RVA83" s="50"/>
      <c r="RVB83" s="23"/>
      <c r="RVC83" s="50"/>
      <c r="RVD83" s="51"/>
      <c r="RVE83" s="50"/>
      <c r="RVF83" s="23"/>
      <c r="RVG83" s="50"/>
      <c r="RVH83" s="51"/>
      <c r="RVI83" s="50"/>
      <c r="RVJ83" s="23"/>
      <c r="RVK83" s="50"/>
      <c r="RVL83" s="51"/>
      <c r="RVM83" s="50"/>
      <c r="RVN83" s="23"/>
      <c r="RVO83" s="50"/>
      <c r="RVP83" s="51"/>
      <c r="RVQ83" s="50"/>
      <c r="RVR83" s="23"/>
      <c r="RVS83" s="50"/>
      <c r="RVT83" s="51"/>
      <c r="RVU83" s="50"/>
      <c r="RVV83" s="23"/>
      <c r="RVW83" s="50"/>
      <c r="RVX83" s="51"/>
      <c r="RVY83" s="50"/>
      <c r="RVZ83" s="23"/>
      <c r="RWA83" s="50"/>
      <c r="RWB83" s="51"/>
      <c r="RWC83" s="50"/>
      <c r="RWD83" s="23"/>
      <c r="RWE83" s="50"/>
      <c r="RWF83" s="51"/>
      <c r="RWG83" s="50"/>
      <c r="RWH83" s="23"/>
      <c r="RWI83" s="50"/>
      <c r="RWJ83" s="51"/>
      <c r="RWK83" s="50"/>
      <c r="RWL83" s="23"/>
      <c r="RWM83" s="50"/>
      <c r="RWN83" s="51"/>
      <c r="RWO83" s="50"/>
      <c r="RWP83" s="23"/>
      <c r="RWQ83" s="50"/>
      <c r="RWR83" s="51"/>
      <c r="RWS83" s="50"/>
      <c r="RWT83" s="23"/>
      <c r="RWU83" s="50"/>
      <c r="RWV83" s="51"/>
      <c r="RWW83" s="50"/>
      <c r="RWX83" s="23"/>
      <c r="RWY83" s="50"/>
      <c r="RWZ83" s="51"/>
      <c r="RXA83" s="50"/>
      <c r="RXB83" s="23"/>
      <c r="RXC83" s="50"/>
      <c r="RXD83" s="51"/>
      <c r="RXE83" s="50"/>
      <c r="RXF83" s="23"/>
      <c r="RXG83" s="50"/>
      <c r="RXH83" s="51"/>
      <c r="RXI83" s="50"/>
      <c r="RXJ83" s="23"/>
      <c r="RXK83" s="50"/>
      <c r="RXL83" s="51"/>
      <c r="RXM83" s="50"/>
      <c r="RXN83" s="23"/>
      <c r="RXO83" s="50"/>
      <c r="RXP83" s="51"/>
      <c r="RXQ83" s="50"/>
      <c r="RXR83" s="23"/>
      <c r="RXS83" s="50"/>
      <c r="RXT83" s="51"/>
      <c r="RXU83" s="50"/>
      <c r="RXV83" s="23"/>
      <c r="RXW83" s="50"/>
      <c r="RXX83" s="51"/>
      <c r="RXY83" s="50"/>
      <c r="RXZ83" s="23"/>
      <c r="RYA83" s="50"/>
      <c r="RYB83" s="51"/>
      <c r="RYC83" s="50"/>
      <c r="RYD83" s="23"/>
      <c r="RYE83" s="50"/>
      <c r="RYF83" s="51"/>
      <c r="RYG83" s="50"/>
      <c r="RYH83" s="23"/>
      <c r="RYI83" s="50"/>
      <c r="RYJ83" s="51"/>
      <c r="RYK83" s="50"/>
      <c r="RYL83" s="23"/>
      <c r="RYM83" s="50"/>
      <c r="RYN83" s="51"/>
      <c r="RYO83" s="50"/>
      <c r="RYP83" s="23"/>
      <c r="RYQ83" s="50"/>
      <c r="RYR83" s="51"/>
      <c r="RYS83" s="50"/>
      <c r="RYT83" s="23"/>
      <c r="RYU83" s="50"/>
      <c r="RYV83" s="51"/>
      <c r="RYW83" s="50"/>
      <c r="RYX83" s="23"/>
      <c r="RYY83" s="50"/>
      <c r="RYZ83" s="51"/>
      <c r="RZA83" s="50"/>
      <c r="RZB83" s="23"/>
      <c r="RZC83" s="50"/>
      <c r="RZD83" s="51"/>
      <c r="RZE83" s="50"/>
      <c r="RZF83" s="23"/>
      <c r="RZG83" s="50"/>
      <c r="RZH83" s="51"/>
      <c r="RZI83" s="50"/>
      <c r="RZJ83" s="23"/>
      <c r="RZK83" s="50"/>
      <c r="RZL83" s="51"/>
      <c r="RZM83" s="50"/>
      <c r="RZN83" s="23"/>
      <c r="RZO83" s="50"/>
      <c r="RZP83" s="51"/>
      <c r="RZQ83" s="50"/>
      <c r="RZR83" s="23"/>
      <c r="RZS83" s="50"/>
      <c r="RZT83" s="51"/>
      <c r="RZU83" s="50"/>
      <c r="RZV83" s="23"/>
      <c r="RZW83" s="50"/>
      <c r="RZX83" s="51"/>
      <c r="RZY83" s="50"/>
      <c r="RZZ83" s="23"/>
      <c r="SAA83" s="50"/>
      <c r="SAB83" s="51"/>
      <c r="SAC83" s="50"/>
      <c r="SAD83" s="23"/>
      <c r="SAE83" s="50"/>
      <c r="SAF83" s="51"/>
      <c r="SAG83" s="50"/>
      <c r="SAH83" s="23"/>
      <c r="SAI83" s="50"/>
      <c r="SAJ83" s="51"/>
      <c r="SAK83" s="50"/>
      <c r="SAL83" s="23"/>
      <c r="SAM83" s="50"/>
      <c r="SAN83" s="51"/>
      <c r="SAO83" s="50"/>
      <c r="SAP83" s="23"/>
      <c r="SAQ83" s="50"/>
      <c r="SAR83" s="51"/>
      <c r="SAS83" s="50"/>
      <c r="SAT83" s="23"/>
      <c r="SAU83" s="50"/>
      <c r="SAV83" s="51"/>
      <c r="SAW83" s="50"/>
      <c r="SAX83" s="23"/>
      <c r="SAY83" s="50"/>
      <c r="SAZ83" s="51"/>
      <c r="SBA83" s="50"/>
      <c r="SBB83" s="23"/>
      <c r="SBC83" s="50"/>
      <c r="SBD83" s="51"/>
      <c r="SBE83" s="50"/>
      <c r="SBF83" s="23"/>
      <c r="SBG83" s="50"/>
      <c r="SBH83" s="51"/>
      <c r="SBI83" s="50"/>
      <c r="SBJ83" s="23"/>
      <c r="SBK83" s="50"/>
      <c r="SBL83" s="51"/>
      <c r="SBM83" s="50"/>
      <c r="SBN83" s="23"/>
      <c r="SBO83" s="50"/>
      <c r="SBP83" s="51"/>
      <c r="SBQ83" s="50"/>
      <c r="SBR83" s="23"/>
      <c r="SBS83" s="50"/>
      <c r="SBT83" s="51"/>
      <c r="SBU83" s="50"/>
      <c r="SBV83" s="23"/>
      <c r="SBW83" s="50"/>
      <c r="SBX83" s="51"/>
      <c r="SBY83" s="50"/>
      <c r="SBZ83" s="23"/>
      <c r="SCA83" s="50"/>
      <c r="SCB83" s="51"/>
      <c r="SCC83" s="50"/>
      <c r="SCD83" s="23"/>
      <c r="SCE83" s="50"/>
      <c r="SCF83" s="51"/>
      <c r="SCG83" s="50"/>
      <c r="SCH83" s="23"/>
      <c r="SCI83" s="50"/>
      <c r="SCJ83" s="51"/>
      <c r="SCK83" s="50"/>
      <c r="SCL83" s="23"/>
      <c r="SCM83" s="50"/>
      <c r="SCN83" s="51"/>
      <c r="SCO83" s="50"/>
      <c r="SCP83" s="23"/>
      <c r="SCQ83" s="50"/>
      <c r="SCR83" s="51"/>
      <c r="SCS83" s="50"/>
      <c r="SCT83" s="23"/>
      <c r="SCU83" s="50"/>
      <c r="SCV83" s="51"/>
      <c r="SCW83" s="50"/>
      <c r="SCX83" s="23"/>
      <c r="SCY83" s="50"/>
      <c r="SCZ83" s="51"/>
      <c r="SDA83" s="50"/>
      <c r="SDB83" s="23"/>
      <c r="SDC83" s="50"/>
      <c r="SDD83" s="51"/>
      <c r="SDE83" s="50"/>
      <c r="SDF83" s="23"/>
      <c r="SDG83" s="50"/>
      <c r="SDH83" s="51"/>
      <c r="SDI83" s="50"/>
      <c r="SDJ83" s="23"/>
      <c r="SDK83" s="50"/>
      <c r="SDL83" s="51"/>
      <c r="SDM83" s="50"/>
      <c r="SDN83" s="23"/>
      <c r="SDO83" s="50"/>
      <c r="SDP83" s="51"/>
      <c r="SDQ83" s="50"/>
      <c r="SDR83" s="23"/>
      <c r="SDS83" s="50"/>
      <c r="SDT83" s="51"/>
      <c r="SDU83" s="50"/>
      <c r="SDV83" s="23"/>
      <c r="SDW83" s="50"/>
      <c r="SDX83" s="51"/>
      <c r="SDY83" s="50"/>
      <c r="SDZ83" s="23"/>
      <c r="SEA83" s="50"/>
      <c r="SEB83" s="51"/>
      <c r="SEC83" s="50"/>
      <c r="SED83" s="23"/>
      <c r="SEE83" s="50"/>
      <c r="SEF83" s="51"/>
      <c r="SEG83" s="50"/>
      <c r="SEH83" s="23"/>
      <c r="SEI83" s="50"/>
      <c r="SEJ83" s="51"/>
      <c r="SEK83" s="50"/>
      <c r="SEL83" s="23"/>
      <c r="SEM83" s="50"/>
      <c r="SEN83" s="51"/>
      <c r="SEO83" s="50"/>
      <c r="SEP83" s="23"/>
      <c r="SEQ83" s="50"/>
      <c r="SER83" s="51"/>
      <c r="SES83" s="50"/>
      <c r="SET83" s="23"/>
      <c r="SEU83" s="50"/>
      <c r="SEV83" s="51"/>
      <c r="SEW83" s="50"/>
      <c r="SEX83" s="23"/>
      <c r="SEY83" s="50"/>
      <c r="SEZ83" s="51"/>
      <c r="SFA83" s="50"/>
      <c r="SFB83" s="23"/>
      <c r="SFC83" s="50"/>
      <c r="SFD83" s="51"/>
      <c r="SFE83" s="50"/>
      <c r="SFF83" s="23"/>
      <c r="SFG83" s="50"/>
      <c r="SFH83" s="51"/>
      <c r="SFI83" s="50"/>
      <c r="SFJ83" s="23"/>
      <c r="SFK83" s="50"/>
      <c r="SFL83" s="51"/>
      <c r="SFM83" s="50"/>
      <c r="SFN83" s="23"/>
      <c r="SFO83" s="50"/>
      <c r="SFP83" s="51"/>
      <c r="SFQ83" s="50"/>
      <c r="SFR83" s="23"/>
      <c r="SFS83" s="50"/>
      <c r="SFT83" s="51"/>
      <c r="SFU83" s="50"/>
      <c r="SFV83" s="23"/>
      <c r="SFW83" s="50"/>
      <c r="SFX83" s="51"/>
      <c r="SFY83" s="50"/>
      <c r="SFZ83" s="23"/>
      <c r="SGA83" s="50"/>
      <c r="SGB83" s="51"/>
      <c r="SGC83" s="50"/>
      <c r="SGD83" s="23"/>
      <c r="SGE83" s="50"/>
      <c r="SGF83" s="51"/>
      <c r="SGG83" s="50"/>
      <c r="SGH83" s="23"/>
      <c r="SGI83" s="50"/>
      <c r="SGJ83" s="51"/>
      <c r="SGK83" s="50"/>
      <c r="SGL83" s="23"/>
      <c r="SGM83" s="50"/>
      <c r="SGN83" s="51"/>
      <c r="SGO83" s="50"/>
      <c r="SGP83" s="23"/>
      <c r="SGQ83" s="50"/>
      <c r="SGR83" s="51"/>
      <c r="SGS83" s="50"/>
      <c r="SGT83" s="23"/>
      <c r="SGU83" s="50"/>
      <c r="SGV83" s="51"/>
      <c r="SGW83" s="50"/>
      <c r="SGX83" s="23"/>
      <c r="SGY83" s="50"/>
      <c r="SGZ83" s="51"/>
      <c r="SHA83" s="50"/>
      <c r="SHB83" s="23"/>
      <c r="SHC83" s="50"/>
      <c r="SHD83" s="51"/>
      <c r="SHE83" s="50"/>
      <c r="SHF83" s="23"/>
      <c r="SHG83" s="50"/>
      <c r="SHH83" s="51"/>
      <c r="SHI83" s="50"/>
      <c r="SHJ83" s="23"/>
      <c r="SHK83" s="50"/>
      <c r="SHL83" s="51"/>
      <c r="SHM83" s="50"/>
      <c r="SHN83" s="23"/>
      <c r="SHO83" s="50"/>
      <c r="SHP83" s="51"/>
      <c r="SHQ83" s="50"/>
      <c r="SHR83" s="23"/>
      <c r="SHS83" s="50"/>
      <c r="SHT83" s="51"/>
      <c r="SHU83" s="50"/>
      <c r="SHV83" s="23"/>
      <c r="SHW83" s="50"/>
      <c r="SHX83" s="51"/>
      <c r="SHY83" s="50"/>
      <c r="SHZ83" s="23"/>
      <c r="SIA83" s="50"/>
      <c r="SIB83" s="51"/>
      <c r="SIC83" s="50"/>
      <c r="SID83" s="23"/>
      <c r="SIE83" s="50"/>
      <c r="SIF83" s="51"/>
      <c r="SIG83" s="50"/>
      <c r="SIH83" s="23"/>
      <c r="SII83" s="50"/>
      <c r="SIJ83" s="51"/>
      <c r="SIK83" s="50"/>
      <c r="SIL83" s="23"/>
      <c r="SIM83" s="50"/>
      <c r="SIN83" s="51"/>
      <c r="SIO83" s="50"/>
      <c r="SIP83" s="23"/>
      <c r="SIQ83" s="50"/>
      <c r="SIR83" s="51"/>
      <c r="SIS83" s="50"/>
      <c r="SIT83" s="23"/>
      <c r="SIU83" s="50"/>
      <c r="SIV83" s="51"/>
      <c r="SIW83" s="50"/>
      <c r="SIX83" s="23"/>
      <c r="SIY83" s="50"/>
      <c r="SIZ83" s="51"/>
      <c r="SJA83" s="50"/>
      <c r="SJB83" s="23"/>
      <c r="SJC83" s="50"/>
      <c r="SJD83" s="51"/>
      <c r="SJE83" s="50"/>
      <c r="SJF83" s="23"/>
      <c r="SJG83" s="50"/>
      <c r="SJH83" s="51"/>
      <c r="SJI83" s="50"/>
      <c r="SJJ83" s="23"/>
      <c r="SJK83" s="50"/>
      <c r="SJL83" s="51"/>
      <c r="SJM83" s="50"/>
      <c r="SJN83" s="23"/>
      <c r="SJO83" s="50"/>
      <c r="SJP83" s="51"/>
      <c r="SJQ83" s="50"/>
      <c r="SJR83" s="23"/>
      <c r="SJS83" s="50"/>
      <c r="SJT83" s="51"/>
      <c r="SJU83" s="50"/>
      <c r="SJV83" s="23"/>
      <c r="SJW83" s="50"/>
      <c r="SJX83" s="51"/>
      <c r="SJY83" s="50"/>
      <c r="SJZ83" s="23"/>
      <c r="SKA83" s="50"/>
      <c r="SKB83" s="51"/>
      <c r="SKC83" s="50"/>
      <c r="SKD83" s="23"/>
      <c r="SKE83" s="50"/>
      <c r="SKF83" s="51"/>
      <c r="SKG83" s="50"/>
      <c r="SKH83" s="23"/>
      <c r="SKI83" s="50"/>
      <c r="SKJ83" s="51"/>
      <c r="SKK83" s="50"/>
      <c r="SKL83" s="23"/>
      <c r="SKM83" s="50"/>
      <c r="SKN83" s="51"/>
      <c r="SKO83" s="50"/>
      <c r="SKP83" s="23"/>
      <c r="SKQ83" s="50"/>
      <c r="SKR83" s="51"/>
      <c r="SKS83" s="50"/>
      <c r="SKT83" s="23"/>
      <c r="SKU83" s="50"/>
      <c r="SKV83" s="51"/>
      <c r="SKW83" s="50"/>
      <c r="SKX83" s="23"/>
      <c r="SKY83" s="50"/>
      <c r="SKZ83" s="51"/>
      <c r="SLA83" s="50"/>
      <c r="SLB83" s="23"/>
      <c r="SLC83" s="50"/>
      <c r="SLD83" s="51"/>
      <c r="SLE83" s="50"/>
      <c r="SLF83" s="23"/>
      <c r="SLG83" s="50"/>
      <c r="SLH83" s="51"/>
      <c r="SLI83" s="50"/>
      <c r="SLJ83" s="23"/>
      <c r="SLK83" s="50"/>
      <c r="SLL83" s="51"/>
      <c r="SLM83" s="50"/>
      <c r="SLN83" s="23"/>
      <c r="SLO83" s="50"/>
      <c r="SLP83" s="51"/>
      <c r="SLQ83" s="50"/>
      <c r="SLR83" s="23"/>
      <c r="SLS83" s="50"/>
      <c r="SLT83" s="51"/>
      <c r="SLU83" s="50"/>
      <c r="SLV83" s="23"/>
      <c r="SLW83" s="50"/>
      <c r="SLX83" s="51"/>
      <c r="SLY83" s="50"/>
      <c r="SLZ83" s="23"/>
      <c r="SMA83" s="50"/>
      <c r="SMB83" s="51"/>
      <c r="SMC83" s="50"/>
      <c r="SMD83" s="23"/>
      <c r="SME83" s="50"/>
      <c r="SMF83" s="51"/>
      <c r="SMG83" s="50"/>
      <c r="SMH83" s="23"/>
      <c r="SMI83" s="50"/>
      <c r="SMJ83" s="51"/>
      <c r="SMK83" s="50"/>
      <c r="SML83" s="23"/>
      <c r="SMM83" s="50"/>
      <c r="SMN83" s="51"/>
      <c r="SMO83" s="50"/>
      <c r="SMP83" s="23"/>
      <c r="SMQ83" s="50"/>
      <c r="SMR83" s="51"/>
      <c r="SMS83" s="50"/>
      <c r="SMT83" s="23"/>
      <c r="SMU83" s="50"/>
      <c r="SMV83" s="51"/>
      <c r="SMW83" s="50"/>
      <c r="SMX83" s="23"/>
      <c r="SMY83" s="50"/>
      <c r="SMZ83" s="51"/>
      <c r="SNA83" s="50"/>
      <c r="SNB83" s="23"/>
      <c r="SNC83" s="50"/>
      <c r="SND83" s="51"/>
      <c r="SNE83" s="50"/>
      <c r="SNF83" s="23"/>
      <c r="SNG83" s="50"/>
      <c r="SNH83" s="51"/>
      <c r="SNI83" s="50"/>
      <c r="SNJ83" s="23"/>
      <c r="SNK83" s="50"/>
      <c r="SNL83" s="51"/>
      <c r="SNM83" s="50"/>
      <c r="SNN83" s="23"/>
      <c r="SNO83" s="50"/>
      <c r="SNP83" s="51"/>
      <c r="SNQ83" s="50"/>
      <c r="SNR83" s="23"/>
      <c r="SNS83" s="50"/>
      <c r="SNT83" s="51"/>
      <c r="SNU83" s="50"/>
      <c r="SNV83" s="23"/>
      <c r="SNW83" s="50"/>
      <c r="SNX83" s="51"/>
      <c r="SNY83" s="50"/>
      <c r="SNZ83" s="23"/>
      <c r="SOA83" s="50"/>
      <c r="SOB83" s="51"/>
      <c r="SOC83" s="50"/>
      <c r="SOD83" s="23"/>
      <c r="SOE83" s="50"/>
      <c r="SOF83" s="51"/>
      <c r="SOG83" s="50"/>
      <c r="SOH83" s="23"/>
      <c r="SOI83" s="50"/>
      <c r="SOJ83" s="51"/>
      <c r="SOK83" s="50"/>
      <c r="SOL83" s="23"/>
      <c r="SOM83" s="50"/>
      <c r="SON83" s="51"/>
      <c r="SOO83" s="50"/>
      <c r="SOP83" s="23"/>
      <c r="SOQ83" s="50"/>
      <c r="SOR83" s="51"/>
      <c r="SOS83" s="50"/>
      <c r="SOT83" s="23"/>
      <c r="SOU83" s="50"/>
      <c r="SOV83" s="51"/>
      <c r="SOW83" s="50"/>
      <c r="SOX83" s="23"/>
      <c r="SOY83" s="50"/>
      <c r="SOZ83" s="51"/>
      <c r="SPA83" s="50"/>
      <c r="SPB83" s="23"/>
      <c r="SPC83" s="50"/>
      <c r="SPD83" s="51"/>
      <c r="SPE83" s="50"/>
      <c r="SPF83" s="23"/>
      <c r="SPG83" s="50"/>
      <c r="SPH83" s="51"/>
      <c r="SPI83" s="50"/>
      <c r="SPJ83" s="23"/>
      <c r="SPK83" s="50"/>
      <c r="SPL83" s="51"/>
      <c r="SPM83" s="50"/>
      <c r="SPN83" s="23"/>
      <c r="SPO83" s="50"/>
      <c r="SPP83" s="51"/>
      <c r="SPQ83" s="50"/>
      <c r="SPR83" s="23"/>
      <c r="SPS83" s="50"/>
      <c r="SPT83" s="51"/>
      <c r="SPU83" s="50"/>
      <c r="SPV83" s="23"/>
      <c r="SPW83" s="50"/>
      <c r="SPX83" s="51"/>
      <c r="SPY83" s="50"/>
      <c r="SPZ83" s="23"/>
      <c r="SQA83" s="50"/>
      <c r="SQB83" s="51"/>
      <c r="SQC83" s="50"/>
      <c r="SQD83" s="23"/>
      <c r="SQE83" s="50"/>
      <c r="SQF83" s="51"/>
      <c r="SQG83" s="50"/>
      <c r="SQH83" s="23"/>
      <c r="SQI83" s="50"/>
      <c r="SQJ83" s="51"/>
      <c r="SQK83" s="50"/>
      <c r="SQL83" s="23"/>
      <c r="SQM83" s="50"/>
      <c r="SQN83" s="51"/>
      <c r="SQO83" s="50"/>
      <c r="SQP83" s="23"/>
      <c r="SQQ83" s="50"/>
      <c r="SQR83" s="51"/>
      <c r="SQS83" s="50"/>
      <c r="SQT83" s="23"/>
      <c r="SQU83" s="50"/>
      <c r="SQV83" s="51"/>
      <c r="SQW83" s="50"/>
      <c r="SQX83" s="23"/>
      <c r="SQY83" s="50"/>
      <c r="SQZ83" s="51"/>
      <c r="SRA83" s="50"/>
      <c r="SRB83" s="23"/>
      <c r="SRC83" s="50"/>
      <c r="SRD83" s="51"/>
      <c r="SRE83" s="50"/>
      <c r="SRF83" s="23"/>
      <c r="SRG83" s="50"/>
      <c r="SRH83" s="51"/>
      <c r="SRI83" s="50"/>
      <c r="SRJ83" s="23"/>
      <c r="SRK83" s="50"/>
      <c r="SRL83" s="51"/>
      <c r="SRM83" s="50"/>
      <c r="SRN83" s="23"/>
      <c r="SRO83" s="50"/>
      <c r="SRP83" s="51"/>
      <c r="SRQ83" s="50"/>
      <c r="SRR83" s="23"/>
      <c r="SRS83" s="50"/>
      <c r="SRT83" s="51"/>
      <c r="SRU83" s="50"/>
      <c r="SRV83" s="23"/>
      <c r="SRW83" s="50"/>
      <c r="SRX83" s="51"/>
      <c r="SRY83" s="50"/>
      <c r="SRZ83" s="23"/>
      <c r="SSA83" s="50"/>
      <c r="SSB83" s="51"/>
      <c r="SSC83" s="50"/>
      <c r="SSD83" s="23"/>
      <c r="SSE83" s="50"/>
      <c r="SSF83" s="51"/>
      <c r="SSG83" s="50"/>
      <c r="SSH83" s="23"/>
      <c r="SSI83" s="50"/>
      <c r="SSJ83" s="51"/>
      <c r="SSK83" s="50"/>
      <c r="SSL83" s="23"/>
      <c r="SSM83" s="50"/>
      <c r="SSN83" s="51"/>
      <c r="SSO83" s="50"/>
      <c r="SSP83" s="23"/>
      <c r="SSQ83" s="50"/>
      <c r="SSR83" s="51"/>
      <c r="SSS83" s="50"/>
      <c r="SST83" s="23"/>
      <c r="SSU83" s="50"/>
      <c r="SSV83" s="51"/>
      <c r="SSW83" s="50"/>
      <c r="SSX83" s="23"/>
      <c r="SSY83" s="50"/>
      <c r="SSZ83" s="51"/>
      <c r="STA83" s="50"/>
      <c r="STB83" s="23"/>
      <c r="STC83" s="50"/>
      <c r="STD83" s="51"/>
      <c r="STE83" s="50"/>
      <c r="STF83" s="23"/>
      <c r="STG83" s="50"/>
      <c r="STH83" s="51"/>
      <c r="STI83" s="50"/>
      <c r="STJ83" s="23"/>
      <c r="STK83" s="50"/>
      <c r="STL83" s="51"/>
      <c r="STM83" s="50"/>
      <c r="STN83" s="23"/>
      <c r="STO83" s="50"/>
      <c r="STP83" s="51"/>
      <c r="STQ83" s="50"/>
      <c r="STR83" s="23"/>
      <c r="STS83" s="50"/>
      <c r="STT83" s="51"/>
      <c r="STU83" s="50"/>
      <c r="STV83" s="23"/>
      <c r="STW83" s="50"/>
      <c r="STX83" s="51"/>
      <c r="STY83" s="50"/>
      <c r="STZ83" s="23"/>
      <c r="SUA83" s="50"/>
      <c r="SUB83" s="51"/>
      <c r="SUC83" s="50"/>
      <c r="SUD83" s="23"/>
      <c r="SUE83" s="50"/>
      <c r="SUF83" s="51"/>
      <c r="SUG83" s="50"/>
      <c r="SUH83" s="23"/>
      <c r="SUI83" s="50"/>
      <c r="SUJ83" s="51"/>
      <c r="SUK83" s="50"/>
      <c r="SUL83" s="23"/>
      <c r="SUM83" s="50"/>
      <c r="SUN83" s="51"/>
      <c r="SUO83" s="50"/>
      <c r="SUP83" s="23"/>
      <c r="SUQ83" s="50"/>
      <c r="SUR83" s="51"/>
      <c r="SUS83" s="50"/>
      <c r="SUT83" s="23"/>
      <c r="SUU83" s="50"/>
      <c r="SUV83" s="51"/>
      <c r="SUW83" s="50"/>
      <c r="SUX83" s="23"/>
      <c r="SUY83" s="50"/>
      <c r="SUZ83" s="51"/>
      <c r="SVA83" s="50"/>
      <c r="SVB83" s="23"/>
      <c r="SVC83" s="50"/>
      <c r="SVD83" s="51"/>
      <c r="SVE83" s="50"/>
      <c r="SVF83" s="23"/>
      <c r="SVG83" s="50"/>
      <c r="SVH83" s="51"/>
      <c r="SVI83" s="50"/>
      <c r="SVJ83" s="23"/>
      <c r="SVK83" s="50"/>
      <c r="SVL83" s="51"/>
      <c r="SVM83" s="50"/>
      <c r="SVN83" s="23"/>
      <c r="SVO83" s="50"/>
      <c r="SVP83" s="51"/>
      <c r="SVQ83" s="50"/>
      <c r="SVR83" s="23"/>
      <c r="SVS83" s="50"/>
      <c r="SVT83" s="51"/>
      <c r="SVU83" s="50"/>
      <c r="SVV83" s="23"/>
      <c r="SVW83" s="50"/>
      <c r="SVX83" s="51"/>
      <c r="SVY83" s="50"/>
      <c r="SVZ83" s="23"/>
      <c r="SWA83" s="50"/>
      <c r="SWB83" s="51"/>
      <c r="SWC83" s="50"/>
      <c r="SWD83" s="23"/>
      <c r="SWE83" s="50"/>
      <c r="SWF83" s="51"/>
      <c r="SWG83" s="50"/>
      <c r="SWH83" s="23"/>
      <c r="SWI83" s="50"/>
      <c r="SWJ83" s="51"/>
      <c r="SWK83" s="50"/>
      <c r="SWL83" s="23"/>
      <c r="SWM83" s="50"/>
      <c r="SWN83" s="51"/>
      <c r="SWO83" s="50"/>
      <c r="SWP83" s="23"/>
      <c r="SWQ83" s="50"/>
      <c r="SWR83" s="51"/>
      <c r="SWS83" s="50"/>
      <c r="SWT83" s="23"/>
      <c r="SWU83" s="50"/>
      <c r="SWV83" s="51"/>
      <c r="SWW83" s="50"/>
      <c r="SWX83" s="23"/>
      <c r="SWY83" s="50"/>
      <c r="SWZ83" s="51"/>
      <c r="SXA83" s="50"/>
      <c r="SXB83" s="23"/>
      <c r="SXC83" s="50"/>
      <c r="SXD83" s="51"/>
      <c r="SXE83" s="50"/>
      <c r="SXF83" s="23"/>
      <c r="SXG83" s="50"/>
      <c r="SXH83" s="51"/>
      <c r="SXI83" s="50"/>
      <c r="SXJ83" s="23"/>
      <c r="SXK83" s="50"/>
      <c r="SXL83" s="51"/>
      <c r="SXM83" s="50"/>
      <c r="SXN83" s="23"/>
      <c r="SXO83" s="50"/>
      <c r="SXP83" s="51"/>
      <c r="SXQ83" s="50"/>
      <c r="SXR83" s="23"/>
      <c r="SXS83" s="50"/>
      <c r="SXT83" s="51"/>
      <c r="SXU83" s="50"/>
      <c r="SXV83" s="23"/>
      <c r="SXW83" s="50"/>
      <c r="SXX83" s="51"/>
      <c r="SXY83" s="50"/>
      <c r="SXZ83" s="23"/>
      <c r="SYA83" s="50"/>
      <c r="SYB83" s="51"/>
      <c r="SYC83" s="50"/>
      <c r="SYD83" s="23"/>
      <c r="SYE83" s="50"/>
      <c r="SYF83" s="51"/>
      <c r="SYG83" s="50"/>
      <c r="SYH83" s="23"/>
      <c r="SYI83" s="50"/>
      <c r="SYJ83" s="51"/>
      <c r="SYK83" s="50"/>
      <c r="SYL83" s="23"/>
      <c r="SYM83" s="50"/>
      <c r="SYN83" s="51"/>
      <c r="SYO83" s="50"/>
      <c r="SYP83" s="23"/>
      <c r="SYQ83" s="50"/>
      <c r="SYR83" s="51"/>
      <c r="SYS83" s="50"/>
      <c r="SYT83" s="23"/>
      <c r="SYU83" s="50"/>
      <c r="SYV83" s="51"/>
      <c r="SYW83" s="50"/>
      <c r="SYX83" s="23"/>
      <c r="SYY83" s="50"/>
      <c r="SYZ83" s="51"/>
      <c r="SZA83" s="50"/>
      <c r="SZB83" s="23"/>
      <c r="SZC83" s="50"/>
      <c r="SZD83" s="51"/>
      <c r="SZE83" s="50"/>
      <c r="SZF83" s="23"/>
      <c r="SZG83" s="50"/>
      <c r="SZH83" s="51"/>
      <c r="SZI83" s="50"/>
      <c r="SZJ83" s="23"/>
      <c r="SZK83" s="50"/>
      <c r="SZL83" s="51"/>
      <c r="SZM83" s="50"/>
      <c r="SZN83" s="23"/>
      <c r="SZO83" s="50"/>
      <c r="SZP83" s="51"/>
      <c r="SZQ83" s="50"/>
      <c r="SZR83" s="23"/>
      <c r="SZS83" s="50"/>
      <c r="SZT83" s="51"/>
      <c r="SZU83" s="50"/>
      <c r="SZV83" s="23"/>
      <c r="SZW83" s="50"/>
      <c r="SZX83" s="51"/>
      <c r="SZY83" s="50"/>
      <c r="SZZ83" s="23"/>
      <c r="TAA83" s="50"/>
      <c r="TAB83" s="51"/>
      <c r="TAC83" s="50"/>
      <c r="TAD83" s="23"/>
      <c r="TAE83" s="50"/>
      <c r="TAF83" s="51"/>
      <c r="TAG83" s="50"/>
      <c r="TAH83" s="23"/>
      <c r="TAI83" s="50"/>
      <c r="TAJ83" s="51"/>
      <c r="TAK83" s="50"/>
      <c r="TAL83" s="23"/>
      <c r="TAM83" s="50"/>
      <c r="TAN83" s="51"/>
      <c r="TAO83" s="50"/>
      <c r="TAP83" s="23"/>
      <c r="TAQ83" s="50"/>
      <c r="TAR83" s="51"/>
      <c r="TAS83" s="50"/>
      <c r="TAT83" s="23"/>
      <c r="TAU83" s="50"/>
      <c r="TAV83" s="51"/>
      <c r="TAW83" s="50"/>
      <c r="TAX83" s="23"/>
      <c r="TAY83" s="50"/>
      <c r="TAZ83" s="51"/>
      <c r="TBA83" s="50"/>
      <c r="TBB83" s="23"/>
      <c r="TBC83" s="50"/>
      <c r="TBD83" s="51"/>
      <c r="TBE83" s="50"/>
      <c r="TBF83" s="23"/>
      <c r="TBG83" s="50"/>
      <c r="TBH83" s="51"/>
      <c r="TBI83" s="50"/>
      <c r="TBJ83" s="23"/>
      <c r="TBK83" s="50"/>
      <c r="TBL83" s="51"/>
      <c r="TBM83" s="50"/>
      <c r="TBN83" s="23"/>
      <c r="TBO83" s="50"/>
      <c r="TBP83" s="51"/>
      <c r="TBQ83" s="50"/>
      <c r="TBR83" s="23"/>
      <c r="TBS83" s="50"/>
      <c r="TBT83" s="51"/>
      <c r="TBU83" s="50"/>
      <c r="TBV83" s="23"/>
      <c r="TBW83" s="50"/>
      <c r="TBX83" s="51"/>
      <c r="TBY83" s="50"/>
      <c r="TBZ83" s="23"/>
      <c r="TCA83" s="50"/>
      <c r="TCB83" s="51"/>
      <c r="TCC83" s="50"/>
      <c r="TCD83" s="23"/>
      <c r="TCE83" s="50"/>
      <c r="TCF83" s="51"/>
      <c r="TCG83" s="50"/>
      <c r="TCH83" s="23"/>
      <c r="TCI83" s="50"/>
      <c r="TCJ83" s="51"/>
      <c r="TCK83" s="50"/>
      <c r="TCL83" s="23"/>
      <c r="TCM83" s="50"/>
      <c r="TCN83" s="51"/>
      <c r="TCO83" s="50"/>
      <c r="TCP83" s="23"/>
      <c r="TCQ83" s="50"/>
      <c r="TCR83" s="51"/>
      <c r="TCS83" s="50"/>
      <c r="TCT83" s="23"/>
      <c r="TCU83" s="50"/>
      <c r="TCV83" s="51"/>
      <c r="TCW83" s="50"/>
      <c r="TCX83" s="23"/>
      <c r="TCY83" s="50"/>
      <c r="TCZ83" s="51"/>
      <c r="TDA83" s="50"/>
      <c r="TDB83" s="23"/>
      <c r="TDC83" s="50"/>
      <c r="TDD83" s="51"/>
      <c r="TDE83" s="50"/>
      <c r="TDF83" s="23"/>
      <c r="TDG83" s="50"/>
      <c r="TDH83" s="51"/>
      <c r="TDI83" s="50"/>
      <c r="TDJ83" s="23"/>
      <c r="TDK83" s="50"/>
      <c r="TDL83" s="51"/>
      <c r="TDM83" s="50"/>
      <c r="TDN83" s="23"/>
      <c r="TDO83" s="50"/>
      <c r="TDP83" s="51"/>
      <c r="TDQ83" s="50"/>
      <c r="TDR83" s="23"/>
      <c r="TDS83" s="50"/>
      <c r="TDT83" s="51"/>
      <c r="TDU83" s="50"/>
      <c r="TDV83" s="23"/>
      <c r="TDW83" s="50"/>
      <c r="TDX83" s="51"/>
      <c r="TDY83" s="50"/>
      <c r="TDZ83" s="23"/>
      <c r="TEA83" s="50"/>
      <c r="TEB83" s="51"/>
      <c r="TEC83" s="50"/>
      <c r="TED83" s="23"/>
      <c r="TEE83" s="50"/>
      <c r="TEF83" s="51"/>
      <c r="TEG83" s="50"/>
      <c r="TEH83" s="23"/>
      <c r="TEI83" s="50"/>
      <c r="TEJ83" s="51"/>
      <c r="TEK83" s="50"/>
      <c r="TEL83" s="23"/>
      <c r="TEM83" s="50"/>
      <c r="TEN83" s="51"/>
      <c r="TEO83" s="50"/>
      <c r="TEP83" s="23"/>
      <c r="TEQ83" s="50"/>
      <c r="TER83" s="51"/>
      <c r="TES83" s="50"/>
      <c r="TET83" s="23"/>
      <c r="TEU83" s="50"/>
      <c r="TEV83" s="51"/>
      <c r="TEW83" s="50"/>
      <c r="TEX83" s="23"/>
      <c r="TEY83" s="50"/>
      <c r="TEZ83" s="51"/>
      <c r="TFA83" s="50"/>
      <c r="TFB83" s="23"/>
      <c r="TFC83" s="50"/>
      <c r="TFD83" s="51"/>
      <c r="TFE83" s="50"/>
      <c r="TFF83" s="23"/>
      <c r="TFG83" s="50"/>
      <c r="TFH83" s="51"/>
      <c r="TFI83" s="50"/>
      <c r="TFJ83" s="23"/>
      <c r="TFK83" s="50"/>
      <c r="TFL83" s="51"/>
      <c r="TFM83" s="50"/>
      <c r="TFN83" s="23"/>
      <c r="TFO83" s="50"/>
      <c r="TFP83" s="51"/>
      <c r="TFQ83" s="50"/>
      <c r="TFR83" s="23"/>
      <c r="TFS83" s="50"/>
      <c r="TFT83" s="51"/>
      <c r="TFU83" s="50"/>
      <c r="TFV83" s="23"/>
      <c r="TFW83" s="50"/>
      <c r="TFX83" s="51"/>
      <c r="TFY83" s="50"/>
      <c r="TFZ83" s="23"/>
      <c r="TGA83" s="50"/>
      <c r="TGB83" s="51"/>
      <c r="TGC83" s="50"/>
      <c r="TGD83" s="23"/>
      <c r="TGE83" s="50"/>
      <c r="TGF83" s="51"/>
      <c r="TGG83" s="50"/>
      <c r="TGH83" s="23"/>
      <c r="TGI83" s="50"/>
      <c r="TGJ83" s="51"/>
      <c r="TGK83" s="50"/>
      <c r="TGL83" s="23"/>
      <c r="TGM83" s="50"/>
      <c r="TGN83" s="51"/>
      <c r="TGO83" s="50"/>
      <c r="TGP83" s="23"/>
      <c r="TGQ83" s="50"/>
      <c r="TGR83" s="51"/>
      <c r="TGS83" s="50"/>
      <c r="TGT83" s="23"/>
      <c r="TGU83" s="50"/>
      <c r="TGV83" s="51"/>
      <c r="TGW83" s="50"/>
      <c r="TGX83" s="23"/>
      <c r="TGY83" s="50"/>
      <c r="TGZ83" s="51"/>
      <c r="THA83" s="50"/>
      <c r="THB83" s="23"/>
      <c r="THC83" s="50"/>
      <c r="THD83" s="51"/>
      <c r="THE83" s="50"/>
      <c r="THF83" s="23"/>
      <c r="THG83" s="50"/>
      <c r="THH83" s="51"/>
      <c r="THI83" s="50"/>
      <c r="THJ83" s="23"/>
      <c r="THK83" s="50"/>
      <c r="THL83" s="51"/>
      <c r="THM83" s="50"/>
      <c r="THN83" s="23"/>
      <c r="THO83" s="50"/>
      <c r="THP83" s="51"/>
      <c r="THQ83" s="50"/>
      <c r="THR83" s="23"/>
      <c r="THS83" s="50"/>
      <c r="THT83" s="51"/>
      <c r="THU83" s="50"/>
      <c r="THV83" s="23"/>
      <c r="THW83" s="50"/>
      <c r="THX83" s="51"/>
      <c r="THY83" s="50"/>
      <c r="THZ83" s="23"/>
      <c r="TIA83" s="50"/>
      <c r="TIB83" s="51"/>
      <c r="TIC83" s="50"/>
      <c r="TID83" s="23"/>
      <c r="TIE83" s="50"/>
      <c r="TIF83" s="51"/>
      <c r="TIG83" s="50"/>
      <c r="TIH83" s="23"/>
      <c r="TII83" s="50"/>
      <c r="TIJ83" s="51"/>
      <c r="TIK83" s="50"/>
      <c r="TIL83" s="23"/>
      <c r="TIM83" s="50"/>
      <c r="TIN83" s="51"/>
      <c r="TIO83" s="50"/>
      <c r="TIP83" s="23"/>
      <c r="TIQ83" s="50"/>
      <c r="TIR83" s="51"/>
      <c r="TIS83" s="50"/>
      <c r="TIT83" s="23"/>
      <c r="TIU83" s="50"/>
      <c r="TIV83" s="51"/>
      <c r="TIW83" s="50"/>
      <c r="TIX83" s="23"/>
      <c r="TIY83" s="50"/>
      <c r="TIZ83" s="51"/>
      <c r="TJA83" s="50"/>
      <c r="TJB83" s="23"/>
      <c r="TJC83" s="50"/>
      <c r="TJD83" s="51"/>
      <c r="TJE83" s="50"/>
      <c r="TJF83" s="23"/>
      <c r="TJG83" s="50"/>
      <c r="TJH83" s="51"/>
      <c r="TJI83" s="50"/>
      <c r="TJJ83" s="23"/>
      <c r="TJK83" s="50"/>
      <c r="TJL83" s="51"/>
      <c r="TJM83" s="50"/>
      <c r="TJN83" s="23"/>
      <c r="TJO83" s="50"/>
      <c r="TJP83" s="51"/>
      <c r="TJQ83" s="50"/>
      <c r="TJR83" s="23"/>
      <c r="TJS83" s="50"/>
      <c r="TJT83" s="51"/>
      <c r="TJU83" s="50"/>
      <c r="TJV83" s="23"/>
      <c r="TJW83" s="50"/>
      <c r="TJX83" s="51"/>
      <c r="TJY83" s="50"/>
      <c r="TJZ83" s="23"/>
      <c r="TKA83" s="50"/>
      <c r="TKB83" s="51"/>
      <c r="TKC83" s="50"/>
      <c r="TKD83" s="23"/>
      <c r="TKE83" s="50"/>
      <c r="TKF83" s="51"/>
      <c r="TKG83" s="50"/>
      <c r="TKH83" s="23"/>
      <c r="TKI83" s="50"/>
      <c r="TKJ83" s="51"/>
      <c r="TKK83" s="50"/>
      <c r="TKL83" s="23"/>
      <c r="TKM83" s="50"/>
      <c r="TKN83" s="51"/>
      <c r="TKO83" s="50"/>
      <c r="TKP83" s="23"/>
      <c r="TKQ83" s="50"/>
      <c r="TKR83" s="51"/>
      <c r="TKS83" s="50"/>
      <c r="TKT83" s="23"/>
      <c r="TKU83" s="50"/>
      <c r="TKV83" s="51"/>
      <c r="TKW83" s="50"/>
      <c r="TKX83" s="23"/>
      <c r="TKY83" s="50"/>
      <c r="TKZ83" s="51"/>
      <c r="TLA83" s="50"/>
      <c r="TLB83" s="23"/>
      <c r="TLC83" s="50"/>
      <c r="TLD83" s="51"/>
      <c r="TLE83" s="50"/>
      <c r="TLF83" s="23"/>
      <c r="TLG83" s="50"/>
      <c r="TLH83" s="51"/>
      <c r="TLI83" s="50"/>
      <c r="TLJ83" s="23"/>
      <c r="TLK83" s="50"/>
      <c r="TLL83" s="51"/>
      <c r="TLM83" s="50"/>
      <c r="TLN83" s="23"/>
      <c r="TLO83" s="50"/>
      <c r="TLP83" s="51"/>
      <c r="TLQ83" s="50"/>
      <c r="TLR83" s="23"/>
      <c r="TLS83" s="50"/>
      <c r="TLT83" s="51"/>
      <c r="TLU83" s="50"/>
      <c r="TLV83" s="23"/>
      <c r="TLW83" s="50"/>
      <c r="TLX83" s="51"/>
      <c r="TLY83" s="50"/>
      <c r="TLZ83" s="23"/>
      <c r="TMA83" s="50"/>
      <c r="TMB83" s="51"/>
      <c r="TMC83" s="50"/>
      <c r="TMD83" s="23"/>
      <c r="TME83" s="50"/>
      <c r="TMF83" s="51"/>
      <c r="TMG83" s="50"/>
      <c r="TMH83" s="23"/>
      <c r="TMI83" s="50"/>
      <c r="TMJ83" s="51"/>
      <c r="TMK83" s="50"/>
      <c r="TML83" s="23"/>
      <c r="TMM83" s="50"/>
      <c r="TMN83" s="51"/>
      <c r="TMO83" s="50"/>
      <c r="TMP83" s="23"/>
      <c r="TMQ83" s="50"/>
      <c r="TMR83" s="51"/>
      <c r="TMS83" s="50"/>
      <c r="TMT83" s="23"/>
      <c r="TMU83" s="50"/>
      <c r="TMV83" s="51"/>
      <c r="TMW83" s="50"/>
      <c r="TMX83" s="23"/>
      <c r="TMY83" s="50"/>
      <c r="TMZ83" s="51"/>
      <c r="TNA83" s="50"/>
      <c r="TNB83" s="23"/>
      <c r="TNC83" s="50"/>
      <c r="TND83" s="51"/>
      <c r="TNE83" s="50"/>
      <c r="TNF83" s="23"/>
      <c r="TNG83" s="50"/>
      <c r="TNH83" s="51"/>
      <c r="TNI83" s="50"/>
      <c r="TNJ83" s="23"/>
      <c r="TNK83" s="50"/>
      <c r="TNL83" s="51"/>
      <c r="TNM83" s="50"/>
      <c r="TNN83" s="23"/>
      <c r="TNO83" s="50"/>
      <c r="TNP83" s="51"/>
      <c r="TNQ83" s="50"/>
      <c r="TNR83" s="23"/>
      <c r="TNS83" s="50"/>
      <c r="TNT83" s="51"/>
      <c r="TNU83" s="50"/>
      <c r="TNV83" s="23"/>
      <c r="TNW83" s="50"/>
      <c r="TNX83" s="51"/>
      <c r="TNY83" s="50"/>
      <c r="TNZ83" s="23"/>
      <c r="TOA83" s="50"/>
      <c r="TOB83" s="51"/>
      <c r="TOC83" s="50"/>
      <c r="TOD83" s="23"/>
      <c r="TOE83" s="50"/>
      <c r="TOF83" s="51"/>
      <c r="TOG83" s="50"/>
      <c r="TOH83" s="23"/>
      <c r="TOI83" s="50"/>
      <c r="TOJ83" s="51"/>
      <c r="TOK83" s="50"/>
      <c r="TOL83" s="23"/>
      <c r="TOM83" s="50"/>
      <c r="TON83" s="51"/>
      <c r="TOO83" s="50"/>
      <c r="TOP83" s="23"/>
      <c r="TOQ83" s="50"/>
      <c r="TOR83" s="51"/>
      <c r="TOS83" s="50"/>
      <c r="TOT83" s="23"/>
      <c r="TOU83" s="50"/>
      <c r="TOV83" s="51"/>
      <c r="TOW83" s="50"/>
      <c r="TOX83" s="23"/>
      <c r="TOY83" s="50"/>
      <c r="TOZ83" s="51"/>
      <c r="TPA83" s="50"/>
      <c r="TPB83" s="23"/>
      <c r="TPC83" s="50"/>
      <c r="TPD83" s="51"/>
      <c r="TPE83" s="50"/>
      <c r="TPF83" s="23"/>
      <c r="TPG83" s="50"/>
      <c r="TPH83" s="51"/>
      <c r="TPI83" s="50"/>
      <c r="TPJ83" s="23"/>
      <c r="TPK83" s="50"/>
      <c r="TPL83" s="51"/>
      <c r="TPM83" s="50"/>
      <c r="TPN83" s="23"/>
      <c r="TPO83" s="50"/>
      <c r="TPP83" s="51"/>
      <c r="TPQ83" s="50"/>
      <c r="TPR83" s="23"/>
      <c r="TPS83" s="50"/>
      <c r="TPT83" s="51"/>
      <c r="TPU83" s="50"/>
      <c r="TPV83" s="23"/>
      <c r="TPW83" s="50"/>
      <c r="TPX83" s="51"/>
      <c r="TPY83" s="50"/>
      <c r="TPZ83" s="23"/>
      <c r="TQA83" s="50"/>
      <c r="TQB83" s="51"/>
      <c r="TQC83" s="50"/>
      <c r="TQD83" s="23"/>
      <c r="TQE83" s="50"/>
      <c r="TQF83" s="51"/>
      <c r="TQG83" s="50"/>
      <c r="TQH83" s="23"/>
      <c r="TQI83" s="50"/>
      <c r="TQJ83" s="51"/>
      <c r="TQK83" s="50"/>
      <c r="TQL83" s="23"/>
      <c r="TQM83" s="50"/>
      <c r="TQN83" s="51"/>
      <c r="TQO83" s="50"/>
      <c r="TQP83" s="23"/>
      <c r="TQQ83" s="50"/>
      <c r="TQR83" s="51"/>
      <c r="TQS83" s="50"/>
      <c r="TQT83" s="23"/>
      <c r="TQU83" s="50"/>
      <c r="TQV83" s="51"/>
      <c r="TQW83" s="50"/>
      <c r="TQX83" s="23"/>
      <c r="TQY83" s="50"/>
      <c r="TQZ83" s="51"/>
      <c r="TRA83" s="50"/>
      <c r="TRB83" s="23"/>
      <c r="TRC83" s="50"/>
      <c r="TRD83" s="51"/>
      <c r="TRE83" s="50"/>
      <c r="TRF83" s="23"/>
      <c r="TRG83" s="50"/>
      <c r="TRH83" s="51"/>
      <c r="TRI83" s="50"/>
      <c r="TRJ83" s="23"/>
      <c r="TRK83" s="50"/>
      <c r="TRL83" s="51"/>
      <c r="TRM83" s="50"/>
      <c r="TRN83" s="23"/>
      <c r="TRO83" s="50"/>
      <c r="TRP83" s="51"/>
      <c r="TRQ83" s="50"/>
      <c r="TRR83" s="23"/>
      <c r="TRS83" s="50"/>
      <c r="TRT83" s="51"/>
      <c r="TRU83" s="50"/>
      <c r="TRV83" s="23"/>
      <c r="TRW83" s="50"/>
      <c r="TRX83" s="51"/>
      <c r="TRY83" s="50"/>
      <c r="TRZ83" s="23"/>
      <c r="TSA83" s="50"/>
      <c r="TSB83" s="51"/>
      <c r="TSC83" s="50"/>
      <c r="TSD83" s="23"/>
      <c r="TSE83" s="50"/>
      <c r="TSF83" s="51"/>
      <c r="TSG83" s="50"/>
      <c r="TSH83" s="23"/>
      <c r="TSI83" s="50"/>
      <c r="TSJ83" s="51"/>
      <c r="TSK83" s="50"/>
      <c r="TSL83" s="23"/>
      <c r="TSM83" s="50"/>
      <c r="TSN83" s="51"/>
      <c r="TSO83" s="50"/>
      <c r="TSP83" s="23"/>
      <c r="TSQ83" s="50"/>
      <c r="TSR83" s="51"/>
      <c r="TSS83" s="50"/>
      <c r="TST83" s="23"/>
      <c r="TSU83" s="50"/>
      <c r="TSV83" s="51"/>
      <c r="TSW83" s="50"/>
      <c r="TSX83" s="23"/>
      <c r="TSY83" s="50"/>
      <c r="TSZ83" s="51"/>
      <c r="TTA83" s="50"/>
      <c r="TTB83" s="23"/>
      <c r="TTC83" s="50"/>
      <c r="TTD83" s="51"/>
      <c r="TTE83" s="50"/>
      <c r="TTF83" s="23"/>
      <c r="TTG83" s="50"/>
      <c r="TTH83" s="51"/>
      <c r="TTI83" s="50"/>
      <c r="TTJ83" s="23"/>
      <c r="TTK83" s="50"/>
      <c r="TTL83" s="51"/>
      <c r="TTM83" s="50"/>
      <c r="TTN83" s="23"/>
      <c r="TTO83" s="50"/>
      <c r="TTP83" s="51"/>
      <c r="TTQ83" s="50"/>
      <c r="TTR83" s="23"/>
      <c r="TTS83" s="50"/>
      <c r="TTT83" s="51"/>
      <c r="TTU83" s="50"/>
      <c r="TTV83" s="23"/>
      <c r="TTW83" s="50"/>
      <c r="TTX83" s="51"/>
      <c r="TTY83" s="50"/>
      <c r="TTZ83" s="23"/>
      <c r="TUA83" s="50"/>
      <c r="TUB83" s="51"/>
      <c r="TUC83" s="50"/>
      <c r="TUD83" s="23"/>
      <c r="TUE83" s="50"/>
      <c r="TUF83" s="51"/>
      <c r="TUG83" s="50"/>
      <c r="TUH83" s="23"/>
      <c r="TUI83" s="50"/>
      <c r="TUJ83" s="51"/>
      <c r="TUK83" s="50"/>
      <c r="TUL83" s="23"/>
      <c r="TUM83" s="50"/>
      <c r="TUN83" s="51"/>
      <c r="TUO83" s="50"/>
      <c r="TUP83" s="23"/>
      <c r="TUQ83" s="50"/>
      <c r="TUR83" s="51"/>
      <c r="TUS83" s="50"/>
      <c r="TUT83" s="23"/>
      <c r="TUU83" s="50"/>
      <c r="TUV83" s="51"/>
      <c r="TUW83" s="50"/>
      <c r="TUX83" s="23"/>
      <c r="TUY83" s="50"/>
      <c r="TUZ83" s="51"/>
      <c r="TVA83" s="50"/>
      <c r="TVB83" s="23"/>
      <c r="TVC83" s="50"/>
      <c r="TVD83" s="51"/>
      <c r="TVE83" s="50"/>
      <c r="TVF83" s="23"/>
      <c r="TVG83" s="50"/>
      <c r="TVH83" s="51"/>
      <c r="TVI83" s="50"/>
      <c r="TVJ83" s="23"/>
      <c r="TVK83" s="50"/>
      <c r="TVL83" s="51"/>
      <c r="TVM83" s="50"/>
      <c r="TVN83" s="23"/>
      <c r="TVO83" s="50"/>
      <c r="TVP83" s="51"/>
      <c r="TVQ83" s="50"/>
      <c r="TVR83" s="23"/>
      <c r="TVS83" s="50"/>
      <c r="TVT83" s="51"/>
      <c r="TVU83" s="50"/>
      <c r="TVV83" s="23"/>
      <c r="TVW83" s="50"/>
      <c r="TVX83" s="51"/>
      <c r="TVY83" s="50"/>
      <c r="TVZ83" s="23"/>
      <c r="TWA83" s="50"/>
      <c r="TWB83" s="51"/>
      <c r="TWC83" s="50"/>
      <c r="TWD83" s="23"/>
      <c r="TWE83" s="50"/>
      <c r="TWF83" s="51"/>
      <c r="TWG83" s="50"/>
      <c r="TWH83" s="23"/>
      <c r="TWI83" s="50"/>
      <c r="TWJ83" s="51"/>
      <c r="TWK83" s="50"/>
      <c r="TWL83" s="23"/>
      <c r="TWM83" s="50"/>
      <c r="TWN83" s="51"/>
      <c r="TWO83" s="50"/>
      <c r="TWP83" s="23"/>
      <c r="TWQ83" s="50"/>
      <c r="TWR83" s="51"/>
      <c r="TWS83" s="50"/>
      <c r="TWT83" s="23"/>
      <c r="TWU83" s="50"/>
      <c r="TWV83" s="51"/>
      <c r="TWW83" s="50"/>
      <c r="TWX83" s="23"/>
      <c r="TWY83" s="50"/>
      <c r="TWZ83" s="51"/>
      <c r="TXA83" s="50"/>
      <c r="TXB83" s="23"/>
      <c r="TXC83" s="50"/>
      <c r="TXD83" s="51"/>
      <c r="TXE83" s="50"/>
      <c r="TXF83" s="23"/>
      <c r="TXG83" s="50"/>
      <c r="TXH83" s="51"/>
      <c r="TXI83" s="50"/>
      <c r="TXJ83" s="23"/>
      <c r="TXK83" s="50"/>
      <c r="TXL83" s="51"/>
      <c r="TXM83" s="50"/>
      <c r="TXN83" s="23"/>
      <c r="TXO83" s="50"/>
      <c r="TXP83" s="51"/>
      <c r="TXQ83" s="50"/>
      <c r="TXR83" s="23"/>
      <c r="TXS83" s="50"/>
      <c r="TXT83" s="51"/>
      <c r="TXU83" s="50"/>
      <c r="TXV83" s="23"/>
      <c r="TXW83" s="50"/>
      <c r="TXX83" s="51"/>
      <c r="TXY83" s="50"/>
      <c r="TXZ83" s="23"/>
      <c r="TYA83" s="50"/>
      <c r="TYB83" s="51"/>
      <c r="TYC83" s="50"/>
      <c r="TYD83" s="23"/>
      <c r="TYE83" s="50"/>
      <c r="TYF83" s="51"/>
      <c r="TYG83" s="50"/>
      <c r="TYH83" s="23"/>
      <c r="TYI83" s="50"/>
      <c r="TYJ83" s="51"/>
      <c r="TYK83" s="50"/>
      <c r="TYL83" s="23"/>
      <c r="TYM83" s="50"/>
      <c r="TYN83" s="51"/>
      <c r="TYO83" s="50"/>
      <c r="TYP83" s="23"/>
      <c r="TYQ83" s="50"/>
      <c r="TYR83" s="51"/>
      <c r="TYS83" s="50"/>
      <c r="TYT83" s="23"/>
      <c r="TYU83" s="50"/>
      <c r="TYV83" s="51"/>
      <c r="TYW83" s="50"/>
      <c r="TYX83" s="23"/>
      <c r="TYY83" s="50"/>
      <c r="TYZ83" s="51"/>
      <c r="TZA83" s="50"/>
      <c r="TZB83" s="23"/>
      <c r="TZC83" s="50"/>
      <c r="TZD83" s="51"/>
      <c r="TZE83" s="50"/>
      <c r="TZF83" s="23"/>
      <c r="TZG83" s="50"/>
      <c r="TZH83" s="51"/>
      <c r="TZI83" s="50"/>
      <c r="TZJ83" s="23"/>
      <c r="TZK83" s="50"/>
      <c r="TZL83" s="51"/>
      <c r="TZM83" s="50"/>
      <c r="TZN83" s="23"/>
      <c r="TZO83" s="50"/>
      <c r="TZP83" s="51"/>
      <c r="TZQ83" s="50"/>
      <c r="TZR83" s="23"/>
      <c r="TZS83" s="50"/>
      <c r="TZT83" s="51"/>
      <c r="TZU83" s="50"/>
      <c r="TZV83" s="23"/>
      <c r="TZW83" s="50"/>
      <c r="TZX83" s="51"/>
      <c r="TZY83" s="50"/>
      <c r="TZZ83" s="23"/>
      <c r="UAA83" s="50"/>
      <c r="UAB83" s="51"/>
      <c r="UAC83" s="50"/>
      <c r="UAD83" s="23"/>
      <c r="UAE83" s="50"/>
      <c r="UAF83" s="51"/>
      <c r="UAG83" s="50"/>
      <c r="UAH83" s="23"/>
      <c r="UAI83" s="50"/>
      <c r="UAJ83" s="51"/>
      <c r="UAK83" s="50"/>
      <c r="UAL83" s="23"/>
      <c r="UAM83" s="50"/>
      <c r="UAN83" s="51"/>
      <c r="UAO83" s="50"/>
      <c r="UAP83" s="23"/>
      <c r="UAQ83" s="50"/>
      <c r="UAR83" s="51"/>
      <c r="UAS83" s="50"/>
      <c r="UAT83" s="23"/>
      <c r="UAU83" s="50"/>
      <c r="UAV83" s="51"/>
      <c r="UAW83" s="50"/>
      <c r="UAX83" s="23"/>
      <c r="UAY83" s="50"/>
      <c r="UAZ83" s="51"/>
      <c r="UBA83" s="50"/>
      <c r="UBB83" s="23"/>
      <c r="UBC83" s="50"/>
      <c r="UBD83" s="51"/>
      <c r="UBE83" s="50"/>
      <c r="UBF83" s="23"/>
      <c r="UBG83" s="50"/>
      <c r="UBH83" s="51"/>
      <c r="UBI83" s="50"/>
      <c r="UBJ83" s="23"/>
      <c r="UBK83" s="50"/>
      <c r="UBL83" s="51"/>
      <c r="UBM83" s="50"/>
      <c r="UBN83" s="23"/>
      <c r="UBO83" s="50"/>
      <c r="UBP83" s="51"/>
      <c r="UBQ83" s="50"/>
      <c r="UBR83" s="23"/>
      <c r="UBS83" s="50"/>
      <c r="UBT83" s="51"/>
      <c r="UBU83" s="50"/>
      <c r="UBV83" s="23"/>
      <c r="UBW83" s="50"/>
      <c r="UBX83" s="51"/>
      <c r="UBY83" s="50"/>
      <c r="UBZ83" s="23"/>
      <c r="UCA83" s="50"/>
      <c r="UCB83" s="51"/>
      <c r="UCC83" s="50"/>
      <c r="UCD83" s="23"/>
      <c r="UCE83" s="50"/>
      <c r="UCF83" s="51"/>
      <c r="UCG83" s="50"/>
      <c r="UCH83" s="23"/>
      <c r="UCI83" s="50"/>
      <c r="UCJ83" s="51"/>
      <c r="UCK83" s="50"/>
      <c r="UCL83" s="23"/>
      <c r="UCM83" s="50"/>
      <c r="UCN83" s="51"/>
      <c r="UCO83" s="50"/>
      <c r="UCP83" s="23"/>
      <c r="UCQ83" s="50"/>
      <c r="UCR83" s="51"/>
      <c r="UCS83" s="50"/>
      <c r="UCT83" s="23"/>
      <c r="UCU83" s="50"/>
      <c r="UCV83" s="51"/>
      <c r="UCW83" s="50"/>
      <c r="UCX83" s="23"/>
      <c r="UCY83" s="50"/>
      <c r="UCZ83" s="51"/>
      <c r="UDA83" s="50"/>
      <c r="UDB83" s="23"/>
      <c r="UDC83" s="50"/>
      <c r="UDD83" s="51"/>
      <c r="UDE83" s="50"/>
      <c r="UDF83" s="23"/>
      <c r="UDG83" s="50"/>
      <c r="UDH83" s="51"/>
      <c r="UDI83" s="50"/>
      <c r="UDJ83" s="23"/>
      <c r="UDK83" s="50"/>
      <c r="UDL83" s="51"/>
      <c r="UDM83" s="50"/>
      <c r="UDN83" s="23"/>
      <c r="UDO83" s="50"/>
      <c r="UDP83" s="51"/>
      <c r="UDQ83" s="50"/>
      <c r="UDR83" s="23"/>
      <c r="UDS83" s="50"/>
      <c r="UDT83" s="51"/>
      <c r="UDU83" s="50"/>
      <c r="UDV83" s="23"/>
      <c r="UDW83" s="50"/>
      <c r="UDX83" s="51"/>
      <c r="UDY83" s="50"/>
      <c r="UDZ83" s="23"/>
      <c r="UEA83" s="50"/>
      <c r="UEB83" s="51"/>
      <c r="UEC83" s="50"/>
      <c r="UED83" s="23"/>
      <c r="UEE83" s="50"/>
      <c r="UEF83" s="51"/>
      <c r="UEG83" s="50"/>
      <c r="UEH83" s="23"/>
      <c r="UEI83" s="50"/>
      <c r="UEJ83" s="51"/>
      <c r="UEK83" s="50"/>
      <c r="UEL83" s="23"/>
      <c r="UEM83" s="50"/>
      <c r="UEN83" s="51"/>
      <c r="UEO83" s="50"/>
      <c r="UEP83" s="23"/>
      <c r="UEQ83" s="50"/>
      <c r="UER83" s="51"/>
      <c r="UES83" s="50"/>
      <c r="UET83" s="23"/>
      <c r="UEU83" s="50"/>
      <c r="UEV83" s="51"/>
      <c r="UEW83" s="50"/>
      <c r="UEX83" s="23"/>
      <c r="UEY83" s="50"/>
      <c r="UEZ83" s="51"/>
      <c r="UFA83" s="50"/>
      <c r="UFB83" s="23"/>
      <c r="UFC83" s="50"/>
      <c r="UFD83" s="51"/>
      <c r="UFE83" s="50"/>
      <c r="UFF83" s="23"/>
      <c r="UFG83" s="50"/>
      <c r="UFH83" s="51"/>
      <c r="UFI83" s="50"/>
      <c r="UFJ83" s="23"/>
      <c r="UFK83" s="50"/>
      <c r="UFL83" s="51"/>
      <c r="UFM83" s="50"/>
      <c r="UFN83" s="23"/>
      <c r="UFO83" s="50"/>
      <c r="UFP83" s="51"/>
      <c r="UFQ83" s="50"/>
      <c r="UFR83" s="23"/>
      <c r="UFS83" s="50"/>
      <c r="UFT83" s="51"/>
      <c r="UFU83" s="50"/>
      <c r="UFV83" s="23"/>
      <c r="UFW83" s="50"/>
      <c r="UFX83" s="51"/>
      <c r="UFY83" s="50"/>
      <c r="UFZ83" s="23"/>
      <c r="UGA83" s="50"/>
      <c r="UGB83" s="51"/>
      <c r="UGC83" s="50"/>
      <c r="UGD83" s="23"/>
      <c r="UGE83" s="50"/>
      <c r="UGF83" s="51"/>
      <c r="UGG83" s="50"/>
      <c r="UGH83" s="23"/>
      <c r="UGI83" s="50"/>
      <c r="UGJ83" s="51"/>
      <c r="UGK83" s="50"/>
      <c r="UGL83" s="23"/>
      <c r="UGM83" s="50"/>
      <c r="UGN83" s="51"/>
      <c r="UGO83" s="50"/>
      <c r="UGP83" s="23"/>
      <c r="UGQ83" s="50"/>
      <c r="UGR83" s="51"/>
      <c r="UGS83" s="50"/>
      <c r="UGT83" s="23"/>
      <c r="UGU83" s="50"/>
      <c r="UGV83" s="51"/>
      <c r="UGW83" s="50"/>
      <c r="UGX83" s="23"/>
      <c r="UGY83" s="50"/>
      <c r="UGZ83" s="51"/>
      <c r="UHA83" s="50"/>
      <c r="UHB83" s="23"/>
      <c r="UHC83" s="50"/>
      <c r="UHD83" s="51"/>
      <c r="UHE83" s="50"/>
      <c r="UHF83" s="23"/>
      <c r="UHG83" s="50"/>
      <c r="UHH83" s="51"/>
      <c r="UHI83" s="50"/>
      <c r="UHJ83" s="23"/>
      <c r="UHK83" s="50"/>
      <c r="UHL83" s="51"/>
      <c r="UHM83" s="50"/>
      <c r="UHN83" s="23"/>
      <c r="UHO83" s="50"/>
      <c r="UHP83" s="51"/>
      <c r="UHQ83" s="50"/>
      <c r="UHR83" s="23"/>
      <c r="UHS83" s="50"/>
      <c r="UHT83" s="51"/>
      <c r="UHU83" s="50"/>
      <c r="UHV83" s="23"/>
      <c r="UHW83" s="50"/>
      <c r="UHX83" s="51"/>
      <c r="UHY83" s="50"/>
      <c r="UHZ83" s="23"/>
      <c r="UIA83" s="50"/>
      <c r="UIB83" s="51"/>
      <c r="UIC83" s="50"/>
      <c r="UID83" s="23"/>
      <c r="UIE83" s="50"/>
      <c r="UIF83" s="51"/>
      <c r="UIG83" s="50"/>
      <c r="UIH83" s="23"/>
      <c r="UII83" s="50"/>
      <c r="UIJ83" s="51"/>
      <c r="UIK83" s="50"/>
      <c r="UIL83" s="23"/>
      <c r="UIM83" s="50"/>
      <c r="UIN83" s="51"/>
      <c r="UIO83" s="50"/>
      <c r="UIP83" s="23"/>
      <c r="UIQ83" s="50"/>
      <c r="UIR83" s="51"/>
      <c r="UIS83" s="50"/>
      <c r="UIT83" s="23"/>
      <c r="UIU83" s="50"/>
      <c r="UIV83" s="51"/>
      <c r="UIW83" s="50"/>
      <c r="UIX83" s="23"/>
      <c r="UIY83" s="50"/>
      <c r="UIZ83" s="51"/>
      <c r="UJA83" s="50"/>
      <c r="UJB83" s="23"/>
      <c r="UJC83" s="50"/>
      <c r="UJD83" s="51"/>
      <c r="UJE83" s="50"/>
      <c r="UJF83" s="23"/>
      <c r="UJG83" s="50"/>
      <c r="UJH83" s="51"/>
      <c r="UJI83" s="50"/>
      <c r="UJJ83" s="23"/>
      <c r="UJK83" s="50"/>
      <c r="UJL83" s="51"/>
      <c r="UJM83" s="50"/>
      <c r="UJN83" s="23"/>
      <c r="UJO83" s="50"/>
      <c r="UJP83" s="51"/>
      <c r="UJQ83" s="50"/>
      <c r="UJR83" s="23"/>
      <c r="UJS83" s="50"/>
      <c r="UJT83" s="51"/>
      <c r="UJU83" s="50"/>
      <c r="UJV83" s="23"/>
      <c r="UJW83" s="50"/>
      <c r="UJX83" s="51"/>
      <c r="UJY83" s="50"/>
      <c r="UJZ83" s="23"/>
      <c r="UKA83" s="50"/>
      <c r="UKB83" s="51"/>
      <c r="UKC83" s="50"/>
      <c r="UKD83" s="23"/>
      <c r="UKE83" s="50"/>
      <c r="UKF83" s="51"/>
      <c r="UKG83" s="50"/>
      <c r="UKH83" s="23"/>
      <c r="UKI83" s="50"/>
      <c r="UKJ83" s="51"/>
      <c r="UKK83" s="50"/>
      <c r="UKL83" s="23"/>
      <c r="UKM83" s="50"/>
      <c r="UKN83" s="51"/>
      <c r="UKO83" s="50"/>
      <c r="UKP83" s="23"/>
      <c r="UKQ83" s="50"/>
      <c r="UKR83" s="51"/>
      <c r="UKS83" s="50"/>
      <c r="UKT83" s="23"/>
      <c r="UKU83" s="50"/>
      <c r="UKV83" s="51"/>
      <c r="UKW83" s="50"/>
      <c r="UKX83" s="23"/>
      <c r="UKY83" s="50"/>
      <c r="UKZ83" s="51"/>
      <c r="ULA83" s="50"/>
      <c r="ULB83" s="23"/>
      <c r="ULC83" s="50"/>
      <c r="ULD83" s="51"/>
      <c r="ULE83" s="50"/>
      <c r="ULF83" s="23"/>
      <c r="ULG83" s="50"/>
      <c r="ULH83" s="51"/>
      <c r="ULI83" s="50"/>
      <c r="ULJ83" s="23"/>
      <c r="ULK83" s="50"/>
      <c r="ULL83" s="51"/>
      <c r="ULM83" s="50"/>
      <c r="ULN83" s="23"/>
      <c r="ULO83" s="50"/>
      <c r="ULP83" s="51"/>
      <c r="ULQ83" s="50"/>
      <c r="ULR83" s="23"/>
      <c r="ULS83" s="50"/>
      <c r="ULT83" s="51"/>
      <c r="ULU83" s="50"/>
      <c r="ULV83" s="23"/>
      <c r="ULW83" s="50"/>
      <c r="ULX83" s="51"/>
      <c r="ULY83" s="50"/>
      <c r="ULZ83" s="23"/>
      <c r="UMA83" s="50"/>
      <c r="UMB83" s="51"/>
      <c r="UMC83" s="50"/>
      <c r="UMD83" s="23"/>
      <c r="UME83" s="50"/>
      <c r="UMF83" s="51"/>
      <c r="UMG83" s="50"/>
      <c r="UMH83" s="23"/>
      <c r="UMI83" s="50"/>
      <c r="UMJ83" s="51"/>
      <c r="UMK83" s="50"/>
      <c r="UML83" s="23"/>
      <c r="UMM83" s="50"/>
      <c r="UMN83" s="51"/>
      <c r="UMO83" s="50"/>
      <c r="UMP83" s="23"/>
      <c r="UMQ83" s="50"/>
      <c r="UMR83" s="51"/>
      <c r="UMS83" s="50"/>
      <c r="UMT83" s="23"/>
      <c r="UMU83" s="50"/>
      <c r="UMV83" s="51"/>
      <c r="UMW83" s="50"/>
      <c r="UMX83" s="23"/>
      <c r="UMY83" s="50"/>
      <c r="UMZ83" s="51"/>
      <c r="UNA83" s="50"/>
      <c r="UNB83" s="23"/>
      <c r="UNC83" s="50"/>
      <c r="UND83" s="51"/>
      <c r="UNE83" s="50"/>
      <c r="UNF83" s="23"/>
      <c r="UNG83" s="50"/>
      <c r="UNH83" s="51"/>
      <c r="UNI83" s="50"/>
      <c r="UNJ83" s="23"/>
      <c r="UNK83" s="50"/>
      <c r="UNL83" s="51"/>
      <c r="UNM83" s="50"/>
      <c r="UNN83" s="23"/>
      <c r="UNO83" s="50"/>
      <c r="UNP83" s="51"/>
      <c r="UNQ83" s="50"/>
      <c r="UNR83" s="23"/>
      <c r="UNS83" s="50"/>
      <c r="UNT83" s="51"/>
      <c r="UNU83" s="50"/>
      <c r="UNV83" s="23"/>
      <c r="UNW83" s="50"/>
      <c r="UNX83" s="51"/>
      <c r="UNY83" s="50"/>
      <c r="UNZ83" s="23"/>
      <c r="UOA83" s="50"/>
      <c r="UOB83" s="51"/>
      <c r="UOC83" s="50"/>
      <c r="UOD83" s="23"/>
      <c r="UOE83" s="50"/>
      <c r="UOF83" s="51"/>
      <c r="UOG83" s="50"/>
      <c r="UOH83" s="23"/>
      <c r="UOI83" s="50"/>
      <c r="UOJ83" s="51"/>
      <c r="UOK83" s="50"/>
      <c r="UOL83" s="23"/>
      <c r="UOM83" s="50"/>
      <c r="UON83" s="51"/>
      <c r="UOO83" s="50"/>
      <c r="UOP83" s="23"/>
      <c r="UOQ83" s="50"/>
      <c r="UOR83" s="51"/>
      <c r="UOS83" s="50"/>
      <c r="UOT83" s="23"/>
      <c r="UOU83" s="50"/>
      <c r="UOV83" s="51"/>
      <c r="UOW83" s="50"/>
      <c r="UOX83" s="23"/>
      <c r="UOY83" s="50"/>
      <c r="UOZ83" s="51"/>
      <c r="UPA83" s="50"/>
      <c r="UPB83" s="23"/>
      <c r="UPC83" s="50"/>
      <c r="UPD83" s="51"/>
      <c r="UPE83" s="50"/>
      <c r="UPF83" s="23"/>
      <c r="UPG83" s="50"/>
      <c r="UPH83" s="51"/>
      <c r="UPI83" s="50"/>
      <c r="UPJ83" s="23"/>
      <c r="UPK83" s="50"/>
      <c r="UPL83" s="51"/>
      <c r="UPM83" s="50"/>
      <c r="UPN83" s="23"/>
      <c r="UPO83" s="50"/>
      <c r="UPP83" s="51"/>
      <c r="UPQ83" s="50"/>
      <c r="UPR83" s="23"/>
      <c r="UPS83" s="50"/>
      <c r="UPT83" s="51"/>
      <c r="UPU83" s="50"/>
      <c r="UPV83" s="23"/>
      <c r="UPW83" s="50"/>
      <c r="UPX83" s="51"/>
      <c r="UPY83" s="50"/>
      <c r="UPZ83" s="23"/>
      <c r="UQA83" s="50"/>
      <c r="UQB83" s="51"/>
      <c r="UQC83" s="50"/>
      <c r="UQD83" s="23"/>
      <c r="UQE83" s="50"/>
      <c r="UQF83" s="51"/>
      <c r="UQG83" s="50"/>
      <c r="UQH83" s="23"/>
      <c r="UQI83" s="50"/>
      <c r="UQJ83" s="51"/>
      <c r="UQK83" s="50"/>
      <c r="UQL83" s="23"/>
      <c r="UQM83" s="50"/>
      <c r="UQN83" s="51"/>
      <c r="UQO83" s="50"/>
      <c r="UQP83" s="23"/>
      <c r="UQQ83" s="50"/>
      <c r="UQR83" s="51"/>
      <c r="UQS83" s="50"/>
      <c r="UQT83" s="23"/>
      <c r="UQU83" s="50"/>
      <c r="UQV83" s="51"/>
      <c r="UQW83" s="50"/>
      <c r="UQX83" s="23"/>
      <c r="UQY83" s="50"/>
      <c r="UQZ83" s="51"/>
      <c r="URA83" s="50"/>
      <c r="URB83" s="23"/>
      <c r="URC83" s="50"/>
      <c r="URD83" s="51"/>
      <c r="URE83" s="50"/>
      <c r="URF83" s="23"/>
      <c r="URG83" s="50"/>
      <c r="URH83" s="51"/>
      <c r="URI83" s="50"/>
      <c r="URJ83" s="23"/>
      <c r="URK83" s="50"/>
      <c r="URL83" s="51"/>
      <c r="URM83" s="50"/>
      <c r="URN83" s="23"/>
      <c r="URO83" s="50"/>
      <c r="URP83" s="51"/>
      <c r="URQ83" s="50"/>
      <c r="URR83" s="23"/>
      <c r="URS83" s="50"/>
      <c r="URT83" s="51"/>
      <c r="URU83" s="50"/>
      <c r="URV83" s="23"/>
      <c r="URW83" s="50"/>
      <c r="URX83" s="51"/>
      <c r="URY83" s="50"/>
      <c r="URZ83" s="23"/>
      <c r="USA83" s="50"/>
      <c r="USB83" s="51"/>
      <c r="USC83" s="50"/>
      <c r="USD83" s="23"/>
      <c r="USE83" s="50"/>
      <c r="USF83" s="51"/>
      <c r="USG83" s="50"/>
      <c r="USH83" s="23"/>
      <c r="USI83" s="50"/>
      <c r="USJ83" s="51"/>
      <c r="USK83" s="50"/>
      <c r="USL83" s="23"/>
      <c r="USM83" s="50"/>
      <c r="USN83" s="51"/>
      <c r="USO83" s="50"/>
      <c r="USP83" s="23"/>
      <c r="USQ83" s="50"/>
      <c r="USR83" s="51"/>
      <c r="USS83" s="50"/>
      <c r="UST83" s="23"/>
      <c r="USU83" s="50"/>
      <c r="USV83" s="51"/>
      <c r="USW83" s="50"/>
      <c r="USX83" s="23"/>
      <c r="USY83" s="50"/>
      <c r="USZ83" s="51"/>
      <c r="UTA83" s="50"/>
      <c r="UTB83" s="23"/>
      <c r="UTC83" s="50"/>
      <c r="UTD83" s="51"/>
      <c r="UTE83" s="50"/>
      <c r="UTF83" s="23"/>
      <c r="UTG83" s="50"/>
      <c r="UTH83" s="51"/>
      <c r="UTI83" s="50"/>
      <c r="UTJ83" s="23"/>
      <c r="UTK83" s="50"/>
      <c r="UTL83" s="51"/>
      <c r="UTM83" s="50"/>
      <c r="UTN83" s="23"/>
      <c r="UTO83" s="50"/>
      <c r="UTP83" s="51"/>
      <c r="UTQ83" s="50"/>
      <c r="UTR83" s="23"/>
      <c r="UTS83" s="50"/>
      <c r="UTT83" s="51"/>
      <c r="UTU83" s="50"/>
      <c r="UTV83" s="23"/>
      <c r="UTW83" s="50"/>
      <c r="UTX83" s="51"/>
      <c r="UTY83" s="50"/>
      <c r="UTZ83" s="23"/>
      <c r="UUA83" s="50"/>
      <c r="UUB83" s="51"/>
      <c r="UUC83" s="50"/>
      <c r="UUD83" s="23"/>
      <c r="UUE83" s="50"/>
      <c r="UUF83" s="51"/>
      <c r="UUG83" s="50"/>
      <c r="UUH83" s="23"/>
      <c r="UUI83" s="50"/>
      <c r="UUJ83" s="51"/>
      <c r="UUK83" s="50"/>
      <c r="UUL83" s="23"/>
      <c r="UUM83" s="50"/>
      <c r="UUN83" s="51"/>
      <c r="UUO83" s="50"/>
      <c r="UUP83" s="23"/>
      <c r="UUQ83" s="50"/>
      <c r="UUR83" s="51"/>
      <c r="UUS83" s="50"/>
      <c r="UUT83" s="23"/>
      <c r="UUU83" s="50"/>
      <c r="UUV83" s="51"/>
      <c r="UUW83" s="50"/>
      <c r="UUX83" s="23"/>
      <c r="UUY83" s="50"/>
      <c r="UUZ83" s="51"/>
      <c r="UVA83" s="50"/>
      <c r="UVB83" s="23"/>
      <c r="UVC83" s="50"/>
      <c r="UVD83" s="51"/>
      <c r="UVE83" s="50"/>
      <c r="UVF83" s="23"/>
      <c r="UVG83" s="50"/>
      <c r="UVH83" s="51"/>
      <c r="UVI83" s="50"/>
      <c r="UVJ83" s="23"/>
      <c r="UVK83" s="50"/>
      <c r="UVL83" s="51"/>
      <c r="UVM83" s="50"/>
      <c r="UVN83" s="23"/>
      <c r="UVO83" s="50"/>
      <c r="UVP83" s="51"/>
      <c r="UVQ83" s="50"/>
      <c r="UVR83" s="23"/>
      <c r="UVS83" s="50"/>
      <c r="UVT83" s="51"/>
      <c r="UVU83" s="50"/>
      <c r="UVV83" s="23"/>
      <c r="UVW83" s="50"/>
      <c r="UVX83" s="51"/>
      <c r="UVY83" s="50"/>
      <c r="UVZ83" s="23"/>
      <c r="UWA83" s="50"/>
      <c r="UWB83" s="51"/>
      <c r="UWC83" s="50"/>
      <c r="UWD83" s="23"/>
      <c r="UWE83" s="50"/>
      <c r="UWF83" s="51"/>
      <c r="UWG83" s="50"/>
      <c r="UWH83" s="23"/>
      <c r="UWI83" s="50"/>
      <c r="UWJ83" s="51"/>
      <c r="UWK83" s="50"/>
      <c r="UWL83" s="23"/>
      <c r="UWM83" s="50"/>
      <c r="UWN83" s="51"/>
      <c r="UWO83" s="50"/>
      <c r="UWP83" s="23"/>
      <c r="UWQ83" s="50"/>
      <c r="UWR83" s="51"/>
      <c r="UWS83" s="50"/>
      <c r="UWT83" s="23"/>
      <c r="UWU83" s="50"/>
      <c r="UWV83" s="51"/>
      <c r="UWW83" s="50"/>
      <c r="UWX83" s="23"/>
      <c r="UWY83" s="50"/>
      <c r="UWZ83" s="51"/>
      <c r="UXA83" s="50"/>
      <c r="UXB83" s="23"/>
      <c r="UXC83" s="50"/>
      <c r="UXD83" s="51"/>
      <c r="UXE83" s="50"/>
      <c r="UXF83" s="23"/>
      <c r="UXG83" s="50"/>
      <c r="UXH83" s="51"/>
      <c r="UXI83" s="50"/>
      <c r="UXJ83" s="23"/>
      <c r="UXK83" s="50"/>
      <c r="UXL83" s="51"/>
      <c r="UXM83" s="50"/>
      <c r="UXN83" s="23"/>
      <c r="UXO83" s="50"/>
      <c r="UXP83" s="51"/>
      <c r="UXQ83" s="50"/>
      <c r="UXR83" s="23"/>
      <c r="UXS83" s="50"/>
      <c r="UXT83" s="51"/>
      <c r="UXU83" s="50"/>
      <c r="UXV83" s="23"/>
      <c r="UXW83" s="50"/>
      <c r="UXX83" s="51"/>
      <c r="UXY83" s="50"/>
      <c r="UXZ83" s="23"/>
      <c r="UYA83" s="50"/>
      <c r="UYB83" s="51"/>
      <c r="UYC83" s="50"/>
      <c r="UYD83" s="23"/>
      <c r="UYE83" s="50"/>
      <c r="UYF83" s="51"/>
      <c r="UYG83" s="50"/>
      <c r="UYH83" s="23"/>
      <c r="UYI83" s="50"/>
      <c r="UYJ83" s="51"/>
      <c r="UYK83" s="50"/>
      <c r="UYL83" s="23"/>
      <c r="UYM83" s="50"/>
      <c r="UYN83" s="51"/>
      <c r="UYO83" s="50"/>
      <c r="UYP83" s="23"/>
      <c r="UYQ83" s="50"/>
      <c r="UYR83" s="51"/>
      <c r="UYS83" s="50"/>
      <c r="UYT83" s="23"/>
      <c r="UYU83" s="50"/>
      <c r="UYV83" s="51"/>
      <c r="UYW83" s="50"/>
      <c r="UYX83" s="23"/>
      <c r="UYY83" s="50"/>
      <c r="UYZ83" s="51"/>
      <c r="UZA83" s="50"/>
      <c r="UZB83" s="23"/>
      <c r="UZC83" s="50"/>
      <c r="UZD83" s="51"/>
      <c r="UZE83" s="50"/>
      <c r="UZF83" s="23"/>
      <c r="UZG83" s="50"/>
      <c r="UZH83" s="51"/>
      <c r="UZI83" s="50"/>
      <c r="UZJ83" s="23"/>
      <c r="UZK83" s="50"/>
      <c r="UZL83" s="51"/>
      <c r="UZM83" s="50"/>
      <c r="UZN83" s="23"/>
      <c r="UZO83" s="50"/>
      <c r="UZP83" s="51"/>
      <c r="UZQ83" s="50"/>
      <c r="UZR83" s="23"/>
      <c r="UZS83" s="50"/>
      <c r="UZT83" s="51"/>
      <c r="UZU83" s="50"/>
      <c r="UZV83" s="23"/>
      <c r="UZW83" s="50"/>
      <c r="UZX83" s="51"/>
      <c r="UZY83" s="50"/>
      <c r="UZZ83" s="23"/>
      <c r="VAA83" s="50"/>
      <c r="VAB83" s="51"/>
      <c r="VAC83" s="50"/>
      <c r="VAD83" s="23"/>
      <c r="VAE83" s="50"/>
      <c r="VAF83" s="51"/>
      <c r="VAG83" s="50"/>
      <c r="VAH83" s="23"/>
      <c r="VAI83" s="50"/>
      <c r="VAJ83" s="51"/>
      <c r="VAK83" s="50"/>
      <c r="VAL83" s="23"/>
      <c r="VAM83" s="50"/>
      <c r="VAN83" s="51"/>
      <c r="VAO83" s="50"/>
      <c r="VAP83" s="23"/>
      <c r="VAQ83" s="50"/>
      <c r="VAR83" s="51"/>
      <c r="VAS83" s="50"/>
      <c r="VAT83" s="23"/>
      <c r="VAU83" s="50"/>
      <c r="VAV83" s="51"/>
      <c r="VAW83" s="50"/>
      <c r="VAX83" s="23"/>
      <c r="VAY83" s="50"/>
      <c r="VAZ83" s="51"/>
      <c r="VBA83" s="50"/>
      <c r="VBB83" s="23"/>
      <c r="VBC83" s="50"/>
      <c r="VBD83" s="51"/>
      <c r="VBE83" s="50"/>
      <c r="VBF83" s="23"/>
      <c r="VBG83" s="50"/>
      <c r="VBH83" s="51"/>
      <c r="VBI83" s="50"/>
      <c r="VBJ83" s="23"/>
      <c r="VBK83" s="50"/>
      <c r="VBL83" s="51"/>
      <c r="VBM83" s="50"/>
      <c r="VBN83" s="23"/>
      <c r="VBO83" s="50"/>
      <c r="VBP83" s="51"/>
      <c r="VBQ83" s="50"/>
      <c r="VBR83" s="23"/>
      <c r="VBS83" s="50"/>
      <c r="VBT83" s="51"/>
      <c r="VBU83" s="50"/>
      <c r="VBV83" s="23"/>
      <c r="VBW83" s="50"/>
      <c r="VBX83" s="51"/>
      <c r="VBY83" s="50"/>
      <c r="VBZ83" s="23"/>
      <c r="VCA83" s="50"/>
      <c r="VCB83" s="51"/>
      <c r="VCC83" s="50"/>
      <c r="VCD83" s="23"/>
      <c r="VCE83" s="50"/>
      <c r="VCF83" s="51"/>
      <c r="VCG83" s="50"/>
      <c r="VCH83" s="23"/>
      <c r="VCI83" s="50"/>
      <c r="VCJ83" s="51"/>
      <c r="VCK83" s="50"/>
      <c r="VCL83" s="23"/>
      <c r="VCM83" s="50"/>
      <c r="VCN83" s="51"/>
      <c r="VCO83" s="50"/>
      <c r="VCP83" s="23"/>
      <c r="VCQ83" s="50"/>
      <c r="VCR83" s="51"/>
      <c r="VCS83" s="50"/>
      <c r="VCT83" s="23"/>
      <c r="VCU83" s="50"/>
      <c r="VCV83" s="51"/>
      <c r="VCW83" s="50"/>
      <c r="VCX83" s="23"/>
      <c r="VCY83" s="50"/>
      <c r="VCZ83" s="51"/>
      <c r="VDA83" s="50"/>
      <c r="VDB83" s="23"/>
      <c r="VDC83" s="50"/>
      <c r="VDD83" s="51"/>
      <c r="VDE83" s="50"/>
      <c r="VDF83" s="23"/>
      <c r="VDG83" s="50"/>
      <c r="VDH83" s="51"/>
      <c r="VDI83" s="50"/>
      <c r="VDJ83" s="23"/>
      <c r="VDK83" s="50"/>
      <c r="VDL83" s="51"/>
      <c r="VDM83" s="50"/>
      <c r="VDN83" s="23"/>
      <c r="VDO83" s="50"/>
      <c r="VDP83" s="51"/>
      <c r="VDQ83" s="50"/>
      <c r="VDR83" s="23"/>
      <c r="VDS83" s="50"/>
      <c r="VDT83" s="51"/>
      <c r="VDU83" s="50"/>
      <c r="VDV83" s="23"/>
      <c r="VDW83" s="50"/>
      <c r="VDX83" s="51"/>
      <c r="VDY83" s="50"/>
      <c r="VDZ83" s="23"/>
      <c r="VEA83" s="50"/>
      <c r="VEB83" s="51"/>
      <c r="VEC83" s="50"/>
      <c r="VED83" s="23"/>
      <c r="VEE83" s="50"/>
      <c r="VEF83" s="51"/>
      <c r="VEG83" s="50"/>
      <c r="VEH83" s="23"/>
      <c r="VEI83" s="50"/>
      <c r="VEJ83" s="51"/>
      <c r="VEK83" s="50"/>
      <c r="VEL83" s="23"/>
      <c r="VEM83" s="50"/>
      <c r="VEN83" s="51"/>
      <c r="VEO83" s="50"/>
      <c r="VEP83" s="23"/>
      <c r="VEQ83" s="50"/>
      <c r="VER83" s="51"/>
      <c r="VES83" s="50"/>
      <c r="VET83" s="23"/>
      <c r="VEU83" s="50"/>
      <c r="VEV83" s="51"/>
      <c r="VEW83" s="50"/>
      <c r="VEX83" s="23"/>
      <c r="VEY83" s="50"/>
      <c r="VEZ83" s="51"/>
      <c r="VFA83" s="50"/>
      <c r="VFB83" s="23"/>
      <c r="VFC83" s="50"/>
      <c r="VFD83" s="51"/>
      <c r="VFE83" s="50"/>
      <c r="VFF83" s="23"/>
      <c r="VFG83" s="50"/>
      <c r="VFH83" s="51"/>
      <c r="VFI83" s="50"/>
      <c r="VFJ83" s="23"/>
      <c r="VFK83" s="50"/>
      <c r="VFL83" s="51"/>
      <c r="VFM83" s="50"/>
      <c r="VFN83" s="23"/>
      <c r="VFO83" s="50"/>
      <c r="VFP83" s="51"/>
      <c r="VFQ83" s="50"/>
      <c r="VFR83" s="23"/>
      <c r="VFS83" s="50"/>
      <c r="VFT83" s="51"/>
      <c r="VFU83" s="50"/>
      <c r="VFV83" s="23"/>
      <c r="VFW83" s="50"/>
      <c r="VFX83" s="51"/>
      <c r="VFY83" s="50"/>
      <c r="VFZ83" s="23"/>
      <c r="VGA83" s="50"/>
      <c r="VGB83" s="51"/>
      <c r="VGC83" s="50"/>
      <c r="VGD83" s="23"/>
      <c r="VGE83" s="50"/>
      <c r="VGF83" s="51"/>
      <c r="VGG83" s="50"/>
      <c r="VGH83" s="23"/>
      <c r="VGI83" s="50"/>
      <c r="VGJ83" s="51"/>
      <c r="VGK83" s="50"/>
      <c r="VGL83" s="23"/>
      <c r="VGM83" s="50"/>
      <c r="VGN83" s="51"/>
      <c r="VGO83" s="50"/>
      <c r="VGP83" s="23"/>
      <c r="VGQ83" s="50"/>
      <c r="VGR83" s="51"/>
      <c r="VGS83" s="50"/>
      <c r="VGT83" s="23"/>
      <c r="VGU83" s="50"/>
      <c r="VGV83" s="51"/>
      <c r="VGW83" s="50"/>
      <c r="VGX83" s="23"/>
      <c r="VGY83" s="50"/>
      <c r="VGZ83" s="51"/>
      <c r="VHA83" s="50"/>
      <c r="VHB83" s="23"/>
      <c r="VHC83" s="50"/>
      <c r="VHD83" s="51"/>
      <c r="VHE83" s="50"/>
      <c r="VHF83" s="23"/>
      <c r="VHG83" s="50"/>
      <c r="VHH83" s="51"/>
      <c r="VHI83" s="50"/>
      <c r="VHJ83" s="23"/>
      <c r="VHK83" s="50"/>
      <c r="VHL83" s="51"/>
      <c r="VHM83" s="50"/>
      <c r="VHN83" s="23"/>
      <c r="VHO83" s="50"/>
      <c r="VHP83" s="51"/>
      <c r="VHQ83" s="50"/>
      <c r="VHR83" s="23"/>
      <c r="VHS83" s="50"/>
      <c r="VHT83" s="51"/>
      <c r="VHU83" s="50"/>
      <c r="VHV83" s="23"/>
      <c r="VHW83" s="50"/>
      <c r="VHX83" s="51"/>
      <c r="VHY83" s="50"/>
      <c r="VHZ83" s="23"/>
      <c r="VIA83" s="50"/>
      <c r="VIB83" s="51"/>
      <c r="VIC83" s="50"/>
      <c r="VID83" s="23"/>
      <c r="VIE83" s="50"/>
      <c r="VIF83" s="51"/>
      <c r="VIG83" s="50"/>
      <c r="VIH83" s="23"/>
      <c r="VII83" s="50"/>
      <c r="VIJ83" s="51"/>
      <c r="VIK83" s="50"/>
      <c r="VIL83" s="23"/>
      <c r="VIM83" s="50"/>
      <c r="VIN83" s="51"/>
      <c r="VIO83" s="50"/>
      <c r="VIP83" s="23"/>
      <c r="VIQ83" s="50"/>
      <c r="VIR83" s="51"/>
      <c r="VIS83" s="50"/>
      <c r="VIT83" s="23"/>
      <c r="VIU83" s="50"/>
      <c r="VIV83" s="51"/>
      <c r="VIW83" s="50"/>
      <c r="VIX83" s="23"/>
      <c r="VIY83" s="50"/>
      <c r="VIZ83" s="51"/>
      <c r="VJA83" s="50"/>
      <c r="VJB83" s="23"/>
      <c r="VJC83" s="50"/>
      <c r="VJD83" s="51"/>
      <c r="VJE83" s="50"/>
      <c r="VJF83" s="23"/>
      <c r="VJG83" s="50"/>
      <c r="VJH83" s="51"/>
      <c r="VJI83" s="50"/>
      <c r="VJJ83" s="23"/>
      <c r="VJK83" s="50"/>
      <c r="VJL83" s="51"/>
      <c r="VJM83" s="50"/>
      <c r="VJN83" s="23"/>
      <c r="VJO83" s="50"/>
      <c r="VJP83" s="51"/>
      <c r="VJQ83" s="50"/>
      <c r="VJR83" s="23"/>
      <c r="VJS83" s="50"/>
      <c r="VJT83" s="51"/>
      <c r="VJU83" s="50"/>
      <c r="VJV83" s="23"/>
      <c r="VJW83" s="50"/>
      <c r="VJX83" s="51"/>
      <c r="VJY83" s="50"/>
      <c r="VJZ83" s="23"/>
      <c r="VKA83" s="50"/>
      <c r="VKB83" s="51"/>
      <c r="VKC83" s="50"/>
      <c r="VKD83" s="23"/>
      <c r="VKE83" s="50"/>
      <c r="VKF83" s="51"/>
      <c r="VKG83" s="50"/>
      <c r="VKH83" s="23"/>
      <c r="VKI83" s="50"/>
      <c r="VKJ83" s="51"/>
      <c r="VKK83" s="50"/>
      <c r="VKL83" s="23"/>
      <c r="VKM83" s="50"/>
      <c r="VKN83" s="51"/>
      <c r="VKO83" s="50"/>
      <c r="VKP83" s="23"/>
      <c r="VKQ83" s="50"/>
      <c r="VKR83" s="51"/>
      <c r="VKS83" s="50"/>
      <c r="VKT83" s="23"/>
      <c r="VKU83" s="50"/>
      <c r="VKV83" s="51"/>
      <c r="VKW83" s="50"/>
      <c r="VKX83" s="23"/>
      <c r="VKY83" s="50"/>
      <c r="VKZ83" s="51"/>
      <c r="VLA83" s="50"/>
      <c r="VLB83" s="23"/>
      <c r="VLC83" s="50"/>
      <c r="VLD83" s="51"/>
      <c r="VLE83" s="50"/>
      <c r="VLF83" s="23"/>
      <c r="VLG83" s="50"/>
      <c r="VLH83" s="51"/>
      <c r="VLI83" s="50"/>
      <c r="VLJ83" s="23"/>
      <c r="VLK83" s="50"/>
      <c r="VLL83" s="51"/>
      <c r="VLM83" s="50"/>
      <c r="VLN83" s="23"/>
      <c r="VLO83" s="50"/>
      <c r="VLP83" s="51"/>
      <c r="VLQ83" s="50"/>
      <c r="VLR83" s="23"/>
      <c r="VLS83" s="50"/>
      <c r="VLT83" s="51"/>
      <c r="VLU83" s="50"/>
      <c r="VLV83" s="23"/>
      <c r="VLW83" s="50"/>
      <c r="VLX83" s="51"/>
      <c r="VLY83" s="50"/>
      <c r="VLZ83" s="23"/>
      <c r="VMA83" s="50"/>
      <c r="VMB83" s="51"/>
      <c r="VMC83" s="50"/>
      <c r="VMD83" s="23"/>
      <c r="VME83" s="50"/>
      <c r="VMF83" s="51"/>
      <c r="VMG83" s="50"/>
      <c r="VMH83" s="23"/>
      <c r="VMI83" s="50"/>
      <c r="VMJ83" s="51"/>
      <c r="VMK83" s="50"/>
      <c r="VML83" s="23"/>
      <c r="VMM83" s="50"/>
      <c r="VMN83" s="51"/>
      <c r="VMO83" s="50"/>
      <c r="VMP83" s="23"/>
      <c r="VMQ83" s="50"/>
      <c r="VMR83" s="51"/>
      <c r="VMS83" s="50"/>
      <c r="VMT83" s="23"/>
      <c r="VMU83" s="50"/>
      <c r="VMV83" s="51"/>
      <c r="VMW83" s="50"/>
      <c r="VMX83" s="23"/>
      <c r="VMY83" s="50"/>
      <c r="VMZ83" s="51"/>
      <c r="VNA83" s="50"/>
      <c r="VNB83" s="23"/>
      <c r="VNC83" s="50"/>
      <c r="VND83" s="51"/>
      <c r="VNE83" s="50"/>
      <c r="VNF83" s="23"/>
      <c r="VNG83" s="50"/>
      <c r="VNH83" s="51"/>
      <c r="VNI83" s="50"/>
      <c r="VNJ83" s="23"/>
      <c r="VNK83" s="50"/>
      <c r="VNL83" s="51"/>
      <c r="VNM83" s="50"/>
      <c r="VNN83" s="23"/>
      <c r="VNO83" s="50"/>
      <c r="VNP83" s="51"/>
      <c r="VNQ83" s="50"/>
      <c r="VNR83" s="23"/>
      <c r="VNS83" s="50"/>
      <c r="VNT83" s="51"/>
      <c r="VNU83" s="50"/>
      <c r="VNV83" s="23"/>
      <c r="VNW83" s="50"/>
      <c r="VNX83" s="51"/>
      <c r="VNY83" s="50"/>
      <c r="VNZ83" s="23"/>
      <c r="VOA83" s="50"/>
      <c r="VOB83" s="51"/>
      <c r="VOC83" s="50"/>
      <c r="VOD83" s="23"/>
      <c r="VOE83" s="50"/>
      <c r="VOF83" s="51"/>
      <c r="VOG83" s="50"/>
      <c r="VOH83" s="23"/>
      <c r="VOI83" s="50"/>
      <c r="VOJ83" s="51"/>
      <c r="VOK83" s="50"/>
      <c r="VOL83" s="23"/>
      <c r="VOM83" s="50"/>
      <c r="VON83" s="51"/>
      <c r="VOO83" s="50"/>
      <c r="VOP83" s="23"/>
      <c r="VOQ83" s="50"/>
      <c r="VOR83" s="51"/>
      <c r="VOS83" s="50"/>
      <c r="VOT83" s="23"/>
      <c r="VOU83" s="50"/>
      <c r="VOV83" s="51"/>
      <c r="VOW83" s="50"/>
      <c r="VOX83" s="23"/>
      <c r="VOY83" s="50"/>
      <c r="VOZ83" s="51"/>
      <c r="VPA83" s="50"/>
      <c r="VPB83" s="23"/>
      <c r="VPC83" s="50"/>
      <c r="VPD83" s="51"/>
      <c r="VPE83" s="50"/>
      <c r="VPF83" s="23"/>
      <c r="VPG83" s="50"/>
      <c r="VPH83" s="51"/>
      <c r="VPI83" s="50"/>
      <c r="VPJ83" s="23"/>
      <c r="VPK83" s="50"/>
      <c r="VPL83" s="51"/>
      <c r="VPM83" s="50"/>
      <c r="VPN83" s="23"/>
      <c r="VPO83" s="50"/>
      <c r="VPP83" s="51"/>
      <c r="VPQ83" s="50"/>
      <c r="VPR83" s="23"/>
      <c r="VPS83" s="50"/>
      <c r="VPT83" s="51"/>
      <c r="VPU83" s="50"/>
      <c r="VPV83" s="23"/>
      <c r="VPW83" s="50"/>
      <c r="VPX83" s="51"/>
      <c r="VPY83" s="50"/>
      <c r="VPZ83" s="23"/>
      <c r="VQA83" s="50"/>
      <c r="VQB83" s="51"/>
      <c r="VQC83" s="50"/>
      <c r="VQD83" s="23"/>
      <c r="VQE83" s="50"/>
      <c r="VQF83" s="51"/>
      <c r="VQG83" s="50"/>
      <c r="VQH83" s="23"/>
      <c r="VQI83" s="50"/>
      <c r="VQJ83" s="51"/>
      <c r="VQK83" s="50"/>
      <c r="VQL83" s="23"/>
      <c r="VQM83" s="50"/>
      <c r="VQN83" s="51"/>
      <c r="VQO83" s="50"/>
      <c r="VQP83" s="23"/>
      <c r="VQQ83" s="50"/>
      <c r="VQR83" s="51"/>
      <c r="VQS83" s="50"/>
      <c r="VQT83" s="23"/>
      <c r="VQU83" s="50"/>
      <c r="VQV83" s="51"/>
      <c r="VQW83" s="50"/>
      <c r="VQX83" s="23"/>
      <c r="VQY83" s="50"/>
      <c r="VQZ83" s="51"/>
      <c r="VRA83" s="50"/>
      <c r="VRB83" s="23"/>
      <c r="VRC83" s="50"/>
      <c r="VRD83" s="51"/>
      <c r="VRE83" s="50"/>
      <c r="VRF83" s="23"/>
      <c r="VRG83" s="50"/>
      <c r="VRH83" s="51"/>
      <c r="VRI83" s="50"/>
      <c r="VRJ83" s="23"/>
      <c r="VRK83" s="50"/>
      <c r="VRL83" s="51"/>
      <c r="VRM83" s="50"/>
      <c r="VRN83" s="23"/>
      <c r="VRO83" s="50"/>
      <c r="VRP83" s="51"/>
      <c r="VRQ83" s="50"/>
      <c r="VRR83" s="23"/>
      <c r="VRS83" s="50"/>
      <c r="VRT83" s="51"/>
      <c r="VRU83" s="50"/>
      <c r="VRV83" s="23"/>
      <c r="VRW83" s="50"/>
      <c r="VRX83" s="51"/>
      <c r="VRY83" s="50"/>
      <c r="VRZ83" s="23"/>
      <c r="VSA83" s="50"/>
      <c r="VSB83" s="51"/>
      <c r="VSC83" s="50"/>
      <c r="VSD83" s="23"/>
      <c r="VSE83" s="50"/>
      <c r="VSF83" s="51"/>
      <c r="VSG83" s="50"/>
      <c r="VSH83" s="23"/>
      <c r="VSI83" s="50"/>
      <c r="VSJ83" s="51"/>
      <c r="VSK83" s="50"/>
      <c r="VSL83" s="23"/>
      <c r="VSM83" s="50"/>
      <c r="VSN83" s="51"/>
      <c r="VSO83" s="50"/>
      <c r="VSP83" s="23"/>
      <c r="VSQ83" s="50"/>
      <c r="VSR83" s="51"/>
      <c r="VSS83" s="50"/>
      <c r="VST83" s="23"/>
      <c r="VSU83" s="50"/>
      <c r="VSV83" s="51"/>
      <c r="VSW83" s="50"/>
      <c r="VSX83" s="23"/>
      <c r="VSY83" s="50"/>
      <c r="VSZ83" s="51"/>
      <c r="VTA83" s="50"/>
      <c r="VTB83" s="23"/>
      <c r="VTC83" s="50"/>
      <c r="VTD83" s="51"/>
      <c r="VTE83" s="50"/>
      <c r="VTF83" s="23"/>
      <c r="VTG83" s="50"/>
      <c r="VTH83" s="51"/>
      <c r="VTI83" s="50"/>
      <c r="VTJ83" s="23"/>
      <c r="VTK83" s="50"/>
      <c r="VTL83" s="51"/>
      <c r="VTM83" s="50"/>
      <c r="VTN83" s="23"/>
      <c r="VTO83" s="50"/>
      <c r="VTP83" s="51"/>
      <c r="VTQ83" s="50"/>
      <c r="VTR83" s="23"/>
      <c r="VTS83" s="50"/>
      <c r="VTT83" s="51"/>
      <c r="VTU83" s="50"/>
      <c r="VTV83" s="23"/>
      <c r="VTW83" s="50"/>
      <c r="VTX83" s="51"/>
      <c r="VTY83" s="50"/>
      <c r="VTZ83" s="23"/>
      <c r="VUA83" s="50"/>
      <c r="VUB83" s="51"/>
      <c r="VUC83" s="50"/>
      <c r="VUD83" s="23"/>
      <c r="VUE83" s="50"/>
      <c r="VUF83" s="51"/>
      <c r="VUG83" s="50"/>
      <c r="VUH83" s="23"/>
      <c r="VUI83" s="50"/>
      <c r="VUJ83" s="51"/>
      <c r="VUK83" s="50"/>
      <c r="VUL83" s="23"/>
      <c r="VUM83" s="50"/>
      <c r="VUN83" s="51"/>
      <c r="VUO83" s="50"/>
      <c r="VUP83" s="23"/>
      <c r="VUQ83" s="50"/>
      <c r="VUR83" s="51"/>
      <c r="VUS83" s="50"/>
      <c r="VUT83" s="23"/>
      <c r="VUU83" s="50"/>
      <c r="VUV83" s="51"/>
      <c r="VUW83" s="50"/>
      <c r="VUX83" s="23"/>
      <c r="VUY83" s="50"/>
      <c r="VUZ83" s="51"/>
      <c r="VVA83" s="50"/>
      <c r="VVB83" s="23"/>
      <c r="VVC83" s="50"/>
      <c r="VVD83" s="51"/>
      <c r="VVE83" s="50"/>
      <c r="VVF83" s="23"/>
      <c r="VVG83" s="50"/>
      <c r="VVH83" s="51"/>
      <c r="VVI83" s="50"/>
      <c r="VVJ83" s="23"/>
      <c r="VVK83" s="50"/>
      <c r="VVL83" s="51"/>
      <c r="VVM83" s="50"/>
      <c r="VVN83" s="23"/>
      <c r="VVO83" s="50"/>
      <c r="VVP83" s="51"/>
      <c r="VVQ83" s="50"/>
      <c r="VVR83" s="23"/>
      <c r="VVS83" s="50"/>
      <c r="VVT83" s="51"/>
      <c r="VVU83" s="50"/>
      <c r="VVV83" s="23"/>
      <c r="VVW83" s="50"/>
      <c r="VVX83" s="51"/>
      <c r="VVY83" s="50"/>
      <c r="VVZ83" s="23"/>
      <c r="VWA83" s="50"/>
      <c r="VWB83" s="51"/>
      <c r="VWC83" s="50"/>
      <c r="VWD83" s="23"/>
      <c r="VWE83" s="50"/>
      <c r="VWF83" s="51"/>
      <c r="VWG83" s="50"/>
      <c r="VWH83" s="23"/>
      <c r="VWI83" s="50"/>
      <c r="VWJ83" s="51"/>
      <c r="VWK83" s="50"/>
      <c r="VWL83" s="23"/>
      <c r="VWM83" s="50"/>
      <c r="VWN83" s="51"/>
      <c r="VWO83" s="50"/>
      <c r="VWP83" s="23"/>
      <c r="VWQ83" s="50"/>
      <c r="VWR83" s="51"/>
      <c r="VWS83" s="50"/>
      <c r="VWT83" s="23"/>
      <c r="VWU83" s="50"/>
      <c r="VWV83" s="51"/>
      <c r="VWW83" s="50"/>
      <c r="VWX83" s="23"/>
      <c r="VWY83" s="50"/>
      <c r="VWZ83" s="51"/>
      <c r="VXA83" s="50"/>
      <c r="VXB83" s="23"/>
      <c r="VXC83" s="50"/>
      <c r="VXD83" s="51"/>
      <c r="VXE83" s="50"/>
      <c r="VXF83" s="23"/>
      <c r="VXG83" s="50"/>
      <c r="VXH83" s="51"/>
      <c r="VXI83" s="50"/>
      <c r="VXJ83" s="23"/>
      <c r="VXK83" s="50"/>
      <c r="VXL83" s="51"/>
      <c r="VXM83" s="50"/>
      <c r="VXN83" s="23"/>
      <c r="VXO83" s="50"/>
      <c r="VXP83" s="51"/>
      <c r="VXQ83" s="50"/>
      <c r="VXR83" s="23"/>
      <c r="VXS83" s="50"/>
      <c r="VXT83" s="51"/>
      <c r="VXU83" s="50"/>
      <c r="VXV83" s="23"/>
      <c r="VXW83" s="50"/>
      <c r="VXX83" s="51"/>
      <c r="VXY83" s="50"/>
      <c r="VXZ83" s="23"/>
      <c r="VYA83" s="50"/>
      <c r="VYB83" s="51"/>
      <c r="VYC83" s="50"/>
      <c r="VYD83" s="23"/>
      <c r="VYE83" s="50"/>
      <c r="VYF83" s="51"/>
      <c r="VYG83" s="50"/>
      <c r="VYH83" s="23"/>
      <c r="VYI83" s="50"/>
      <c r="VYJ83" s="51"/>
      <c r="VYK83" s="50"/>
      <c r="VYL83" s="23"/>
      <c r="VYM83" s="50"/>
      <c r="VYN83" s="51"/>
      <c r="VYO83" s="50"/>
      <c r="VYP83" s="23"/>
      <c r="VYQ83" s="50"/>
      <c r="VYR83" s="51"/>
      <c r="VYS83" s="50"/>
      <c r="VYT83" s="23"/>
      <c r="VYU83" s="50"/>
      <c r="VYV83" s="51"/>
      <c r="VYW83" s="50"/>
      <c r="VYX83" s="23"/>
      <c r="VYY83" s="50"/>
      <c r="VYZ83" s="51"/>
      <c r="VZA83" s="50"/>
      <c r="VZB83" s="23"/>
      <c r="VZC83" s="50"/>
      <c r="VZD83" s="51"/>
      <c r="VZE83" s="50"/>
      <c r="VZF83" s="23"/>
      <c r="VZG83" s="50"/>
      <c r="VZH83" s="51"/>
      <c r="VZI83" s="50"/>
      <c r="VZJ83" s="23"/>
      <c r="VZK83" s="50"/>
      <c r="VZL83" s="51"/>
      <c r="VZM83" s="50"/>
      <c r="VZN83" s="23"/>
      <c r="VZO83" s="50"/>
      <c r="VZP83" s="51"/>
      <c r="VZQ83" s="50"/>
      <c r="VZR83" s="23"/>
      <c r="VZS83" s="50"/>
      <c r="VZT83" s="51"/>
      <c r="VZU83" s="50"/>
      <c r="VZV83" s="23"/>
      <c r="VZW83" s="50"/>
      <c r="VZX83" s="51"/>
      <c r="VZY83" s="50"/>
      <c r="VZZ83" s="23"/>
      <c r="WAA83" s="50"/>
      <c r="WAB83" s="51"/>
      <c r="WAC83" s="50"/>
      <c r="WAD83" s="23"/>
      <c r="WAE83" s="50"/>
      <c r="WAF83" s="51"/>
      <c r="WAG83" s="50"/>
      <c r="WAH83" s="23"/>
      <c r="WAI83" s="50"/>
      <c r="WAJ83" s="51"/>
      <c r="WAK83" s="50"/>
      <c r="WAL83" s="23"/>
      <c r="WAM83" s="50"/>
      <c r="WAN83" s="51"/>
      <c r="WAO83" s="50"/>
      <c r="WAP83" s="23"/>
      <c r="WAQ83" s="50"/>
      <c r="WAR83" s="51"/>
      <c r="WAS83" s="50"/>
      <c r="WAT83" s="23"/>
      <c r="WAU83" s="50"/>
      <c r="WAV83" s="51"/>
      <c r="WAW83" s="50"/>
      <c r="WAX83" s="23"/>
      <c r="WAY83" s="50"/>
      <c r="WAZ83" s="51"/>
      <c r="WBA83" s="50"/>
      <c r="WBB83" s="23"/>
      <c r="WBC83" s="50"/>
      <c r="WBD83" s="51"/>
      <c r="WBE83" s="50"/>
      <c r="WBF83" s="23"/>
      <c r="WBG83" s="50"/>
      <c r="WBH83" s="51"/>
      <c r="WBI83" s="50"/>
      <c r="WBJ83" s="23"/>
      <c r="WBK83" s="50"/>
      <c r="WBL83" s="51"/>
      <c r="WBM83" s="50"/>
      <c r="WBN83" s="23"/>
      <c r="WBO83" s="50"/>
      <c r="WBP83" s="51"/>
      <c r="WBQ83" s="50"/>
      <c r="WBR83" s="23"/>
      <c r="WBS83" s="50"/>
      <c r="WBT83" s="51"/>
      <c r="WBU83" s="50"/>
      <c r="WBV83" s="23"/>
      <c r="WBW83" s="50"/>
      <c r="WBX83" s="51"/>
      <c r="WBY83" s="50"/>
      <c r="WBZ83" s="23"/>
      <c r="WCA83" s="50"/>
      <c r="WCB83" s="51"/>
      <c r="WCC83" s="50"/>
      <c r="WCD83" s="23"/>
      <c r="WCE83" s="50"/>
      <c r="WCF83" s="51"/>
      <c r="WCG83" s="50"/>
      <c r="WCH83" s="23"/>
      <c r="WCI83" s="50"/>
      <c r="WCJ83" s="51"/>
      <c r="WCK83" s="50"/>
      <c r="WCL83" s="23"/>
      <c r="WCM83" s="50"/>
      <c r="WCN83" s="51"/>
      <c r="WCO83" s="50"/>
      <c r="WCP83" s="23"/>
      <c r="WCQ83" s="50"/>
      <c r="WCR83" s="51"/>
      <c r="WCS83" s="50"/>
      <c r="WCT83" s="23"/>
      <c r="WCU83" s="50"/>
      <c r="WCV83" s="51"/>
      <c r="WCW83" s="50"/>
      <c r="WCX83" s="23"/>
      <c r="WCY83" s="50"/>
      <c r="WCZ83" s="51"/>
      <c r="WDA83" s="50"/>
      <c r="WDB83" s="23"/>
      <c r="WDC83" s="50"/>
      <c r="WDD83" s="51"/>
      <c r="WDE83" s="50"/>
      <c r="WDF83" s="23"/>
      <c r="WDG83" s="50"/>
      <c r="WDH83" s="51"/>
      <c r="WDI83" s="50"/>
      <c r="WDJ83" s="23"/>
      <c r="WDK83" s="50"/>
      <c r="WDL83" s="51"/>
      <c r="WDM83" s="50"/>
      <c r="WDN83" s="23"/>
      <c r="WDO83" s="50"/>
      <c r="WDP83" s="51"/>
      <c r="WDQ83" s="50"/>
      <c r="WDR83" s="23"/>
      <c r="WDS83" s="50"/>
      <c r="WDT83" s="51"/>
      <c r="WDU83" s="50"/>
      <c r="WDV83" s="23"/>
      <c r="WDW83" s="50"/>
      <c r="WDX83" s="51"/>
      <c r="WDY83" s="50"/>
      <c r="WDZ83" s="23"/>
      <c r="WEA83" s="50"/>
      <c r="WEB83" s="51"/>
      <c r="WEC83" s="50"/>
      <c r="WED83" s="23"/>
      <c r="WEE83" s="50"/>
      <c r="WEF83" s="51"/>
      <c r="WEG83" s="50"/>
      <c r="WEH83" s="23"/>
      <c r="WEI83" s="50"/>
      <c r="WEJ83" s="51"/>
      <c r="WEK83" s="50"/>
      <c r="WEL83" s="23"/>
      <c r="WEM83" s="50"/>
      <c r="WEN83" s="51"/>
      <c r="WEO83" s="50"/>
      <c r="WEP83" s="23"/>
      <c r="WEQ83" s="50"/>
      <c r="WER83" s="51"/>
      <c r="WES83" s="50"/>
      <c r="WET83" s="23"/>
      <c r="WEU83" s="50"/>
      <c r="WEV83" s="51"/>
      <c r="WEW83" s="50"/>
      <c r="WEX83" s="23"/>
      <c r="WEY83" s="50"/>
      <c r="WEZ83" s="51"/>
      <c r="WFA83" s="50"/>
      <c r="WFB83" s="23"/>
      <c r="WFC83" s="50"/>
      <c r="WFD83" s="51"/>
      <c r="WFE83" s="50"/>
      <c r="WFF83" s="23"/>
      <c r="WFG83" s="50"/>
      <c r="WFH83" s="51"/>
      <c r="WFI83" s="50"/>
      <c r="WFJ83" s="23"/>
      <c r="WFK83" s="50"/>
      <c r="WFL83" s="51"/>
      <c r="WFM83" s="50"/>
      <c r="WFN83" s="23"/>
      <c r="WFO83" s="50"/>
      <c r="WFP83" s="51"/>
      <c r="WFQ83" s="50"/>
      <c r="WFR83" s="23"/>
      <c r="WFS83" s="50"/>
      <c r="WFT83" s="51"/>
      <c r="WFU83" s="50"/>
      <c r="WFV83" s="23"/>
      <c r="WFW83" s="50"/>
      <c r="WFX83" s="51"/>
      <c r="WFY83" s="50"/>
      <c r="WFZ83" s="23"/>
      <c r="WGA83" s="50"/>
      <c r="WGB83" s="51"/>
      <c r="WGC83" s="50"/>
      <c r="WGD83" s="23"/>
      <c r="WGE83" s="50"/>
      <c r="WGF83" s="51"/>
      <c r="WGG83" s="50"/>
      <c r="WGH83" s="23"/>
      <c r="WGI83" s="50"/>
      <c r="WGJ83" s="51"/>
      <c r="WGK83" s="50"/>
      <c r="WGL83" s="23"/>
      <c r="WGM83" s="50"/>
      <c r="WGN83" s="51"/>
      <c r="WGO83" s="50"/>
      <c r="WGP83" s="23"/>
      <c r="WGQ83" s="50"/>
      <c r="WGR83" s="51"/>
      <c r="WGS83" s="50"/>
      <c r="WGT83" s="23"/>
      <c r="WGU83" s="50"/>
      <c r="WGV83" s="51"/>
      <c r="WGW83" s="50"/>
      <c r="WGX83" s="23"/>
      <c r="WGY83" s="50"/>
      <c r="WGZ83" s="51"/>
      <c r="WHA83" s="50"/>
      <c r="WHB83" s="23"/>
      <c r="WHC83" s="50"/>
      <c r="WHD83" s="51"/>
      <c r="WHE83" s="50"/>
      <c r="WHF83" s="23"/>
      <c r="WHG83" s="50"/>
      <c r="WHH83" s="51"/>
      <c r="WHI83" s="50"/>
      <c r="WHJ83" s="23"/>
      <c r="WHK83" s="50"/>
      <c r="WHL83" s="51"/>
      <c r="WHM83" s="50"/>
      <c r="WHN83" s="23"/>
      <c r="WHO83" s="50"/>
      <c r="WHP83" s="51"/>
      <c r="WHQ83" s="50"/>
      <c r="WHR83" s="23"/>
      <c r="WHS83" s="50"/>
      <c r="WHT83" s="51"/>
      <c r="WHU83" s="50"/>
      <c r="WHV83" s="23"/>
      <c r="WHW83" s="50"/>
      <c r="WHX83" s="51"/>
      <c r="WHY83" s="50"/>
      <c r="WHZ83" s="23"/>
      <c r="WIA83" s="50"/>
      <c r="WIB83" s="51"/>
      <c r="WIC83" s="50"/>
      <c r="WID83" s="23"/>
      <c r="WIE83" s="50"/>
      <c r="WIF83" s="51"/>
      <c r="WIG83" s="50"/>
      <c r="WIH83" s="23"/>
      <c r="WII83" s="50"/>
      <c r="WIJ83" s="51"/>
      <c r="WIK83" s="50"/>
      <c r="WIL83" s="23"/>
      <c r="WIM83" s="50"/>
      <c r="WIN83" s="51"/>
      <c r="WIO83" s="50"/>
      <c r="WIP83" s="23"/>
      <c r="WIQ83" s="50"/>
      <c r="WIR83" s="51"/>
      <c r="WIS83" s="50"/>
      <c r="WIT83" s="23"/>
      <c r="WIU83" s="50"/>
      <c r="WIV83" s="51"/>
      <c r="WIW83" s="50"/>
      <c r="WIX83" s="23"/>
      <c r="WIY83" s="50"/>
      <c r="WIZ83" s="51"/>
      <c r="WJA83" s="50"/>
      <c r="WJB83" s="23"/>
      <c r="WJC83" s="50"/>
      <c r="WJD83" s="51"/>
      <c r="WJE83" s="50"/>
      <c r="WJF83" s="23"/>
      <c r="WJG83" s="50"/>
      <c r="WJH83" s="51"/>
      <c r="WJI83" s="50"/>
      <c r="WJJ83" s="23"/>
      <c r="WJK83" s="50"/>
      <c r="WJL83" s="51"/>
      <c r="WJM83" s="50"/>
      <c r="WJN83" s="23"/>
      <c r="WJO83" s="50"/>
      <c r="WJP83" s="51"/>
      <c r="WJQ83" s="50"/>
      <c r="WJR83" s="23"/>
      <c r="WJS83" s="50"/>
      <c r="WJT83" s="51"/>
      <c r="WJU83" s="50"/>
      <c r="WJV83" s="23"/>
      <c r="WJW83" s="50"/>
      <c r="WJX83" s="51"/>
      <c r="WJY83" s="50"/>
      <c r="WJZ83" s="23"/>
      <c r="WKA83" s="50"/>
      <c r="WKB83" s="51"/>
      <c r="WKC83" s="50"/>
      <c r="WKD83" s="23"/>
      <c r="WKE83" s="50"/>
      <c r="WKF83" s="51"/>
      <c r="WKG83" s="50"/>
      <c r="WKH83" s="23"/>
      <c r="WKI83" s="50"/>
      <c r="WKJ83" s="51"/>
      <c r="WKK83" s="50"/>
      <c r="WKL83" s="23"/>
      <c r="WKM83" s="50"/>
      <c r="WKN83" s="51"/>
      <c r="WKO83" s="50"/>
      <c r="WKP83" s="23"/>
      <c r="WKQ83" s="50"/>
      <c r="WKR83" s="51"/>
      <c r="WKS83" s="50"/>
      <c r="WKT83" s="23"/>
      <c r="WKU83" s="50"/>
      <c r="WKV83" s="51"/>
      <c r="WKW83" s="50"/>
      <c r="WKX83" s="23"/>
      <c r="WKY83" s="50"/>
      <c r="WKZ83" s="51"/>
      <c r="WLA83" s="50"/>
      <c r="WLB83" s="23"/>
      <c r="WLC83" s="50"/>
      <c r="WLD83" s="51"/>
      <c r="WLE83" s="50"/>
      <c r="WLF83" s="23"/>
      <c r="WLG83" s="50"/>
      <c r="WLH83" s="51"/>
      <c r="WLI83" s="50"/>
      <c r="WLJ83" s="23"/>
      <c r="WLK83" s="50"/>
      <c r="WLL83" s="51"/>
      <c r="WLM83" s="50"/>
      <c r="WLN83" s="23"/>
      <c r="WLO83" s="50"/>
      <c r="WLP83" s="51"/>
      <c r="WLQ83" s="50"/>
      <c r="WLR83" s="23"/>
      <c r="WLS83" s="50"/>
      <c r="WLT83" s="51"/>
      <c r="WLU83" s="50"/>
      <c r="WLV83" s="23"/>
      <c r="WLW83" s="50"/>
      <c r="WLX83" s="51"/>
      <c r="WLY83" s="50"/>
      <c r="WLZ83" s="23"/>
      <c r="WMA83" s="50"/>
      <c r="WMB83" s="51"/>
      <c r="WMC83" s="50"/>
      <c r="WMD83" s="23"/>
      <c r="WME83" s="50"/>
      <c r="WMF83" s="51"/>
      <c r="WMG83" s="50"/>
      <c r="WMH83" s="23"/>
      <c r="WMI83" s="50"/>
      <c r="WMJ83" s="51"/>
      <c r="WMK83" s="50"/>
      <c r="WML83" s="23"/>
      <c r="WMM83" s="50"/>
      <c r="WMN83" s="51"/>
      <c r="WMO83" s="50"/>
      <c r="WMP83" s="23"/>
      <c r="WMQ83" s="50"/>
      <c r="WMR83" s="51"/>
      <c r="WMS83" s="50"/>
      <c r="WMT83" s="23"/>
      <c r="WMU83" s="50"/>
      <c r="WMV83" s="51"/>
      <c r="WMW83" s="50"/>
      <c r="WMX83" s="23"/>
      <c r="WMY83" s="50"/>
      <c r="WMZ83" s="51"/>
      <c r="WNA83" s="50"/>
      <c r="WNB83" s="23"/>
      <c r="WNC83" s="50"/>
      <c r="WND83" s="51"/>
      <c r="WNE83" s="50"/>
      <c r="WNF83" s="23"/>
      <c r="WNG83" s="50"/>
      <c r="WNH83" s="51"/>
      <c r="WNI83" s="50"/>
      <c r="WNJ83" s="23"/>
      <c r="WNK83" s="50"/>
      <c r="WNL83" s="51"/>
      <c r="WNM83" s="50"/>
      <c r="WNN83" s="23"/>
      <c r="WNO83" s="50"/>
      <c r="WNP83" s="51"/>
      <c r="WNQ83" s="50"/>
      <c r="WNR83" s="23"/>
      <c r="WNS83" s="50"/>
      <c r="WNT83" s="51"/>
      <c r="WNU83" s="50"/>
      <c r="WNV83" s="23"/>
      <c r="WNW83" s="50"/>
      <c r="WNX83" s="51"/>
      <c r="WNY83" s="50"/>
      <c r="WNZ83" s="23"/>
      <c r="WOA83" s="50"/>
      <c r="WOB83" s="51"/>
      <c r="WOC83" s="50"/>
      <c r="WOD83" s="23"/>
      <c r="WOE83" s="50"/>
      <c r="WOF83" s="51"/>
      <c r="WOG83" s="50"/>
      <c r="WOH83" s="23"/>
      <c r="WOI83" s="50"/>
      <c r="WOJ83" s="51"/>
      <c r="WOK83" s="50"/>
      <c r="WOL83" s="23"/>
      <c r="WOM83" s="50"/>
      <c r="WON83" s="51"/>
      <c r="WOO83" s="50"/>
      <c r="WOP83" s="23"/>
      <c r="WOQ83" s="50"/>
      <c r="WOR83" s="51"/>
      <c r="WOS83" s="50"/>
      <c r="WOT83" s="23"/>
      <c r="WOU83" s="50"/>
      <c r="WOV83" s="51"/>
      <c r="WOW83" s="50"/>
      <c r="WOX83" s="23"/>
      <c r="WOY83" s="50"/>
      <c r="WOZ83" s="51"/>
      <c r="WPA83" s="50"/>
      <c r="WPB83" s="23"/>
      <c r="WPC83" s="50"/>
      <c r="WPD83" s="51"/>
      <c r="WPE83" s="50"/>
      <c r="WPF83" s="23"/>
      <c r="WPG83" s="50"/>
      <c r="WPH83" s="51"/>
      <c r="WPI83" s="50"/>
      <c r="WPJ83" s="23"/>
      <c r="WPK83" s="50"/>
      <c r="WPL83" s="51"/>
      <c r="WPM83" s="50"/>
      <c r="WPN83" s="23"/>
      <c r="WPO83" s="50"/>
      <c r="WPP83" s="51"/>
      <c r="WPQ83" s="50"/>
      <c r="WPR83" s="23"/>
      <c r="WPS83" s="50"/>
      <c r="WPT83" s="51"/>
      <c r="WPU83" s="50"/>
      <c r="WPV83" s="23"/>
      <c r="WPW83" s="50"/>
      <c r="WPX83" s="51"/>
      <c r="WPY83" s="50"/>
      <c r="WPZ83" s="23"/>
      <c r="WQA83" s="50"/>
      <c r="WQB83" s="51"/>
      <c r="WQC83" s="50"/>
      <c r="WQD83" s="23"/>
      <c r="WQE83" s="50"/>
      <c r="WQF83" s="51"/>
      <c r="WQG83" s="50"/>
      <c r="WQH83" s="23"/>
      <c r="WQI83" s="50"/>
      <c r="WQJ83" s="51"/>
      <c r="WQK83" s="50"/>
      <c r="WQL83" s="23"/>
      <c r="WQM83" s="50"/>
      <c r="WQN83" s="51"/>
      <c r="WQO83" s="50"/>
      <c r="WQP83" s="23"/>
      <c r="WQQ83" s="50"/>
      <c r="WQR83" s="51"/>
      <c r="WQS83" s="50"/>
      <c r="WQT83" s="23"/>
      <c r="WQU83" s="50"/>
      <c r="WQV83" s="51"/>
      <c r="WQW83" s="50"/>
      <c r="WQX83" s="23"/>
      <c r="WQY83" s="50"/>
      <c r="WQZ83" s="51"/>
      <c r="WRA83" s="50"/>
      <c r="WRB83" s="23"/>
      <c r="WRC83" s="50"/>
      <c r="WRD83" s="51"/>
      <c r="WRE83" s="50"/>
      <c r="WRF83" s="23"/>
      <c r="WRG83" s="50"/>
      <c r="WRH83" s="51"/>
      <c r="WRI83" s="50"/>
      <c r="WRJ83" s="23"/>
      <c r="WRK83" s="50"/>
      <c r="WRL83" s="51"/>
      <c r="WRM83" s="50"/>
      <c r="WRN83" s="23"/>
      <c r="WRO83" s="50"/>
      <c r="WRP83" s="51"/>
      <c r="WRQ83" s="50"/>
      <c r="WRR83" s="23"/>
      <c r="WRS83" s="50"/>
      <c r="WRT83" s="51"/>
      <c r="WRU83" s="50"/>
      <c r="WRV83" s="23"/>
      <c r="WRW83" s="50"/>
      <c r="WRX83" s="51"/>
      <c r="WRY83" s="50"/>
      <c r="WRZ83" s="23"/>
      <c r="WSA83" s="50"/>
      <c r="WSB83" s="51"/>
      <c r="WSC83" s="50"/>
      <c r="WSD83" s="23"/>
      <c r="WSE83" s="50"/>
      <c r="WSF83" s="51"/>
      <c r="WSG83" s="50"/>
      <c r="WSH83" s="23"/>
      <c r="WSI83" s="50"/>
      <c r="WSJ83" s="51"/>
      <c r="WSK83" s="50"/>
      <c r="WSL83" s="23"/>
      <c r="WSM83" s="50"/>
      <c r="WSN83" s="51"/>
      <c r="WSO83" s="50"/>
      <c r="WSP83" s="23"/>
      <c r="WSQ83" s="50"/>
      <c r="WSR83" s="51"/>
      <c r="WSS83" s="50"/>
      <c r="WST83" s="23"/>
      <c r="WSU83" s="50"/>
      <c r="WSV83" s="51"/>
      <c r="WSW83" s="50"/>
      <c r="WSX83" s="23"/>
      <c r="WSY83" s="50"/>
      <c r="WSZ83" s="51"/>
      <c r="WTA83" s="50"/>
      <c r="WTB83" s="23"/>
      <c r="WTC83" s="50"/>
      <c r="WTD83" s="51"/>
      <c r="WTE83" s="50"/>
      <c r="WTF83" s="23"/>
      <c r="WTG83" s="50"/>
      <c r="WTH83" s="51"/>
      <c r="WTI83" s="50"/>
      <c r="WTJ83" s="23"/>
      <c r="WTK83" s="50"/>
      <c r="WTL83" s="51"/>
      <c r="WTM83" s="50"/>
      <c r="WTN83" s="23"/>
      <c r="WTO83" s="50"/>
      <c r="WTP83" s="51"/>
      <c r="WTQ83" s="50"/>
      <c r="WTR83" s="23"/>
      <c r="WTS83" s="50"/>
      <c r="WTT83" s="51"/>
      <c r="WTU83" s="50"/>
      <c r="WTV83" s="23"/>
      <c r="WTW83" s="50"/>
      <c r="WTX83" s="51"/>
      <c r="WTY83" s="50"/>
      <c r="WTZ83" s="23"/>
      <c r="WUA83" s="50"/>
      <c r="WUB83" s="51"/>
      <c r="WUC83" s="50"/>
      <c r="WUD83" s="23"/>
      <c r="WUE83" s="50"/>
      <c r="WUF83" s="51"/>
      <c r="WUG83" s="50"/>
      <c r="WUH83" s="23"/>
      <c r="WUI83" s="50"/>
      <c r="WUJ83" s="51"/>
      <c r="WUK83" s="50"/>
      <c r="WUL83" s="23"/>
      <c r="WUM83" s="50"/>
      <c r="WUN83" s="51"/>
      <c r="WUO83" s="50"/>
      <c r="WUP83" s="23"/>
      <c r="WUQ83" s="50"/>
      <c r="WUR83" s="51"/>
      <c r="WUS83" s="50"/>
      <c r="WUT83" s="23"/>
      <c r="WUU83" s="50"/>
      <c r="WUV83" s="51"/>
      <c r="WUW83" s="50"/>
      <c r="WUX83" s="23"/>
      <c r="WUY83" s="50"/>
      <c r="WUZ83" s="51"/>
      <c r="WVA83" s="50"/>
      <c r="WVB83" s="23"/>
      <c r="WVC83" s="50"/>
      <c r="WVD83" s="51"/>
      <c r="WVE83" s="50"/>
      <c r="WVF83" s="23"/>
      <c r="WVG83" s="50"/>
      <c r="WVH83" s="51"/>
      <c r="WVI83" s="50"/>
      <c r="WVJ83" s="23"/>
      <c r="WVK83" s="50"/>
      <c r="WVL83" s="51"/>
      <c r="WVM83" s="50"/>
      <c r="WVN83" s="23"/>
      <c r="WVO83" s="50"/>
      <c r="WVP83" s="51"/>
      <c r="WVQ83" s="50"/>
      <c r="WVR83" s="23"/>
      <c r="WVS83" s="50"/>
      <c r="WVT83" s="51"/>
      <c r="WVU83" s="50"/>
      <c r="WVV83" s="23"/>
      <c r="WVW83" s="50"/>
      <c r="WVX83" s="51"/>
      <c r="WVY83" s="50"/>
      <c r="WVZ83" s="23"/>
      <c r="WWA83" s="50"/>
      <c r="WWB83" s="51"/>
      <c r="WWC83" s="50"/>
      <c r="WWD83" s="23"/>
      <c r="WWE83" s="50"/>
      <c r="WWF83" s="51"/>
      <c r="WWG83" s="50"/>
      <c r="WWH83" s="23"/>
      <c r="WWI83" s="50"/>
      <c r="WWJ83" s="51"/>
      <c r="WWK83" s="50"/>
      <c r="WWL83" s="23"/>
      <c r="WWM83" s="50"/>
      <c r="WWN83" s="51"/>
      <c r="WWO83" s="50"/>
      <c r="WWP83" s="23"/>
      <c r="WWQ83" s="50"/>
      <c r="WWR83" s="51"/>
      <c r="WWS83" s="50"/>
      <c r="WWT83" s="23"/>
      <c r="WWU83" s="50"/>
      <c r="WWV83" s="51"/>
      <c r="WWW83" s="50"/>
      <c r="WWX83" s="23"/>
      <c r="WWY83" s="50"/>
      <c r="WWZ83" s="51"/>
      <c r="WXA83" s="50"/>
      <c r="WXB83" s="23"/>
      <c r="WXC83" s="50"/>
      <c r="WXD83" s="51"/>
      <c r="WXE83" s="50"/>
      <c r="WXF83" s="23"/>
      <c r="WXG83" s="50"/>
      <c r="WXH83" s="51"/>
      <c r="WXI83" s="50"/>
      <c r="WXJ83" s="23"/>
      <c r="WXK83" s="50"/>
      <c r="WXL83" s="51"/>
      <c r="WXM83" s="50"/>
      <c r="WXN83" s="23"/>
      <c r="WXO83" s="50"/>
      <c r="WXP83" s="51"/>
      <c r="WXQ83" s="50"/>
      <c r="WXR83" s="23"/>
      <c r="WXS83" s="50"/>
      <c r="WXT83" s="51"/>
      <c r="WXU83" s="50"/>
      <c r="WXV83" s="23"/>
      <c r="WXW83" s="50"/>
      <c r="WXX83" s="51"/>
      <c r="WXY83" s="50"/>
      <c r="WXZ83" s="23"/>
      <c r="WYA83" s="50"/>
      <c r="WYB83" s="51"/>
      <c r="WYC83" s="50"/>
      <c r="WYD83" s="23"/>
      <c r="WYE83" s="50"/>
      <c r="WYF83" s="51"/>
      <c r="WYG83" s="50"/>
      <c r="WYH83" s="23"/>
      <c r="WYI83" s="50"/>
      <c r="WYJ83" s="51"/>
      <c r="WYK83" s="50"/>
      <c r="WYL83" s="23"/>
      <c r="WYM83" s="50"/>
      <c r="WYN83" s="51"/>
      <c r="WYO83" s="50"/>
      <c r="WYP83" s="23"/>
      <c r="WYQ83" s="50"/>
      <c r="WYR83" s="51"/>
      <c r="WYS83" s="50"/>
      <c r="WYT83" s="23"/>
      <c r="WYU83" s="50"/>
      <c r="WYV83" s="51"/>
      <c r="WYW83" s="50"/>
      <c r="WYX83" s="23"/>
      <c r="WYY83" s="50"/>
      <c r="WYZ83" s="51"/>
      <c r="WZA83" s="50"/>
      <c r="WZB83" s="23"/>
      <c r="WZC83" s="50"/>
      <c r="WZD83" s="51"/>
      <c r="WZE83" s="50"/>
      <c r="WZF83" s="23"/>
      <c r="WZG83" s="50"/>
      <c r="WZH83" s="51"/>
      <c r="WZI83" s="50"/>
      <c r="WZJ83" s="23"/>
      <c r="WZK83" s="50"/>
      <c r="WZL83" s="51"/>
      <c r="WZM83" s="50"/>
      <c r="WZN83" s="23"/>
      <c r="WZO83" s="50"/>
      <c r="WZP83" s="51"/>
      <c r="WZQ83" s="50"/>
      <c r="WZR83" s="23"/>
      <c r="WZS83" s="50"/>
      <c r="WZT83" s="51"/>
      <c r="WZU83" s="50"/>
      <c r="WZV83" s="23"/>
      <c r="WZW83" s="50"/>
      <c r="WZX83" s="51"/>
      <c r="WZY83" s="50"/>
      <c r="WZZ83" s="23"/>
      <c r="XAA83" s="50"/>
      <c r="XAB83" s="51"/>
      <c r="XAC83" s="50"/>
      <c r="XAD83" s="23"/>
      <c r="XAE83" s="50"/>
      <c r="XAF83" s="51"/>
      <c r="XAG83" s="50"/>
      <c r="XAH83" s="23"/>
      <c r="XAI83" s="50"/>
      <c r="XAJ83" s="51"/>
      <c r="XAK83" s="50"/>
      <c r="XAL83" s="23"/>
      <c r="XAM83" s="50"/>
      <c r="XAN83" s="51"/>
      <c r="XAO83" s="50"/>
      <c r="XAP83" s="23"/>
      <c r="XAQ83" s="50"/>
      <c r="XAR83" s="51"/>
      <c r="XAS83" s="50"/>
      <c r="XAT83" s="23"/>
      <c r="XAU83" s="50"/>
      <c r="XAV83" s="51"/>
      <c r="XAW83" s="50"/>
      <c r="XAX83" s="23"/>
      <c r="XAY83" s="50"/>
      <c r="XAZ83" s="51"/>
      <c r="XBA83" s="50"/>
      <c r="XBB83" s="23"/>
      <c r="XBC83" s="50"/>
      <c r="XBD83" s="51"/>
      <c r="XBE83" s="50"/>
      <c r="XBF83" s="23"/>
      <c r="XBG83" s="50"/>
      <c r="XBH83" s="51"/>
      <c r="XBI83" s="50"/>
      <c r="XBJ83" s="23"/>
      <c r="XBK83" s="50"/>
      <c r="XBL83" s="51"/>
      <c r="XBM83" s="50"/>
      <c r="XBN83" s="23"/>
      <c r="XBO83" s="50"/>
      <c r="XBP83" s="51"/>
      <c r="XBQ83" s="50"/>
      <c r="XBR83" s="23"/>
      <c r="XBS83" s="50"/>
      <c r="XBT83" s="51"/>
      <c r="XBU83" s="50"/>
      <c r="XBV83" s="23"/>
      <c r="XBW83" s="50"/>
      <c r="XBX83" s="51"/>
      <c r="XBY83" s="50"/>
      <c r="XBZ83" s="23"/>
      <c r="XCA83" s="50"/>
      <c r="XCB83" s="51"/>
      <c r="XCC83" s="50"/>
      <c r="XCD83" s="23"/>
      <c r="XCE83" s="50"/>
      <c r="XCF83" s="51"/>
      <c r="XCG83" s="50"/>
      <c r="XCH83" s="23"/>
      <c r="XCI83" s="50"/>
      <c r="XCJ83" s="51"/>
      <c r="XCK83" s="50"/>
      <c r="XCL83" s="23"/>
      <c r="XCM83" s="50"/>
      <c r="XCN83" s="51"/>
      <c r="XCO83" s="50"/>
      <c r="XCP83" s="23"/>
      <c r="XCQ83" s="50"/>
      <c r="XCR83" s="51"/>
      <c r="XCS83" s="50"/>
      <c r="XCT83" s="23"/>
      <c r="XCU83" s="50"/>
      <c r="XCV83" s="51"/>
      <c r="XCW83" s="50"/>
      <c r="XCX83" s="23"/>
      <c r="XCY83" s="50"/>
      <c r="XCZ83" s="51"/>
      <c r="XDA83" s="50"/>
      <c r="XDB83" s="23"/>
      <c r="XDC83" s="50"/>
      <c r="XDD83" s="51"/>
      <c r="XDE83" s="50"/>
      <c r="XDF83" s="23"/>
      <c r="XDG83" s="50"/>
      <c r="XDH83" s="51"/>
      <c r="XDI83" s="50"/>
      <c r="XDJ83" s="23"/>
      <c r="XDK83" s="50"/>
      <c r="XDL83" s="51"/>
      <c r="XDM83" s="50"/>
      <c r="XDN83" s="23"/>
      <c r="XDO83" s="50"/>
      <c r="XDP83" s="51"/>
      <c r="XDQ83" s="50"/>
      <c r="XDR83" s="23"/>
      <c r="XDS83" s="50"/>
      <c r="XDT83" s="51"/>
      <c r="XDU83" s="50"/>
      <c r="XDV83" s="23"/>
      <c r="XDW83" s="50"/>
      <c r="XDX83" s="51"/>
      <c r="XDY83" s="50"/>
      <c r="XDZ83" s="23"/>
      <c r="XEA83" s="50"/>
      <c r="XEB83" s="51"/>
      <c r="XEC83" s="50"/>
      <c r="XED83" s="23"/>
      <c r="XEE83" s="50"/>
      <c r="XEF83" s="51"/>
      <c r="XEG83" s="50"/>
      <c r="XEH83" s="23"/>
      <c r="XEI83" s="50"/>
      <c r="XEJ83" s="51"/>
      <c r="XEK83" s="50"/>
      <c r="XEL83" s="23"/>
      <c r="XEM83" s="50"/>
      <c r="XEN83" s="51"/>
      <c r="XEO83" s="50"/>
      <c r="XEP83" s="23"/>
      <c r="XEQ83" s="50"/>
      <c r="XER83" s="51"/>
      <c r="XES83" s="50"/>
      <c r="XET83" s="23"/>
      <c r="XEU83" s="50"/>
      <c r="XEV83" s="51"/>
      <c r="XEW83" s="50"/>
      <c r="XEX83" s="23"/>
      <c r="XEY83" s="50"/>
      <c r="XEZ83" s="51"/>
      <c r="XFA83" s="50"/>
      <c r="XFB83" s="23"/>
      <c r="XFC83" s="50"/>
      <c r="XFD83" s="51"/>
    </row>
    <row r="84" spans="1:16384" ht="19.5" customHeight="1" x14ac:dyDescent="0.3">
      <c r="A84" s="129" t="s">
        <v>297</v>
      </c>
      <c r="B84" s="127" t="s">
        <v>298</v>
      </c>
      <c r="C84" s="128" t="s">
        <v>26</v>
      </c>
      <c r="D84" s="128">
        <v>1</v>
      </c>
      <c r="E84" s="126">
        <f t="shared" si="0"/>
        <v>50183</v>
      </c>
      <c r="F84" s="316">
        <v>46900</v>
      </c>
      <c r="G84" s="50"/>
      <c r="H84" s="51"/>
      <c r="I84" s="50"/>
      <c r="J84" s="301"/>
      <c r="K84" s="50"/>
      <c r="L84" s="51"/>
      <c r="M84" s="50"/>
      <c r="N84" s="23"/>
      <c r="O84" s="50"/>
      <c r="P84" s="51"/>
      <c r="Q84" s="50"/>
      <c r="R84" s="23"/>
      <c r="S84" s="50"/>
      <c r="T84" s="51"/>
      <c r="U84" s="50"/>
      <c r="V84" s="23"/>
      <c r="W84" s="50"/>
      <c r="X84" s="51"/>
      <c r="Y84" s="50"/>
      <c r="Z84" s="23"/>
      <c r="AA84" s="50"/>
      <c r="AB84" s="51"/>
      <c r="AC84" s="50"/>
      <c r="AD84" s="23"/>
      <c r="AE84" s="50"/>
      <c r="AF84" s="51"/>
      <c r="AG84" s="50"/>
      <c r="AH84" s="23"/>
      <c r="AI84" s="50"/>
      <c r="AJ84" s="51"/>
      <c r="AK84" s="50"/>
      <c r="AL84" s="23"/>
      <c r="AM84" s="50"/>
      <c r="AN84" s="51"/>
      <c r="AO84" s="50"/>
      <c r="AP84" s="23"/>
      <c r="AQ84" s="50"/>
      <c r="AR84" s="51"/>
      <c r="AS84" s="50"/>
      <c r="AT84" s="23"/>
      <c r="AU84" s="50"/>
      <c r="AV84" s="51"/>
      <c r="AW84" s="50"/>
      <c r="AX84" s="23"/>
      <c r="AY84" s="50"/>
      <c r="AZ84" s="51"/>
      <c r="BA84" s="50"/>
      <c r="BB84" s="23"/>
      <c r="BC84" s="50"/>
      <c r="BD84" s="51"/>
      <c r="BE84" s="50"/>
      <c r="BF84" s="23"/>
      <c r="BG84" s="50"/>
      <c r="BH84" s="51"/>
      <c r="BI84" s="50"/>
      <c r="BJ84" s="23"/>
      <c r="BK84" s="50"/>
      <c r="BL84" s="51"/>
      <c r="BM84" s="50"/>
      <c r="BN84" s="23"/>
      <c r="BO84" s="50"/>
      <c r="BP84" s="51"/>
      <c r="BQ84" s="50"/>
      <c r="BR84" s="23"/>
      <c r="BS84" s="50"/>
      <c r="BT84" s="51"/>
      <c r="BU84" s="50"/>
      <c r="BV84" s="23"/>
      <c r="BW84" s="50"/>
      <c r="BX84" s="51"/>
      <c r="BY84" s="50"/>
      <c r="BZ84" s="23"/>
      <c r="CA84" s="50"/>
      <c r="CB84" s="51"/>
      <c r="CC84" s="50"/>
      <c r="CD84" s="23"/>
      <c r="CE84" s="50"/>
      <c r="CF84" s="51"/>
      <c r="CG84" s="50"/>
      <c r="CH84" s="23"/>
      <c r="CI84" s="50"/>
      <c r="CJ84" s="51"/>
      <c r="CK84" s="50"/>
      <c r="CL84" s="23"/>
      <c r="CM84" s="50"/>
      <c r="CN84" s="51"/>
      <c r="CO84" s="50"/>
      <c r="CP84" s="23"/>
      <c r="CQ84" s="50"/>
      <c r="CR84" s="51"/>
      <c r="CS84" s="50"/>
      <c r="CT84" s="23"/>
      <c r="CU84" s="50"/>
      <c r="CV84" s="51"/>
      <c r="CW84" s="50"/>
      <c r="CX84" s="23"/>
      <c r="CY84" s="50"/>
      <c r="CZ84" s="51"/>
      <c r="DA84" s="50"/>
      <c r="DB84" s="23"/>
      <c r="DC84" s="50"/>
      <c r="DD84" s="51"/>
      <c r="DE84" s="50"/>
      <c r="DF84" s="23"/>
      <c r="DG84" s="50"/>
      <c r="DH84" s="51"/>
      <c r="DI84" s="50"/>
      <c r="DJ84" s="23"/>
      <c r="DK84" s="50"/>
      <c r="DL84" s="51"/>
      <c r="DM84" s="50"/>
      <c r="DN84" s="23"/>
      <c r="DO84" s="50"/>
      <c r="DP84" s="51"/>
      <c r="DQ84" s="50"/>
      <c r="DR84" s="23"/>
      <c r="DS84" s="50"/>
      <c r="DT84" s="51"/>
      <c r="DU84" s="50"/>
      <c r="DV84" s="23"/>
      <c r="DW84" s="50"/>
      <c r="DX84" s="51"/>
      <c r="DY84" s="50"/>
      <c r="DZ84" s="23"/>
      <c r="EA84" s="50"/>
      <c r="EB84" s="51"/>
      <c r="EC84" s="50"/>
      <c r="ED84" s="23"/>
      <c r="EE84" s="50"/>
      <c r="EF84" s="51"/>
      <c r="EG84" s="50"/>
      <c r="EH84" s="23"/>
      <c r="EI84" s="50"/>
      <c r="EJ84" s="51"/>
      <c r="EK84" s="50"/>
      <c r="EL84" s="23"/>
      <c r="EM84" s="50"/>
      <c r="EN84" s="51"/>
      <c r="EO84" s="50"/>
      <c r="EP84" s="23"/>
      <c r="EQ84" s="50"/>
      <c r="ER84" s="51"/>
      <c r="ES84" s="50"/>
      <c r="ET84" s="23"/>
      <c r="EU84" s="50"/>
      <c r="EV84" s="51"/>
      <c r="EW84" s="50"/>
      <c r="EX84" s="23"/>
      <c r="EY84" s="50"/>
      <c r="EZ84" s="51"/>
      <c r="FA84" s="50"/>
      <c r="FB84" s="23"/>
      <c r="FC84" s="50"/>
      <c r="FD84" s="51"/>
      <c r="FE84" s="50"/>
      <c r="FF84" s="23"/>
      <c r="FG84" s="50"/>
      <c r="FH84" s="51"/>
      <c r="FI84" s="50"/>
      <c r="FJ84" s="23"/>
      <c r="FK84" s="50"/>
      <c r="FL84" s="51"/>
      <c r="FM84" s="50"/>
      <c r="FN84" s="23"/>
      <c r="FO84" s="50"/>
      <c r="FP84" s="51"/>
      <c r="FQ84" s="50"/>
      <c r="FR84" s="23"/>
      <c r="FS84" s="50"/>
      <c r="FT84" s="51"/>
      <c r="FU84" s="50"/>
      <c r="FV84" s="23"/>
      <c r="FW84" s="50"/>
      <c r="FX84" s="51"/>
      <c r="FY84" s="50"/>
      <c r="FZ84" s="23"/>
      <c r="GA84" s="50"/>
      <c r="GB84" s="51"/>
      <c r="GC84" s="50"/>
      <c r="GD84" s="23"/>
      <c r="GE84" s="50"/>
      <c r="GF84" s="51"/>
      <c r="GG84" s="50"/>
      <c r="GH84" s="23"/>
      <c r="GI84" s="50"/>
      <c r="GJ84" s="51"/>
      <c r="GK84" s="50"/>
      <c r="GL84" s="23"/>
      <c r="GM84" s="50"/>
      <c r="GN84" s="51"/>
      <c r="GO84" s="50"/>
      <c r="GP84" s="23"/>
      <c r="GQ84" s="50"/>
      <c r="GR84" s="51"/>
      <c r="GS84" s="50"/>
      <c r="GT84" s="23"/>
      <c r="GU84" s="50"/>
      <c r="GV84" s="51"/>
      <c r="GW84" s="50"/>
      <c r="GX84" s="23"/>
      <c r="GY84" s="50"/>
      <c r="GZ84" s="51"/>
      <c r="HA84" s="50"/>
      <c r="HB84" s="23"/>
      <c r="HC84" s="50"/>
      <c r="HD84" s="51"/>
      <c r="HE84" s="50"/>
      <c r="HF84" s="23"/>
      <c r="HG84" s="50"/>
      <c r="HH84" s="51"/>
      <c r="HI84" s="50"/>
      <c r="HJ84" s="23"/>
      <c r="HK84" s="50"/>
      <c r="HL84" s="51"/>
      <c r="HM84" s="50"/>
      <c r="HN84" s="23"/>
      <c r="HO84" s="50"/>
      <c r="HP84" s="51"/>
      <c r="HQ84" s="50"/>
      <c r="HR84" s="23"/>
      <c r="HS84" s="50"/>
      <c r="HT84" s="51"/>
      <c r="HU84" s="50"/>
      <c r="HV84" s="23"/>
      <c r="HW84" s="50"/>
      <c r="HX84" s="51"/>
      <c r="HY84" s="50"/>
      <c r="HZ84" s="23"/>
      <c r="IA84" s="50"/>
      <c r="IB84" s="51"/>
      <c r="IC84" s="50"/>
      <c r="ID84" s="23"/>
      <c r="IE84" s="50"/>
      <c r="IF84" s="51"/>
      <c r="IG84" s="50"/>
      <c r="IH84" s="23"/>
      <c r="II84" s="50"/>
      <c r="IJ84" s="51"/>
      <c r="IK84" s="50"/>
      <c r="IL84" s="23"/>
      <c r="IM84" s="50"/>
      <c r="IN84" s="51"/>
      <c r="IO84" s="50"/>
      <c r="IP84" s="23"/>
      <c r="IQ84" s="50"/>
      <c r="IR84" s="51"/>
      <c r="IS84" s="50"/>
      <c r="IT84" s="23"/>
      <c r="IU84" s="50"/>
      <c r="IV84" s="51"/>
      <c r="IW84" s="50"/>
      <c r="IX84" s="23"/>
      <c r="IY84" s="50"/>
      <c r="IZ84" s="51"/>
      <c r="JA84" s="50"/>
      <c r="JB84" s="23"/>
      <c r="JC84" s="50"/>
      <c r="JD84" s="51"/>
      <c r="JE84" s="50"/>
      <c r="JF84" s="23"/>
      <c r="JG84" s="50"/>
      <c r="JH84" s="51"/>
      <c r="JI84" s="50"/>
      <c r="JJ84" s="23"/>
      <c r="JK84" s="50"/>
      <c r="JL84" s="51"/>
      <c r="JM84" s="50"/>
      <c r="JN84" s="23"/>
      <c r="JO84" s="50"/>
      <c r="JP84" s="51"/>
      <c r="JQ84" s="50"/>
      <c r="JR84" s="23"/>
      <c r="JS84" s="50"/>
      <c r="JT84" s="51"/>
      <c r="JU84" s="50"/>
      <c r="JV84" s="23"/>
      <c r="JW84" s="50"/>
      <c r="JX84" s="51"/>
      <c r="JY84" s="50"/>
      <c r="JZ84" s="23"/>
      <c r="KA84" s="50"/>
      <c r="KB84" s="51"/>
      <c r="KC84" s="50"/>
      <c r="KD84" s="23"/>
      <c r="KE84" s="50"/>
      <c r="KF84" s="51"/>
      <c r="KG84" s="50"/>
      <c r="KH84" s="23"/>
      <c r="KI84" s="50"/>
      <c r="KJ84" s="51"/>
      <c r="KK84" s="50"/>
      <c r="KL84" s="23"/>
      <c r="KM84" s="50"/>
      <c r="KN84" s="51"/>
      <c r="KO84" s="50"/>
      <c r="KP84" s="23"/>
      <c r="KQ84" s="50"/>
      <c r="KR84" s="51"/>
      <c r="KS84" s="50"/>
      <c r="KT84" s="23"/>
      <c r="KU84" s="50"/>
      <c r="KV84" s="51"/>
      <c r="KW84" s="50"/>
      <c r="KX84" s="23"/>
      <c r="KY84" s="50"/>
      <c r="KZ84" s="51"/>
      <c r="LA84" s="50"/>
      <c r="LB84" s="23"/>
      <c r="LC84" s="50"/>
      <c r="LD84" s="51"/>
      <c r="LE84" s="50"/>
      <c r="LF84" s="23"/>
      <c r="LG84" s="50"/>
      <c r="LH84" s="51"/>
      <c r="LI84" s="50"/>
      <c r="LJ84" s="23"/>
      <c r="LK84" s="50"/>
      <c r="LL84" s="51"/>
      <c r="LM84" s="50"/>
      <c r="LN84" s="23"/>
      <c r="LO84" s="50"/>
      <c r="LP84" s="51"/>
      <c r="LQ84" s="50"/>
      <c r="LR84" s="23"/>
      <c r="LS84" s="50"/>
      <c r="LT84" s="51"/>
      <c r="LU84" s="50"/>
      <c r="LV84" s="23"/>
      <c r="LW84" s="50"/>
      <c r="LX84" s="51"/>
      <c r="LY84" s="50"/>
      <c r="LZ84" s="23"/>
      <c r="MA84" s="50"/>
      <c r="MB84" s="51"/>
      <c r="MC84" s="50"/>
      <c r="MD84" s="23"/>
      <c r="ME84" s="50"/>
      <c r="MF84" s="51"/>
      <c r="MG84" s="50"/>
      <c r="MH84" s="23"/>
      <c r="MI84" s="50"/>
      <c r="MJ84" s="51"/>
      <c r="MK84" s="50"/>
      <c r="ML84" s="23"/>
      <c r="MM84" s="50"/>
      <c r="MN84" s="51"/>
      <c r="MO84" s="50"/>
      <c r="MP84" s="23"/>
      <c r="MQ84" s="50"/>
      <c r="MR84" s="51"/>
      <c r="MS84" s="50"/>
      <c r="MT84" s="23"/>
      <c r="MU84" s="50"/>
      <c r="MV84" s="51"/>
      <c r="MW84" s="50"/>
      <c r="MX84" s="23"/>
      <c r="MY84" s="50"/>
      <c r="MZ84" s="51"/>
      <c r="NA84" s="50"/>
      <c r="NB84" s="23"/>
      <c r="NC84" s="50"/>
      <c r="ND84" s="51"/>
      <c r="NE84" s="50"/>
      <c r="NF84" s="23"/>
      <c r="NG84" s="50"/>
      <c r="NH84" s="51"/>
      <c r="NI84" s="50"/>
      <c r="NJ84" s="23"/>
      <c r="NK84" s="50"/>
      <c r="NL84" s="51"/>
      <c r="NM84" s="50"/>
      <c r="NN84" s="23"/>
      <c r="NO84" s="50"/>
      <c r="NP84" s="51"/>
      <c r="NQ84" s="50"/>
      <c r="NR84" s="23"/>
      <c r="NS84" s="50"/>
      <c r="NT84" s="51"/>
      <c r="NU84" s="50"/>
      <c r="NV84" s="23"/>
      <c r="NW84" s="50"/>
      <c r="NX84" s="51"/>
      <c r="NY84" s="50"/>
      <c r="NZ84" s="23"/>
      <c r="OA84" s="50"/>
      <c r="OB84" s="51"/>
      <c r="OC84" s="50"/>
      <c r="OD84" s="23"/>
      <c r="OE84" s="50"/>
      <c r="OF84" s="51"/>
      <c r="OG84" s="50"/>
      <c r="OH84" s="23"/>
      <c r="OI84" s="50"/>
      <c r="OJ84" s="51"/>
      <c r="OK84" s="50"/>
      <c r="OL84" s="23"/>
      <c r="OM84" s="50"/>
      <c r="ON84" s="51"/>
      <c r="OO84" s="50"/>
      <c r="OP84" s="23"/>
      <c r="OQ84" s="50"/>
      <c r="OR84" s="51"/>
      <c r="OS84" s="50"/>
      <c r="OT84" s="23"/>
      <c r="OU84" s="50"/>
      <c r="OV84" s="51"/>
      <c r="OW84" s="50"/>
      <c r="OX84" s="23"/>
      <c r="OY84" s="50"/>
      <c r="OZ84" s="51"/>
      <c r="PA84" s="50"/>
      <c r="PB84" s="23"/>
      <c r="PC84" s="50"/>
      <c r="PD84" s="51"/>
      <c r="PE84" s="50"/>
      <c r="PF84" s="23"/>
      <c r="PG84" s="50"/>
      <c r="PH84" s="51"/>
      <c r="PI84" s="50"/>
      <c r="PJ84" s="23"/>
      <c r="PK84" s="50"/>
      <c r="PL84" s="51"/>
      <c r="PM84" s="50"/>
      <c r="PN84" s="23"/>
      <c r="PO84" s="50"/>
      <c r="PP84" s="51"/>
      <c r="PQ84" s="50"/>
      <c r="PR84" s="23"/>
      <c r="PS84" s="50"/>
      <c r="PT84" s="51"/>
      <c r="PU84" s="50"/>
      <c r="PV84" s="23"/>
      <c r="PW84" s="50"/>
      <c r="PX84" s="51"/>
      <c r="PY84" s="50"/>
      <c r="PZ84" s="23"/>
      <c r="QA84" s="50"/>
      <c r="QB84" s="51"/>
      <c r="QC84" s="50"/>
      <c r="QD84" s="23"/>
      <c r="QE84" s="50"/>
      <c r="QF84" s="51"/>
      <c r="QG84" s="50"/>
      <c r="QH84" s="23"/>
      <c r="QI84" s="50"/>
      <c r="QJ84" s="51"/>
      <c r="QK84" s="50"/>
      <c r="QL84" s="23"/>
      <c r="QM84" s="50"/>
      <c r="QN84" s="51"/>
      <c r="QO84" s="50"/>
      <c r="QP84" s="23"/>
      <c r="QQ84" s="50"/>
      <c r="QR84" s="51"/>
      <c r="QS84" s="50"/>
      <c r="QT84" s="23"/>
      <c r="QU84" s="50"/>
      <c r="QV84" s="51"/>
      <c r="QW84" s="50"/>
      <c r="QX84" s="23"/>
      <c r="QY84" s="50"/>
      <c r="QZ84" s="51"/>
      <c r="RA84" s="50"/>
      <c r="RB84" s="23"/>
      <c r="RC84" s="50"/>
      <c r="RD84" s="51"/>
      <c r="RE84" s="50"/>
      <c r="RF84" s="23"/>
      <c r="RG84" s="50"/>
      <c r="RH84" s="51"/>
      <c r="RI84" s="50"/>
      <c r="RJ84" s="23"/>
      <c r="RK84" s="50"/>
      <c r="RL84" s="51"/>
      <c r="RM84" s="50"/>
      <c r="RN84" s="23"/>
      <c r="RO84" s="50"/>
      <c r="RP84" s="51"/>
      <c r="RQ84" s="50"/>
      <c r="RR84" s="23"/>
      <c r="RS84" s="50"/>
      <c r="RT84" s="51"/>
      <c r="RU84" s="50"/>
      <c r="RV84" s="23"/>
      <c r="RW84" s="50"/>
      <c r="RX84" s="51"/>
      <c r="RY84" s="50"/>
      <c r="RZ84" s="23"/>
      <c r="SA84" s="50"/>
      <c r="SB84" s="51"/>
      <c r="SC84" s="50"/>
      <c r="SD84" s="23"/>
      <c r="SE84" s="50"/>
      <c r="SF84" s="51"/>
      <c r="SG84" s="50"/>
      <c r="SH84" s="23"/>
      <c r="SI84" s="50"/>
      <c r="SJ84" s="51"/>
      <c r="SK84" s="50"/>
      <c r="SL84" s="23"/>
      <c r="SM84" s="50"/>
      <c r="SN84" s="51"/>
      <c r="SO84" s="50"/>
      <c r="SP84" s="23"/>
      <c r="SQ84" s="50"/>
      <c r="SR84" s="51"/>
      <c r="SS84" s="50"/>
      <c r="ST84" s="23"/>
      <c r="SU84" s="50"/>
      <c r="SV84" s="51"/>
      <c r="SW84" s="50"/>
      <c r="SX84" s="23"/>
      <c r="SY84" s="50"/>
      <c r="SZ84" s="51"/>
      <c r="TA84" s="50"/>
      <c r="TB84" s="23"/>
      <c r="TC84" s="50"/>
      <c r="TD84" s="51"/>
      <c r="TE84" s="50"/>
      <c r="TF84" s="23"/>
      <c r="TG84" s="50"/>
      <c r="TH84" s="51"/>
      <c r="TI84" s="50"/>
      <c r="TJ84" s="23"/>
      <c r="TK84" s="50"/>
      <c r="TL84" s="51"/>
      <c r="TM84" s="50"/>
      <c r="TN84" s="23"/>
      <c r="TO84" s="50"/>
      <c r="TP84" s="51"/>
      <c r="TQ84" s="50"/>
      <c r="TR84" s="23"/>
      <c r="TS84" s="50"/>
      <c r="TT84" s="51"/>
      <c r="TU84" s="50"/>
      <c r="TV84" s="23"/>
      <c r="TW84" s="50"/>
      <c r="TX84" s="51"/>
      <c r="TY84" s="50"/>
      <c r="TZ84" s="23"/>
      <c r="UA84" s="50"/>
      <c r="UB84" s="51"/>
      <c r="UC84" s="50"/>
      <c r="UD84" s="23"/>
      <c r="UE84" s="50"/>
      <c r="UF84" s="51"/>
      <c r="UG84" s="50"/>
      <c r="UH84" s="23"/>
      <c r="UI84" s="50"/>
      <c r="UJ84" s="51"/>
      <c r="UK84" s="50"/>
      <c r="UL84" s="23"/>
      <c r="UM84" s="50"/>
      <c r="UN84" s="51"/>
      <c r="UO84" s="50"/>
      <c r="UP84" s="23"/>
      <c r="UQ84" s="50"/>
      <c r="UR84" s="51"/>
      <c r="US84" s="50"/>
      <c r="UT84" s="23"/>
      <c r="UU84" s="50"/>
      <c r="UV84" s="51"/>
      <c r="UW84" s="50"/>
      <c r="UX84" s="23"/>
      <c r="UY84" s="50"/>
      <c r="UZ84" s="51"/>
      <c r="VA84" s="50"/>
      <c r="VB84" s="23"/>
      <c r="VC84" s="50"/>
      <c r="VD84" s="51"/>
      <c r="VE84" s="50"/>
      <c r="VF84" s="23"/>
      <c r="VG84" s="50"/>
      <c r="VH84" s="51"/>
      <c r="VI84" s="50"/>
      <c r="VJ84" s="23"/>
      <c r="VK84" s="50"/>
      <c r="VL84" s="51"/>
      <c r="VM84" s="50"/>
      <c r="VN84" s="23"/>
      <c r="VO84" s="50"/>
      <c r="VP84" s="51"/>
      <c r="VQ84" s="50"/>
      <c r="VR84" s="23"/>
      <c r="VS84" s="50"/>
      <c r="VT84" s="51"/>
      <c r="VU84" s="50"/>
      <c r="VV84" s="23"/>
      <c r="VW84" s="50"/>
      <c r="VX84" s="51"/>
      <c r="VY84" s="50"/>
      <c r="VZ84" s="23"/>
      <c r="WA84" s="50"/>
      <c r="WB84" s="51"/>
      <c r="WC84" s="50"/>
      <c r="WD84" s="23"/>
      <c r="WE84" s="50"/>
      <c r="WF84" s="51"/>
      <c r="WG84" s="50"/>
      <c r="WH84" s="23"/>
      <c r="WI84" s="50"/>
      <c r="WJ84" s="51"/>
      <c r="WK84" s="50"/>
      <c r="WL84" s="23"/>
      <c r="WM84" s="50"/>
      <c r="WN84" s="51"/>
      <c r="WO84" s="50"/>
      <c r="WP84" s="23"/>
      <c r="WQ84" s="50"/>
      <c r="WR84" s="51"/>
      <c r="WS84" s="50"/>
      <c r="WT84" s="23"/>
      <c r="WU84" s="50"/>
      <c r="WV84" s="51"/>
      <c r="WW84" s="50"/>
      <c r="WX84" s="23"/>
      <c r="WY84" s="50"/>
      <c r="WZ84" s="51"/>
      <c r="XA84" s="50"/>
      <c r="XB84" s="23"/>
      <c r="XC84" s="50"/>
      <c r="XD84" s="51"/>
      <c r="XE84" s="50"/>
      <c r="XF84" s="23"/>
      <c r="XG84" s="50"/>
      <c r="XH84" s="51"/>
      <c r="XI84" s="50"/>
      <c r="XJ84" s="23"/>
      <c r="XK84" s="50"/>
      <c r="XL84" s="51"/>
      <c r="XM84" s="50"/>
      <c r="XN84" s="23"/>
      <c r="XO84" s="50"/>
      <c r="XP84" s="51"/>
      <c r="XQ84" s="50"/>
      <c r="XR84" s="23"/>
      <c r="XS84" s="50"/>
      <c r="XT84" s="51"/>
      <c r="XU84" s="50"/>
      <c r="XV84" s="23"/>
      <c r="XW84" s="50"/>
      <c r="XX84" s="51"/>
      <c r="XY84" s="50"/>
      <c r="XZ84" s="23"/>
      <c r="YA84" s="50"/>
      <c r="YB84" s="51"/>
      <c r="YC84" s="50"/>
      <c r="YD84" s="23"/>
      <c r="YE84" s="50"/>
      <c r="YF84" s="51"/>
      <c r="YG84" s="50"/>
      <c r="YH84" s="23"/>
      <c r="YI84" s="50"/>
      <c r="YJ84" s="51"/>
      <c r="YK84" s="50"/>
      <c r="YL84" s="23"/>
      <c r="YM84" s="50"/>
      <c r="YN84" s="51"/>
      <c r="YO84" s="50"/>
      <c r="YP84" s="23"/>
      <c r="YQ84" s="50"/>
      <c r="YR84" s="51"/>
      <c r="YS84" s="50"/>
      <c r="YT84" s="23"/>
      <c r="YU84" s="50"/>
      <c r="YV84" s="51"/>
      <c r="YW84" s="50"/>
      <c r="YX84" s="23"/>
      <c r="YY84" s="50"/>
      <c r="YZ84" s="51"/>
      <c r="ZA84" s="50"/>
      <c r="ZB84" s="23"/>
      <c r="ZC84" s="50"/>
      <c r="ZD84" s="51"/>
      <c r="ZE84" s="50"/>
      <c r="ZF84" s="23"/>
      <c r="ZG84" s="50"/>
      <c r="ZH84" s="51"/>
      <c r="ZI84" s="50"/>
      <c r="ZJ84" s="23"/>
      <c r="ZK84" s="50"/>
      <c r="ZL84" s="51"/>
      <c r="ZM84" s="50"/>
      <c r="ZN84" s="23"/>
      <c r="ZO84" s="50"/>
      <c r="ZP84" s="51"/>
      <c r="ZQ84" s="50"/>
      <c r="ZR84" s="23"/>
      <c r="ZS84" s="50"/>
      <c r="ZT84" s="51"/>
      <c r="ZU84" s="50"/>
      <c r="ZV84" s="23"/>
      <c r="ZW84" s="50"/>
      <c r="ZX84" s="51"/>
      <c r="ZY84" s="50"/>
      <c r="ZZ84" s="23"/>
      <c r="AAA84" s="50"/>
      <c r="AAB84" s="51"/>
      <c r="AAC84" s="50"/>
      <c r="AAD84" s="23"/>
      <c r="AAE84" s="50"/>
      <c r="AAF84" s="51"/>
      <c r="AAG84" s="50"/>
      <c r="AAH84" s="23"/>
      <c r="AAI84" s="50"/>
      <c r="AAJ84" s="51"/>
      <c r="AAK84" s="50"/>
      <c r="AAL84" s="23"/>
      <c r="AAM84" s="50"/>
      <c r="AAN84" s="51"/>
      <c r="AAO84" s="50"/>
      <c r="AAP84" s="23"/>
      <c r="AAQ84" s="50"/>
      <c r="AAR84" s="51"/>
      <c r="AAS84" s="50"/>
      <c r="AAT84" s="23"/>
      <c r="AAU84" s="50"/>
      <c r="AAV84" s="51"/>
      <c r="AAW84" s="50"/>
      <c r="AAX84" s="23"/>
      <c r="AAY84" s="50"/>
      <c r="AAZ84" s="51"/>
      <c r="ABA84" s="50"/>
      <c r="ABB84" s="23"/>
      <c r="ABC84" s="50"/>
      <c r="ABD84" s="51"/>
      <c r="ABE84" s="50"/>
      <c r="ABF84" s="23"/>
      <c r="ABG84" s="50"/>
      <c r="ABH84" s="51"/>
      <c r="ABI84" s="50"/>
      <c r="ABJ84" s="23"/>
      <c r="ABK84" s="50"/>
      <c r="ABL84" s="51"/>
      <c r="ABM84" s="50"/>
      <c r="ABN84" s="23"/>
      <c r="ABO84" s="50"/>
      <c r="ABP84" s="51"/>
      <c r="ABQ84" s="50"/>
      <c r="ABR84" s="23"/>
      <c r="ABS84" s="50"/>
      <c r="ABT84" s="51"/>
      <c r="ABU84" s="50"/>
      <c r="ABV84" s="23"/>
      <c r="ABW84" s="50"/>
      <c r="ABX84" s="51"/>
      <c r="ABY84" s="50"/>
      <c r="ABZ84" s="23"/>
      <c r="ACA84" s="50"/>
      <c r="ACB84" s="51"/>
      <c r="ACC84" s="50"/>
      <c r="ACD84" s="23"/>
      <c r="ACE84" s="50"/>
      <c r="ACF84" s="51"/>
      <c r="ACG84" s="50"/>
      <c r="ACH84" s="23"/>
      <c r="ACI84" s="50"/>
      <c r="ACJ84" s="51"/>
      <c r="ACK84" s="50"/>
      <c r="ACL84" s="23"/>
      <c r="ACM84" s="50"/>
      <c r="ACN84" s="51"/>
      <c r="ACO84" s="50"/>
      <c r="ACP84" s="23"/>
      <c r="ACQ84" s="50"/>
      <c r="ACR84" s="51"/>
      <c r="ACS84" s="50"/>
      <c r="ACT84" s="23"/>
      <c r="ACU84" s="50"/>
      <c r="ACV84" s="51"/>
      <c r="ACW84" s="50"/>
      <c r="ACX84" s="23"/>
      <c r="ACY84" s="50"/>
      <c r="ACZ84" s="51"/>
      <c r="ADA84" s="50"/>
      <c r="ADB84" s="23"/>
      <c r="ADC84" s="50"/>
      <c r="ADD84" s="51"/>
      <c r="ADE84" s="50"/>
      <c r="ADF84" s="23"/>
      <c r="ADG84" s="50"/>
      <c r="ADH84" s="51"/>
      <c r="ADI84" s="50"/>
      <c r="ADJ84" s="23"/>
      <c r="ADK84" s="50"/>
      <c r="ADL84" s="51"/>
      <c r="ADM84" s="50"/>
      <c r="ADN84" s="23"/>
      <c r="ADO84" s="50"/>
      <c r="ADP84" s="51"/>
      <c r="ADQ84" s="50"/>
      <c r="ADR84" s="23"/>
      <c r="ADS84" s="50"/>
      <c r="ADT84" s="51"/>
      <c r="ADU84" s="50"/>
      <c r="ADV84" s="23"/>
      <c r="ADW84" s="50"/>
      <c r="ADX84" s="51"/>
      <c r="ADY84" s="50"/>
      <c r="ADZ84" s="23"/>
      <c r="AEA84" s="50"/>
      <c r="AEB84" s="51"/>
      <c r="AEC84" s="50"/>
      <c r="AED84" s="23"/>
      <c r="AEE84" s="50"/>
      <c r="AEF84" s="51"/>
      <c r="AEG84" s="50"/>
      <c r="AEH84" s="23"/>
      <c r="AEI84" s="50"/>
      <c r="AEJ84" s="51"/>
      <c r="AEK84" s="50"/>
      <c r="AEL84" s="23"/>
      <c r="AEM84" s="50"/>
      <c r="AEN84" s="51"/>
      <c r="AEO84" s="50"/>
      <c r="AEP84" s="23"/>
      <c r="AEQ84" s="50"/>
      <c r="AER84" s="51"/>
      <c r="AES84" s="50"/>
      <c r="AET84" s="23"/>
      <c r="AEU84" s="50"/>
      <c r="AEV84" s="51"/>
      <c r="AEW84" s="50"/>
      <c r="AEX84" s="23"/>
      <c r="AEY84" s="50"/>
      <c r="AEZ84" s="51"/>
      <c r="AFA84" s="50"/>
      <c r="AFB84" s="23"/>
      <c r="AFC84" s="50"/>
      <c r="AFD84" s="51"/>
      <c r="AFE84" s="50"/>
      <c r="AFF84" s="23"/>
      <c r="AFG84" s="50"/>
      <c r="AFH84" s="51"/>
      <c r="AFI84" s="50"/>
      <c r="AFJ84" s="23"/>
      <c r="AFK84" s="50"/>
      <c r="AFL84" s="51"/>
      <c r="AFM84" s="50"/>
      <c r="AFN84" s="23"/>
      <c r="AFO84" s="50"/>
      <c r="AFP84" s="51"/>
      <c r="AFQ84" s="50"/>
      <c r="AFR84" s="23"/>
      <c r="AFS84" s="50"/>
      <c r="AFT84" s="51"/>
      <c r="AFU84" s="50"/>
      <c r="AFV84" s="23"/>
      <c r="AFW84" s="50"/>
      <c r="AFX84" s="51"/>
      <c r="AFY84" s="50"/>
      <c r="AFZ84" s="23"/>
      <c r="AGA84" s="50"/>
      <c r="AGB84" s="51"/>
      <c r="AGC84" s="50"/>
      <c r="AGD84" s="23"/>
      <c r="AGE84" s="50"/>
      <c r="AGF84" s="51"/>
      <c r="AGG84" s="50"/>
      <c r="AGH84" s="23"/>
      <c r="AGI84" s="50"/>
      <c r="AGJ84" s="51"/>
      <c r="AGK84" s="50"/>
      <c r="AGL84" s="23"/>
      <c r="AGM84" s="50"/>
      <c r="AGN84" s="51"/>
      <c r="AGO84" s="50"/>
      <c r="AGP84" s="23"/>
      <c r="AGQ84" s="50"/>
      <c r="AGR84" s="51"/>
      <c r="AGS84" s="50"/>
      <c r="AGT84" s="23"/>
      <c r="AGU84" s="50"/>
      <c r="AGV84" s="51"/>
      <c r="AGW84" s="50"/>
      <c r="AGX84" s="23"/>
      <c r="AGY84" s="50"/>
      <c r="AGZ84" s="51"/>
      <c r="AHA84" s="50"/>
      <c r="AHB84" s="23"/>
      <c r="AHC84" s="50"/>
      <c r="AHD84" s="51"/>
      <c r="AHE84" s="50"/>
      <c r="AHF84" s="23"/>
      <c r="AHG84" s="50"/>
      <c r="AHH84" s="51"/>
      <c r="AHI84" s="50"/>
      <c r="AHJ84" s="23"/>
      <c r="AHK84" s="50"/>
      <c r="AHL84" s="51"/>
      <c r="AHM84" s="50"/>
      <c r="AHN84" s="23"/>
      <c r="AHO84" s="50"/>
      <c r="AHP84" s="51"/>
      <c r="AHQ84" s="50"/>
      <c r="AHR84" s="23"/>
      <c r="AHS84" s="50"/>
      <c r="AHT84" s="51"/>
      <c r="AHU84" s="50"/>
      <c r="AHV84" s="23"/>
      <c r="AHW84" s="50"/>
      <c r="AHX84" s="51"/>
      <c r="AHY84" s="50"/>
      <c r="AHZ84" s="23"/>
      <c r="AIA84" s="50"/>
      <c r="AIB84" s="51"/>
      <c r="AIC84" s="50"/>
      <c r="AID84" s="23"/>
      <c r="AIE84" s="50"/>
      <c r="AIF84" s="51"/>
      <c r="AIG84" s="50"/>
      <c r="AIH84" s="23"/>
      <c r="AII84" s="50"/>
      <c r="AIJ84" s="51"/>
      <c r="AIK84" s="50"/>
      <c r="AIL84" s="23"/>
      <c r="AIM84" s="50"/>
      <c r="AIN84" s="51"/>
      <c r="AIO84" s="50"/>
      <c r="AIP84" s="23"/>
      <c r="AIQ84" s="50"/>
      <c r="AIR84" s="51"/>
      <c r="AIS84" s="50"/>
      <c r="AIT84" s="23"/>
      <c r="AIU84" s="50"/>
      <c r="AIV84" s="51"/>
      <c r="AIW84" s="50"/>
      <c r="AIX84" s="23"/>
      <c r="AIY84" s="50"/>
      <c r="AIZ84" s="51"/>
      <c r="AJA84" s="50"/>
      <c r="AJB84" s="23"/>
      <c r="AJC84" s="50"/>
      <c r="AJD84" s="51"/>
      <c r="AJE84" s="50"/>
      <c r="AJF84" s="23"/>
      <c r="AJG84" s="50"/>
      <c r="AJH84" s="51"/>
      <c r="AJI84" s="50"/>
      <c r="AJJ84" s="23"/>
      <c r="AJK84" s="50"/>
      <c r="AJL84" s="51"/>
      <c r="AJM84" s="50"/>
      <c r="AJN84" s="23"/>
      <c r="AJO84" s="50"/>
      <c r="AJP84" s="51"/>
      <c r="AJQ84" s="50"/>
      <c r="AJR84" s="23"/>
      <c r="AJS84" s="50"/>
      <c r="AJT84" s="51"/>
      <c r="AJU84" s="50"/>
      <c r="AJV84" s="23"/>
      <c r="AJW84" s="50"/>
      <c r="AJX84" s="51"/>
      <c r="AJY84" s="50"/>
      <c r="AJZ84" s="23"/>
      <c r="AKA84" s="50"/>
      <c r="AKB84" s="51"/>
      <c r="AKC84" s="50"/>
      <c r="AKD84" s="23"/>
      <c r="AKE84" s="50"/>
      <c r="AKF84" s="51"/>
      <c r="AKG84" s="50"/>
      <c r="AKH84" s="23"/>
      <c r="AKI84" s="50"/>
      <c r="AKJ84" s="51"/>
      <c r="AKK84" s="50"/>
      <c r="AKL84" s="23"/>
      <c r="AKM84" s="50"/>
      <c r="AKN84" s="51"/>
      <c r="AKO84" s="50"/>
      <c r="AKP84" s="23"/>
      <c r="AKQ84" s="50"/>
      <c r="AKR84" s="51"/>
      <c r="AKS84" s="50"/>
      <c r="AKT84" s="23"/>
      <c r="AKU84" s="50"/>
      <c r="AKV84" s="51"/>
      <c r="AKW84" s="50"/>
      <c r="AKX84" s="23"/>
      <c r="AKY84" s="50"/>
      <c r="AKZ84" s="51"/>
      <c r="ALA84" s="50"/>
      <c r="ALB84" s="23"/>
      <c r="ALC84" s="50"/>
      <c r="ALD84" s="51"/>
      <c r="ALE84" s="50"/>
      <c r="ALF84" s="23"/>
      <c r="ALG84" s="50"/>
      <c r="ALH84" s="51"/>
      <c r="ALI84" s="50"/>
      <c r="ALJ84" s="23"/>
      <c r="ALK84" s="50"/>
      <c r="ALL84" s="51"/>
      <c r="ALM84" s="50"/>
      <c r="ALN84" s="23"/>
      <c r="ALO84" s="50"/>
      <c r="ALP84" s="51"/>
      <c r="ALQ84" s="50"/>
      <c r="ALR84" s="23"/>
      <c r="ALS84" s="50"/>
      <c r="ALT84" s="51"/>
      <c r="ALU84" s="50"/>
      <c r="ALV84" s="23"/>
      <c r="ALW84" s="50"/>
      <c r="ALX84" s="51"/>
      <c r="ALY84" s="50"/>
      <c r="ALZ84" s="23"/>
      <c r="AMA84" s="50"/>
      <c r="AMB84" s="51"/>
      <c r="AMC84" s="50"/>
      <c r="AMD84" s="23"/>
      <c r="AME84" s="50"/>
      <c r="AMF84" s="51"/>
      <c r="AMG84" s="50"/>
      <c r="AMH84" s="23"/>
      <c r="AMI84" s="50"/>
      <c r="AMJ84" s="51"/>
      <c r="AMK84" s="50"/>
      <c r="AML84" s="23"/>
      <c r="AMM84" s="50"/>
      <c r="AMN84" s="51"/>
      <c r="AMO84" s="50"/>
      <c r="AMP84" s="23"/>
      <c r="AMQ84" s="50"/>
      <c r="AMR84" s="51"/>
      <c r="AMS84" s="50"/>
      <c r="AMT84" s="23"/>
      <c r="AMU84" s="50"/>
      <c r="AMV84" s="51"/>
      <c r="AMW84" s="50"/>
      <c r="AMX84" s="23"/>
      <c r="AMY84" s="50"/>
      <c r="AMZ84" s="51"/>
      <c r="ANA84" s="50"/>
      <c r="ANB84" s="23"/>
      <c r="ANC84" s="50"/>
      <c r="AND84" s="51"/>
      <c r="ANE84" s="50"/>
      <c r="ANF84" s="23"/>
      <c r="ANG84" s="50"/>
      <c r="ANH84" s="51"/>
      <c r="ANI84" s="50"/>
      <c r="ANJ84" s="23"/>
      <c r="ANK84" s="50"/>
      <c r="ANL84" s="51"/>
      <c r="ANM84" s="50"/>
      <c r="ANN84" s="23"/>
      <c r="ANO84" s="50"/>
      <c r="ANP84" s="51"/>
      <c r="ANQ84" s="50"/>
      <c r="ANR84" s="23"/>
      <c r="ANS84" s="50"/>
      <c r="ANT84" s="51"/>
      <c r="ANU84" s="50"/>
      <c r="ANV84" s="23"/>
      <c r="ANW84" s="50"/>
      <c r="ANX84" s="51"/>
      <c r="ANY84" s="50"/>
      <c r="ANZ84" s="23"/>
      <c r="AOA84" s="50"/>
      <c r="AOB84" s="51"/>
      <c r="AOC84" s="50"/>
      <c r="AOD84" s="23"/>
      <c r="AOE84" s="50"/>
      <c r="AOF84" s="51"/>
      <c r="AOG84" s="50"/>
      <c r="AOH84" s="23"/>
      <c r="AOI84" s="50"/>
      <c r="AOJ84" s="51"/>
      <c r="AOK84" s="50"/>
      <c r="AOL84" s="23"/>
      <c r="AOM84" s="50"/>
      <c r="AON84" s="51"/>
      <c r="AOO84" s="50"/>
      <c r="AOP84" s="23"/>
      <c r="AOQ84" s="50"/>
      <c r="AOR84" s="51"/>
      <c r="AOS84" s="50"/>
      <c r="AOT84" s="23"/>
      <c r="AOU84" s="50"/>
      <c r="AOV84" s="51"/>
      <c r="AOW84" s="50"/>
      <c r="AOX84" s="23"/>
      <c r="AOY84" s="50"/>
      <c r="AOZ84" s="51"/>
      <c r="APA84" s="50"/>
      <c r="APB84" s="23"/>
      <c r="APC84" s="50"/>
      <c r="APD84" s="51"/>
      <c r="APE84" s="50"/>
      <c r="APF84" s="23"/>
      <c r="APG84" s="50"/>
      <c r="APH84" s="51"/>
      <c r="API84" s="50"/>
      <c r="APJ84" s="23"/>
      <c r="APK84" s="50"/>
      <c r="APL84" s="51"/>
      <c r="APM84" s="50"/>
      <c r="APN84" s="23"/>
      <c r="APO84" s="50"/>
      <c r="APP84" s="51"/>
      <c r="APQ84" s="50"/>
      <c r="APR84" s="23"/>
      <c r="APS84" s="50"/>
      <c r="APT84" s="51"/>
      <c r="APU84" s="50"/>
      <c r="APV84" s="23"/>
      <c r="APW84" s="50"/>
      <c r="APX84" s="51"/>
      <c r="APY84" s="50"/>
      <c r="APZ84" s="23"/>
      <c r="AQA84" s="50"/>
      <c r="AQB84" s="51"/>
      <c r="AQC84" s="50"/>
      <c r="AQD84" s="23"/>
      <c r="AQE84" s="50"/>
      <c r="AQF84" s="51"/>
      <c r="AQG84" s="50"/>
      <c r="AQH84" s="23"/>
      <c r="AQI84" s="50"/>
      <c r="AQJ84" s="51"/>
      <c r="AQK84" s="50"/>
      <c r="AQL84" s="23"/>
      <c r="AQM84" s="50"/>
      <c r="AQN84" s="51"/>
      <c r="AQO84" s="50"/>
      <c r="AQP84" s="23"/>
      <c r="AQQ84" s="50"/>
      <c r="AQR84" s="51"/>
      <c r="AQS84" s="50"/>
      <c r="AQT84" s="23"/>
      <c r="AQU84" s="50"/>
      <c r="AQV84" s="51"/>
      <c r="AQW84" s="50"/>
      <c r="AQX84" s="23"/>
      <c r="AQY84" s="50"/>
      <c r="AQZ84" s="51"/>
      <c r="ARA84" s="50"/>
      <c r="ARB84" s="23"/>
      <c r="ARC84" s="50"/>
      <c r="ARD84" s="51"/>
      <c r="ARE84" s="50"/>
      <c r="ARF84" s="23"/>
      <c r="ARG84" s="50"/>
      <c r="ARH84" s="51"/>
      <c r="ARI84" s="50"/>
      <c r="ARJ84" s="23"/>
      <c r="ARK84" s="50"/>
      <c r="ARL84" s="51"/>
      <c r="ARM84" s="50"/>
      <c r="ARN84" s="23"/>
      <c r="ARO84" s="50"/>
      <c r="ARP84" s="51"/>
      <c r="ARQ84" s="50"/>
      <c r="ARR84" s="23"/>
      <c r="ARS84" s="50"/>
      <c r="ART84" s="51"/>
      <c r="ARU84" s="50"/>
      <c r="ARV84" s="23"/>
      <c r="ARW84" s="50"/>
      <c r="ARX84" s="51"/>
      <c r="ARY84" s="50"/>
      <c r="ARZ84" s="23"/>
      <c r="ASA84" s="50"/>
      <c r="ASB84" s="51"/>
      <c r="ASC84" s="50"/>
      <c r="ASD84" s="23"/>
      <c r="ASE84" s="50"/>
      <c r="ASF84" s="51"/>
      <c r="ASG84" s="50"/>
      <c r="ASH84" s="23"/>
      <c r="ASI84" s="50"/>
      <c r="ASJ84" s="51"/>
      <c r="ASK84" s="50"/>
      <c r="ASL84" s="23"/>
      <c r="ASM84" s="50"/>
      <c r="ASN84" s="51"/>
      <c r="ASO84" s="50"/>
      <c r="ASP84" s="23"/>
      <c r="ASQ84" s="50"/>
      <c r="ASR84" s="51"/>
      <c r="ASS84" s="50"/>
      <c r="AST84" s="23"/>
      <c r="ASU84" s="50"/>
      <c r="ASV84" s="51"/>
      <c r="ASW84" s="50"/>
      <c r="ASX84" s="23"/>
      <c r="ASY84" s="50"/>
      <c r="ASZ84" s="51"/>
      <c r="ATA84" s="50"/>
      <c r="ATB84" s="23"/>
      <c r="ATC84" s="50"/>
      <c r="ATD84" s="51"/>
      <c r="ATE84" s="50"/>
      <c r="ATF84" s="23"/>
      <c r="ATG84" s="50"/>
      <c r="ATH84" s="51"/>
      <c r="ATI84" s="50"/>
      <c r="ATJ84" s="23"/>
      <c r="ATK84" s="50"/>
      <c r="ATL84" s="51"/>
      <c r="ATM84" s="50"/>
      <c r="ATN84" s="23"/>
      <c r="ATO84" s="50"/>
      <c r="ATP84" s="51"/>
      <c r="ATQ84" s="50"/>
      <c r="ATR84" s="23"/>
      <c r="ATS84" s="50"/>
      <c r="ATT84" s="51"/>
      <c r="ATU84" s="50"/>
      <c r="ATV84" s="23"/>
      <c r="ATW84" s="50"/>
      <c r="ATX84" s="51"/>
      <c r="ATY84" s="50"/>
      <c r="ATZ84" s="23"/>
      <c r="AUA84" s="50"/>
      <c r="AUB84" s="51"/>
      <c r="AUC84" s="50"/>
      <c r="AUD84" s="23"/>
      <c r="AUE84" s="50"/>
      <c r="AUF84" s="51"/>
      <c r="AUG84" s="50"/>
      <c r="AUH84" s="23"/>
      <c r="AUI84" s="50"/>
      <c r="AUJ84" s="51"/>
      <c r="AUK84" s="50"/>
      <c r="AUL84" s="23"/>
      <c r="AUM84" s="50"/>
      <c r="AUN84" s="51"/>
      <c r="AUO84" s="50"/>
      <c r="AUP84" s="23"/>
      <c r="AUQ84" s="50"/>
      <c r="AUR84" s="51"/>
      <c r="AUS84" s="50"/>
      <c r="AUT84" s="23"/>
      <c r="AUU84" s="50"/>
      <c r="AUV84" s="51"/>
      <c r="AUW84" s="50"/>
      <c r="AUX84" s="23"/>
      <c r="AUY84" s="50"/>
      <c r="AUZ84" s="51"/>
      <c r="AVA84" s="50"/>
      <c r="AVB84" s="23"/>
      <c r="AVC84" s="50"/>
      <c r="AVD84" s="51"/>
      <c r="AVE84" s="50"/>
      <c r="AVF84" s="23"/>
      <c r="AVG84" s="50"/>
      <c r="AVH84" s="51"/>
      <c r="AVI84" s="50"/>
      <c r="AVJ84" s="23"/>
      <c r="AVK84" s="50"/>
      <c r="AVL84" s="51"/>
      <c r="AVM84" s="50"/>
      <c r="AVN84" s="23"/>
      <c r="AVO84" s="50"/>
      <c r="AVP84" s="51"/>
      <c r="AVQ84" s="50"/>
      <c r="AVR84" s="23"/>
      <c r="AVS84" s="50"/>
      <c r="AVT84" s="51"/>
      <c r="AVU84" s="50"/>
      <c r="AVV84" s="23"/>
      <c r="AVW84" s="50"/>
      <c r="AVX84" s="51"/>
      <c r="AVY84" s="50"/>
      <c r="AVZ84" s="23"/>
      <c r="AWA84" s="50"/>
      <c r="AWB84" s="51"/>
      <c r="AWC84" s="50"/>
      <c r="AWD84" s="23"/>
      <c r="AWE84" s="50"/>
      <c r="AWF84" s="51"/>
      <c r="AWG84" s="50"/>
      <c r="AWH84" s="23"/>
      <c r="AWI84" s="50"/>
      <c r="AWJ84" s="51"/>
      <c r="AWK84" s="50"/>
      <c r="AWL84" s="23"/>
      <c r="AWM84" s="50"/>
      <c r="AWN84" s="51"/>
      <c r="AWO84" s="50"/>
      <c r="AWP84" s="23"/>
      <c r="AWQ84" s="50"/>
      <c r="AWR84" s="51"/>
      <c r="AWS84" s="50"/>
      <c r="AWT84" s="23"/>
      <c r="AWU84" s="50"/>
      <c r="AWV84" s="51"/>
      <c r="AWW84" s="50"/>
      <c r="AWX84" s="23"/>
      <c r="AWY84" s="50"/>
      <c r="AWZ84" s="51"/>
      <c r="AXA84" s="50"/>
      <c r="AXB84" s="23"/>
      <c r="AXC84" s="50"/>
      <c r="AXD84" s="51"/>
      <c r="AXE84" s="50"/>
      <c r="AXF84" s="23"/>
      <c r="AXG84" s="50"/>
      <c r="AXH84" s="51"/>
      <c r="AXI84" s="50"/>
      <c r="AXJ84" s="23"/>
      <c r="AXK84" s="50"/>
      <c r="AXL84" s="51"/>
      <c r="AXM84" s="50"/>
      <c r="AXN84" s="23"/>
      <c r="AXO84" s="50"/>
      <c r="AXP84" s="51"/>
      <c r="AXQ84" s="50"/>
      <c r="AXR84" s="23"/>
      <c r="AXS84" s="50"/>
      <c r="AXT84" s="51"/>
      <c r="AXU84" s="50"/>
      <c r="AXV84" s="23"/>
      <c r="AXW84" s="50"/>
      <c r="AXX84" s="51"/>
      <c r="AXY84" s="50"/>
      <c r="AXZ84" s="23"/>
      <c r="AYA84" s="50"/>
      <c r="AYB84" s="51"/>
      <c r="AYC84" s="50"/>
      <c r="AYD84" s="23"/>
      <c r="AYE84" s="50"/>
      <c r="AYF84" s="51"/>
      <c r="AYG84" s="50"/>
      <c r="AYH84" s="23"/>
      <c r="AYI84" s="50"/>
      <c r="AYJ84" s="51"/>
      <c r="AYK84" s="50"/>
      <c r="AYL84" s="23"/>
      <c r="AYM84" s="50"/>
      <c r="AYN84" s="51"/>
      <c r="AYO84" s="50"/>
      <c r="AYP84" s="23"/>
      <c r="AYQ84" s="50"/>
      <c r="AYR84" s="51"/>
      <c r="AYS84" s="50"/>
      <c r="AYT84" s="23"/>
      <c r="AYU84" s="50"/>
      <c r="AYV84" s="51"/>
      <c r="AYW84" s="50"/>
      <c r="AYX84" s="23"/>
      <c r="AYY84" s="50"/>
      <c r="AYZ84" s="51"/>
      <c r="AZA84" s="50"/>
      <c r="AZB84" s="23"/>
      <c r="AZC84" s="50"/>
      <c r="AZD84" s="51"/>
      <c r="AZE84" s="50"/>
      <c r="AZF84" s="23"/>
      <c r="AZG84" s="50"/>
      <c r="AZH84" s="51"/>
      <c r="AZI84" s="50"/>
      <c r="AZJ84" s="23"/>
      <c r="AZK84" s="50"/>
      <c r="AZL84" s="51"/>
      <c r="AZM84" s="50"/>
      <c r="AZN84" s="23"/>
      <c r="AZO84" s="50"/>
      <c r="AZP84" s="51"/>
      <c r="AZQ84" s="50"/>
      <c r="AZR84" s="23"/>
      <c r="AZS84" s="50"/>
      <c r="AZT84" s="51"/>
      <c r="AZU84" s="50"/>
      <c r="AZV84" s="23"/>
      <c r="AZW84" s="50"/>
      <c r="AZX84" s="51"/>
      <c r="AZY84" s="50"/>
      <c r="AZZ84" s="23"/>
      <c r="BAA84" s="50"/>
      <c r="BAB84" s="51"/>
      <c r="BAC84" s="50"/>
      <c r="BAD84" s="23"/>
      <c r="BAE84" s="50"/>
      <c r="BAF84" s="51"/>
      <c r="BAG84" s="50"/>
      <c r="BAH84" s="23"/>
      <c r="BAI84" s="50"/>
      <c r="BAJ84" s="51"/>
      <c r="BAK84" s="50"/>
      <c r="BAL84" s="23"/>
      <c r="BAM84" s="50"/>
      <c r="BAN84" s="51"/>
      <c r="BAO84" s="50"/>
      <c r="BAP84" s="23"/>
      <c r="BAQ84" s="50"/>
      <c r="BAR84" s="51"/>
      <c r="BAS84" s="50"/>
      <c r="BAT84" s="23"/>
      <c r="BAU84" s="50"/>
      <c r="BAV84" s="51"/>
      <c r="BAW84" s="50"/>
      <c r="BAX84" s="23"/>
      <c r="BAY84" s="50"/>
      <c r="BAZ84" s="51"/>
      <c r="BBA84" s="50"/>
      <c r="BBB84" s="23"/>
      <c r="BBC84" s="50"/>
      <c r="BBD84" s="51"/>
      <c r="BBE84" s="50"/>
      <c r="BBF84" s="23"/>
      <c r="BBG84" s="50"/>
      <c r="BBH84" s="51"/>
      <c r="BBI84" s="50"/>
      <c r="BBJ84" s="23"/>
      <c r="BBK84" s="50"/>
      <c r="BBL84" s="51"/>
      <c r="BBM84" s="50"/>
      <c r="BBN84" s="23"/>
      <c r="BBO84" s="50"/>
      <c r="BBP84" s="51"/>
      <c r="BBQ84" s="50"/>
      <c r="BBR84" s="23"/>
      <c r="BBS84" s="50"/>
      <c r="BBT84" s="51"/>
      <c r="BBU84" s="50"/>
      <c r="BBV84" s="23"/>
      <c r="BBW84" s="50"/>
      <c r="BBX84" s="51"/>
      <c r="BBY84" s="50"/>
      <c r="BBZ84" s="23"/>
      <c r="BCA84" s="50"/>
      <c r="BCB84" s="51"/>
      <c r="BCC84" s="50"/>
      <c r="BCD84" s="23"/>
      <c r="BCE84" s="50"/>
      <c r="BCF84" s="51"/>
      <c r="BCG84" s="50"/>
      <c r="BCH84" s="23"/>
      <c r="BCI84" s="50"/>
      <c r="BCJ84" s="51"/>
      <c r="BCK84" s="50"/>
      <c r="BCL84" s="23"/>
      <c r="BCM84" s="50"/>
      <c r="BCN84" s="51"/>
      <c r="BCO84" s="50"/>
      <c r="BCP84" s="23"/>
      <c r="BCQ84" s="50"/>
      <c r="BCR84" s="51"/>
      <c r="BCS84" s="50"/>
      <c r="BCT84" s="23"/>
      <c r="BCU84" s="50"/>
      <c r="BCV84" s="51"/>
      <c r="BCW84" s="50"/>
      <c r="BCX84" s="23"/>
      <c r="BCY84" s="50"/>
      <c r="BCZ84" s="51"/>
      <c r="BDA84" s="50"/>
      <c r="BDB84" s="23"/>
      <c r="BDC84" s="50"/>
      <c r="BDD84" s="51"/>
      <c r="BDE84" s="50"/>
      <c r="BDF84" s="23"/>
      <c r="BDG84" s="50"/>
      <c r="BDH84" s="51"/>
      <c r="BDI84" s="50"/>
      <c r="BDJ84" s="23"/>
      <c r="BDK84" s="50"/>
      <c r="BDL84" s="51"/>
      <c r="BDM84" s="50"/>
      <c r="BDN84" s="23"/>
      <c r="BDO84" s="50"/>
      <c r="BDP84" s="51"/>
      <c r="BDQ84" s="50"/>
      <c r="BDR84" s="23"/>
      <c r="BDS84" s="50"/>
      <c r="BDT84" s="51"/>
      <c r="BDU84" s="50"/>
      <c r="BDV84" s="23"/>
      <c r="BDW84" s="50"/>
      <c r="BDX84" s="51"/>
      <c r="BDY84" s="50"/>
      <c r="BDZ84" s="23"/>
      <c r="BEA84" s="50"/>
      <c r="BEB84" s="51"/>
      <c r="BEC84" s="50"/>
      <c r="BED84" s="23"/>
      <c r="BEE84" s="50"/>
      <c r="BEF84" s="51"/>
      <c r="BEG84" s="50"/>
      <c r="BEH84" s="23"/>
      <c r="BEI84" s="50"/>
      <c r="BEJ84" s="51"/>
      <c r="BEK84" s="50"/>
      <c r="BEL84" s="23"/>
      <c r="BEM84" s="50"/>
      <c r="BEN84" s="51"/>
      <c r="BEO84" s="50"/>
      <c r="BEP84" s="23"/>
      <c r="BEQ84" s="50"/>
      <c r="BER84" s="51"/>
      <c r="BES84" s="50"/>
      <c r="BET84" s="23"/>
      <c r="BEU84" s="50"/>
      <c r="BEV84" s="51"/>
      <c r="BEW84" s="50"/>
      <c r="BEX84" s="23"/>
      <c r="BEY84" s="50"/>
      <c r="BEZ84" s="51"/>
      <c r="BFA84" s="50"/>
      <c r="BFB84" s="23"/>
      <c r="BFC84" s="50"/>
      <c r="BFD84" s="51"/>
      <c r="BFE84" s="50"/>
      <c r="BFF84" s="23"/>
      <c r="BFG84" s="50"/>
      <c r="BFH84" s="51"/>
      <c r="BFI84" s="50"/>
      <c r="BFJ84" s="23"/>
      <c r="BFK84" s="50"/>
      <c r="BFL84" s="51"/>
      <c r="BFM84" s="50"/>
      <c r="BFN84" s="23"/>
      <c r="BFO84" s="50"/>
      <c r="BFP84" s="51"/>
      <c r="BFQ84" s="50"/>
      <c r="BFR84" s="23"/>
      <c r="BFS84" s="50"/>
      <c r="BFT84" s="51"/>
      <c r="BFU84" s="50"/>
      <c r="BFV84" s="23"/>
      <c r="BFW84" s="50"/>
      <c r="BFX84" s="51"/>
      <c r="BFY84" s="50"/>
      <c r="BFZ84" s="23"/>
      <c r="BGA84" s="50"/>
      <c r="BGB84" s="51"/>
      <c r="BGC84" s="50"/>
      <c r="BGD84" s="23"/>
      <c r="BGE84" s="50"/>
      <c r="BGF84" s="51"/>
      <c r="BGG84" s="50"/>
      <c r="BGH84" s="23"/>
      <c r="BGI84" s="50"/>
      <c r="BGJ84" s="51"/>
      <c r="BGK84" s="50"/>
      <c r="BGL84" s="23"/>
      <c r="BGM84" s="50"/>
      <c r="BGN84" s="51"/>
      <c r="BGO84" s="50"/>
      <c r="BGP84" s="23"/>
      <c r="BGQ84" s="50"/>
      <c r="BGR84" s="51"/>
      <c r="BGS84" s="50"/>
      <c r="BGT84" s="23"/>
      <c r="BGU84" s="50"/>
      <c r="BGV84" s="51"/>
      <c r="BGW84" s="50"/>
      <c r="BGX84" s="23"/>
      <c r="BGY84" s="50"/>
      <c r="BGZ84" s="51"/>
      <c r="BHA84" s="50"/>
      <c r="BHB84" s="23"/>
      <c r="BHC84" s="50"/>
      <c r="BHD84" s="51"/>
      <c r="BHE84" s="50"/>
      <c r="BHF84" s="23"/>
      <c r="BHG84" s="50"/>
      <c r="BHH84" s="51"/>
      <c r="BHI84" s="50"/>
      <c r="BHJ84" s="23"/>
      <c r="BHK84" s="50"/>
      <c r="BHL84" s="51"/>
      <c r="BHM84" s="50"/>
      <c r="BHN84" s="23"/>
      <c r="BHO84" s="50"/>
      <c r="BHP84" s="51"/>
      <c r="BHQ84" s="50"/>
      <c r="BHR84" s="23"/>
      <c r="BHS84" s="50"/>
      <c r="BHT84" s="51"/>
      <c r="BHU84" s="50"/>
      <c r="BHV84" s="23"/>
      <c r="BHW84" s="50"/>
      <c r="BHX84" s="51"/>
      <c r="BHY84" s="50"/>
      <c r="BHZ84" s="23"/>
      <c r="BIA84" s="50"/>
      <c r="BIB84" s="51"/>
      <c r="BIC84" s="50"/>
      <c r="BID84" s="23"/>
      <c r="BIE84" s="50"/>
      <c r="BIF84" s="51"/>
      <c r="BIG84" s="50"/>
      <c r="BIH84" s="23"/>
      <c r="BII84" s="50"/>
      <c r="BIJ84" s="51"/>
      <c r="BIK84" s="50"/>
      <c r="BIL84" s="23"/>
      <c r="BIM84" s="50"/>
      <c r="BIN84" s="51"/>
      <c r="BIO84" s="50"/>
      <c r="BIP84" s="23"/>
      <c r="BIQ84" s="50"/>
      <c r="BIR84" s="51"/>
      <c r="BIS84" s="50"/>
      <c r="BIT84" s="23"/>
      <c r="BIU84" s="50"/>
      <c r="BIV84" s="51"/>
      <c r="BIW84" s="50"/>
      <c r="BIX84" s="23"/>
      <c r="BIY84" s="50"/>
      <c r="BIZ84" s="51"/>
      <c r="BJA84" s="50"/>
      <c r="BJB84" s="23"/>
      <c r="BJC84" s="50"/>
      <c r="BJD84" s="51"/>
      <c r="BJE84" s="50"/>
      <c r="BJF84" s="23"/>
      <c r="BJG84" s="50"/>
      <c r="BJH84" s="51"/>
      <c r="BJI84" s="50"/>
      <c r="BJJ84" s="23"/>
      <c r="BJK84" s="50"/>
      <c r="BJL84" s="51"/>
      <c r="BJM84" s="50"/>
      <c r="BJN84" s="23"/>
      <c r="BJO84" s="50"/>
      <c r="BJP84" s="51"/>
      <c r="BJQ84" s="50"/>
      <c r="BJR84" s="23"/>
      <c r="BJS84" s="50"/>
      <c r="BJT84" s="51"/>
      <c r="BJU84" s="50"/>
      <c r="BJV84" s="23"/>
      <c r="BJW84" s="50"/>
      <c r="BJX84" s="51"/>
      <c r="BJY84" s="50"/>
      <c r="BJZ84" s="23"/>
      <c r="BKA84" s="50"/>
      <c r="BKB84" s="51"/>
      <c r="BKC84" s="50"/>
      <c r="BKD84" s="23"/>
      <c r="BKE84" s="50"/>
      <c r="BKF84" s="51"/>
      <c r="BKG84" s="50"/>
      <c r="BKH84" s="23"/>
      <c r="BKI84" s="50"/>
      <c r="BKJ84" s="51"/>
      <c r="BKK84" s="50"/>
      <c r="BKL84" s="23"/>
      <c r="BKM84" s="50"/>
      <c r="BKN84" s="51"/>
      <c r="BKO84" s="50"/>
      <c r="BKP84" s="23"/>
      <c r="BKQ84" s="50"/>
      <c r="BKR84" s="51"/>
      <c r="BKS84" s="50"/>
      <c r="BKT84" s="23"/>
      <c r="BKU84" s="50"/>
      <c r="BKV84" s="51"/>
      <c r="BKW84" s="50"/>
      <c r="BKX84" s="23"/>
      <c r="BKY84" s="50"/>
      <c r="BKZ84" s="51"/>
      <c r="BLA84" s="50"/>
      <c r="BLB84" s="23"/>
      <c r="BLC84" s="50"/>
      <c r="BLD84" s="51"/>
      <c r="BLE84" s="50"/>
      <c r="BLF84" s="23"/>
      <c r="BLG84" s="50"/>
      <c r="BLH84" s="51"/>
      <c r="BLI84" s="50"/>
      <c r="BLJ84" s="23"/>
      <c r="BLK84" s="50"/>
      <c r="BLL84" s="51"/>
      <c r="BLM84" s="50"/>
      <c r="BLN84" s="23"/>
      <c r="BLO84" s="50"/>
      <c r="BLP84" s="51"/>
      <c r="BLQ84" s="50"/>
      <c r="BLR84" s="23"/>
      <c r="BLS84" s="50"/>
      <c r="BLT84" s="51"/>
      <c r="BLU84" s="50"/>
      <c r="BLV84" s="23"/>
      <c r="BLW84" s="50"/>
      <c r="BLX84" s="51"/>
      <c r="BLY84" s="50"/>
      <c r="BLZ84" s="23"/>
      <c r="BMA84" s="50"/>
      <c r="BMB84" s="51"/>
      <c r="BMC84" s="50"/>
      <c r="BMD84" s="23"/>
      <c r="BME84" s="50"/>
      <c r="BMF84" s="51"/>
      <c r="BMG84" s="50"/>
      <c r="BMH84" s="23"/>
      <c r="BMI84" s="50"/>
      <c r="BMJ84" s="51"/>
      <c r="BMK84" s="50"/>
      <c r="BML84" s="23"/>
      <c r="BMM84" s="50"/>
      <c r="BMN84" s="51"/>
      <c r="BMO84" s="50"/>
      <c r="BMP84" s="23"/>
      <c r="BMQ84" s="50"/>
      <c r="BMR84" s="51"/>
      <c r="BMS84" s="50"/>
      <c r="BMT84" s="23"/>
      <c r="BMU84" s="50"/>
      <c r="BMV84" s="51"/>
      <c r="BMW84" s="50"/>
      <c r="BMX84" s="23"/>
      <c r="BMY84" s="50"/>
      <c r="BMZ84" s="51"/>
      <c r="BNA84" s="50"/>
      <c r="BNB84" s="23"/>
      <c r="BNC84" s="50"/>
      <c r="BND84" s="51"/>
      <c r="BNE84" s="50"/>
      <c r="BNF84" s="23"/>
      <c r="BNG84" s="50"/>
      <c r="BNH84" s="51"/>
      <c r="BNI84" s="50"/>
      <c r="BNJ84" s="23"/>
      <c r="BNK84" s="50"/>
      <c r="BNL84" s="51"/>
      <c r="BNM84" s="50"/>
      <c r="BNN84" s="23"/>
      <c r="BNO84" s="50"/>
      <c r="BNP84" s="51"/>
      <c r="BNQ84" s="50"/>
      <c r="BNR84" s="23"/>
      <c r="BNS84" s="50"/>
      <c r="BNT84" s="51"/>
      <c r="BNU84" s="50"/>
      <c r="BNV84" s="23"/>
      <c r="BNW84" s="50"/>
      <c r="BNX84" s="51"/>
      <c r="BNY84" s="50"/>
      <c r="BNZ84" s="23"/>
      <c r="BOA84" s="50"/>
      <c r="BOB84" s="51"/>
      <c r="BOC84" s="50"/>
      <c r="BOD84" s="23"/>
      <c r="BOE84" s="50"/>
      <c r="BOF84" s="51"/>
      <c r="BOG84" s="50"/>
      <c r="BOH84" s="23"/>
      <c r="BOI84" s="50"/>
      <c r="BOJ84" s="51"/>
      <c r="BOK84" s="50"/>
      <c r="BOL84" s="23"/>
      <c r="BOM84" s="50"/>
      <c r="BON84" s="51"/>
      <c r="BOO84" s="50"/>
      <c r="BOP84" s="23"/>
      <c r="BOQ84" s="50"/>
      <c r="BOR84" s="51"/>
      <c r="BOS84" s="50"/>
      <c r="BOT84" s="23"/>
      <c r="BOU84" s="50"/>
      <c r="BOV84" s="51"/>
      <c r="BOW84" s="50"/>
      <c r="BOX84" s="23"/>
      <c r="BOY84" s="50"/>
      <c r="BOZ84" s="51"/>
      <c r="BPA84" s="50"/>
      <c r="BPB84" s="23"/>
      <c r="BPC84" s="50"/>
      <c r="BPD84" s="51"/>
      <c r="BPE84" s="50"/>
      <c r="BPF84" s="23"/>
      <c r="BPG84" s="50"/>
      <c r="BPH84" s="51"/>
      <c r="BPI84" s="50"/>
      <c r="BPJ84" s="23"/>
      <c r="BPK84" s="50"/>
      <c r="BPL84" s="51"/>
      <c r="BPM84" s="50"/>
      <c r="BPN84" s="23"/>
      <c r="BPO84" s="50"/>
      <c r="BPP84" s="51"/>
      <c r="BPQ84" s="50"/>
      <c r="BPR84" s="23"/>
      <c r="BPS84" s="50"/>
      <c r="BPT84" s="51"/>
      <c r="BPU84" s="50"/>
      <c r="BPV84" s="23"/>
      <c r="BPW84" s="50"/>
      <c r="BPX84" s="51"/>
      <c r="BPY84" s="50"/>
      <c r="BPZ84" s="23"/>
      <c r="BQA84" s="50"/>
      <c r="BQB84" s="51"/>
      <c r="BQC84" s="50"/>
      <c r="BQD84" s="23"/>
      <c r="BQE84" s="50"/>
      <c r="BQF84" s="51"/>
      <c r="BQG84" s="50"/>
      <c r="BQH84" s="23"/>
      <c r="BQI84" s="50"/>
      <c r="BQJ84" s="51"/>
      <c r="BQK84" s="50"/>
      <c r="BQL84" s="23"/>
      <c r="BQM84" s="50"/>
      <c r="BQN84" s="51"/>
      <c r="BQO84" s="50"/>
      <c r="BQP84" s="23"/>
      <c r="BQQ84" s="50"/>
      <c r="BQR84" s="51"/>
      <c r="BQS84" s="50"/>
      <c r="BQT84" s="23"/>
      <c r="BQU84" s="50"/>
      <c r="BQV84" s="51"/>
      <c r="BQW84" s="50"/>
      <c r="BQX84" s="23"/>
      <c r="BQY84" s="50"/>
      <c r="BQZ84" s="51"/>
      <c r="BRA84" s="50"/>
      <c r="BRB84" s="23"/>
      <c r="BRC84" s="50"/>
      <c r="BRD84" s="51"/>
      <c r="BRE84" s="50"/>
      <c r="BRF84" s="23"/>
      <c r="BRG84" s="50"/>
      <c r="BRH84" s="51"/>
      <c r="BRI84" s="50"/>
      <c r="BRJ84" s="23"/>
      <c r="BRK84" s="50"/>
      <c r="BRL84" s="51"/>
      <c r="BRM84" s="50"/>
      <c r="BRN84" s="23"/>
      <c r="BRO84" s="50"/>
      <c r="BRP84" s="51"/>
      <c r="BRQ84" s="50"/>
      <c r="BRR84" s="23"/>
      <c r="BRS84" s="50"/>
      <c r="BRT84" s="51"/>
      <c r="BRU84" s="50"/>
      <c r="BRV84" s="23"/>
      <c r="BRW84" s="50"/>
      <c r="BRX84" s="51"/>
      <c r="BRY84" s="50"/>
      <c r="BRZ84" s="23"/>
      <c r="BSA84" s="50"/>
      <c r="BSB84" s="51"/>
      <c r="BSC84" s="50"/>
      <c r="BSD84" s="23"/>
      <c r="BSE84" s="50"/>
      <c r="BSF84" s="51"/>
      <c r="BSG84" s="50"/>
      <c r="BSH84" s="23"/>
      <c r="BSI84" s="50"/>
      <c r="BSJ84" s="51"/>
      <c r="BSK84" s="50"/>
      <c r="BSL84" s="23"/>
      <c r="BSM84" s="50"/>
      <c r="BSN84" s="51"/>
      <c r="BSO84" s="50"/>
      <c r="BSP84" s="23"/>
      <c r="BSQ84" s="50"/>
      <c r="BSR84" s="51"/>
      <c r="BSS84" s="50"/>
      <c r="BST84" s="23"/>
      <c r="BSU84" s="50"/>
      <c r="BSV84" s="51"/>
      <c r="BSW84" s="50"/>
      <c r="BSX84" s="23"/>
      <c r="BSY84" s="50"/>
      <c r="BSZ84" s="51"/>
      <c r="BTA84" s="50"/>
      <c r="BTB84" s="23"/>
      <c r="BTC84" s="50"/>
      <c r="BTD84" s="51"/>
      <c r="BTE84" s="50"/>
      <c r="BTF84" s="23"/>
      <c r="BTG84" s="50"/>
      <c r="BTH84" s="51"/>
      <c r="BTI84" s="50"/>
      <c r="BTJ84" s="23"/>
      <c r="BTK84" s="50"/>
      <c r="BTL84" s="51"/>
      <c r="BTM84" s="50"/>
      <c r="BTN84" s="23"/>
      <c r="BTO84" s="50"/>
      <c r="BTP84" s="51"/>
      <c r="BTQ84" s="50"/>
      <c r="BTR84" s="23"/>
      <c r="BTS84" s="50"/>
      <c r="BTT84" s="51"/>
      <c r="BTU84" s="50"/>
      <c r="BTV84" s="23"/>
      <c r="BTW84" s="50"/>
      <c r="BTX84" s="51"/>
      <c r="BTY84" s="50"/>
      <c r="BTZ84" s="23"/>
      <c r="BUA84" s="50"/>
      <c r="BUB84" s="51"/>
      <c r="BUC84" s="50"/>
      <c r="BUD84" s="23"/>
      <c r="BUE84" s="50"/>
      <c r="BUF84" s="51"/>
      <c r="BUG84" s="50"/>
      <c r="BUH84" s="23"/>
      <c r="BUI84" s="50"/>
      <c r="BUJ84" s="51"/>
      <c r="BUK84" s="50"/>
      <c r="BUL84" s="23"/>
      <c r="BUM84" s="50"/>
      <c r="BUN84" s="51"/>
      <c r="BUO84" s="50"/>
      <c r="BUP84" s="23"/>
      <c r="BUQ84" s="50"/>
      <c r="BUR84" s="51"/>
      <c r="BUS84" s="50"/>
      <c r="BUT84" s="23"/>
      <c r="BUU84" s="50"/>
      <c r="BUV84" s="51"/>
      <c r="BUW84" s="50"/>
      <c r="BUX84" s="23"/>
      <c r="BUY84" s="50"/>
      <c r="BUZ84" s="51"/>
      <c r="BVA84" s="50"/>
      <c r="BVB84" s="23"/>
      <c r="BVC84" s="50"/>
      <c r="BVD84" s="51"/>
      <c r="BVE84" s="50"/>
      <c r="BVF84" s="23"/>
      <c r="BVG84" s="50"/>
      <c r="BVH84" s="51"/>
      <c r="BVI84" s="50"/>
      <c r="BVJ84" s="23"/>
      <c r="BVK84" s="50"/>
      <c r="BVL84" s="51"/>
      <c r="BVM84" s="50"/>
      <c r="BVN84" s="23"/>
      <c r="BVO84" s="50"/>
      <c r="BVP84" s="51"/>
      <c r="BVQ84" s="50"/>
      <c r="BVR84" s="23"/>
      <c r="BVS84" s="50"/>
      <c r="BVT84" s="51"/>
      <c r="BVU84" s="50"/>
      <c r="BVV84" s="23"/>
      <c r="BVW84" s="50"/>
      <c r="BVX84" s="51"/>
      <c r="BVY84" s="50"/>
      <c r="BVZ84" s="23"/>
      <c r="BWA84" s="50"/>
      <c r="BWB84" s="51"/>
      <c r="BWC84" s="50"/>
      <c r="BWD84" s="23"/>
      <c r="BWE84" s="50"/>
      <c r="BWF84" s="51"/>
      <c r="BWG84" s="50"/>
      <c r="BWH84" s="23"/>
      <c r="BWI84" s="50"/>
      <c r="BWJ84" s="51"/>
      <c r="BWK84" s="50"/>
      <c r="BWL84" s="23"/>
      <c r="BWM84" s="50"/>
      <c r="BWN84" s="51"/>
      <c r="BWO84" s="50"/>
      <c r="BWP84" s="23"/>
      <c r="BWQ84" s="50"/>
      <c r="BWR84" s="51"/>
      <c r="BWS84" s="50"/>
      <c r="BWT84" s="23"/>
      <c r="BWU84" s="50"/>
      <c r="BWV84" s="51"/>
      <c r="BWW84" s="50"/>
      <c r="BWX84" s="23"/>
      <c r="BWY84" s="50"/>
      <c r="BWZ84" s="51"/>
      <c r="BXA84" s="50"/>
      <c r="BXB84" s="23"/>
      <c r="BXC84" s="50"/>
      <c r="BXD84" s="51"/>
      <c r="BXE84" s="50"/>
      <c r="BXF84" s="23"/>
      <c r="BXG84" s="50"/>
      <c r="BXH84" s="51"/>
      <c r="BXI84" s="50"/>
      <c r="BXJ84" s="23"/>
      <c r="BXK84" s="50"/>
      <c r="BXL84" s="51"/>
      <c r="BXM84" s="50"/>
      <c r="BXN84" s="23"/>
      <c r="BXO84" s="50"/>
      <c r="BXP84" s="51"/>
      <c r="BXQ84" s="50"/>
      <c r="BXR84" s="23"/>
      <c r="BXS84" s="50"/>
      <c r="BXT84" s="51"/>
      <c r="BXU84" s="50"/>
      <c r="BXV84" s="23"/>
      <c r="BXW84" s="50"/>
      <c r="BXX84" s="51"/>
      <c r="BXY84" s="50"/>
      <c r="BXZ84" s="23"/>
      <c r="BYA84" s="50"/>
      <c r="BYB84" s="51"/>
      <c r="BYC84" s="50"/>
      <c r="BYD84" s="23"/>
      <c r="BYE84" s="50"/>
      <c r="BYF84" s="51"/>
      <c r="BYG84" s="50"/>
      <c r="BYH84" s="23"/>
      <c r="BYI84" s="50"/>
      <c r="BYJ84" s="51"/>
      <c r="BYK84" s="50"/>
      <c r="BYL84" s="23"/>
      <c r="BYM84" s="50"/>
      <c r="BYN84" s="51"/>
      <c r="BYO84" s="50"/>
      <c r="BYP84" s="23"/>
      <c r="BYQ84" s="50"/>
      <c r="BYR84" s="51"/>
      <c r="BYS84" s="50"/>
      <c r="BYT84" s="23"/>
      <c r="BYU84" s="50"/>
      <c r="BYV84" s="51"/>
      <c r="BYW84" s="50"/>
      <c r="BYX84" s="23"/>
      <c r="BYY84" s="50"/>
      <c r="BYZ84" s="51"/>
      <c r="BZA84" s="50"/>
      <c r="BZB84" s="23"/>
      <c r="BZC84" s="50"/>
      <c r="BZD84" s="51"/>
      <c r="BZE84" s="50"/>
      <c r="BZF84" s="23"/>
      <c r="BZG84" s="50"/>
      <c r="BZH84" s="51"/>
      <c r="BZI84" s="50"/>
      <c r="BZJ84" s="23"/>
      <c r="BZK84" s="50"/>
      <c r="BZL84" s="51"/>
      <c r="BZM84" s="50"/>
      <c r="BZN84" s="23"/>
      <c r="BZO84" s="50"/>
      <c r="BZP84" s="51"/>
      <c r="BZQ84" s="50"/>
      <c r="BZR84" s="23"/>
      <c r="BZS84" s="50"/>
      <c r="BZT84" s="51"/>
      <c r="BZU84" s="50"/>
      <c r="BZV84" s="23"/>
      <c r="BZW84" s="50"/>
      <c r="BZX84" s="51"/>
      <c r="BZY84" s="50"/>
      <c r="BZZ84" s="23"/>
      <c r="CAA84" s="50"/>
      <c r="CAB84" s="51"/>
      <c r="CAC84" s="50"/>
      <c r="CAD84" s="23"/>
      <c r="CAE84" s="50"/>
      <c r="CAF84" s="51"/>
      <c r="CAG84" s="50"/>
      <c r="CAH84" s="23"/>
      <c r="CAI84" s="50"/>
      <c r="CAJ84" s="51"/>
      <c r="CAK84" s="50"/>
      <c r="CAL84" s="23"/>
      <c r="CAM84" s="50"/>
      <c r="CAN84" s="51"/>
      <c r="CAO84" s="50"/>
      <c r="CAP84" s="23"/>
      <c r="CAQ84" s="50"/>
      <c r="CAR84" s="51"/>
      <c r="CAS84" s="50"/>
      <c r="CAT84" s="23"/>
      <c r="CAU84" s="50"/>
      <c r="CAV84" s="51"/>
      <c r="CAW84" s="50"/>
      <c r="CAX84" s="23"/>
      <c r="CAY84" s="50"/>
      <c r="CAZ84" s="51"/>
      <c r="CBA84" s="50"/>
      <c r="CBB84" s="23"/>
      <c r="CBC84" s="50"/>
      <c r="CBD84" s="51"/>
      <c r="CBE84" s="50"/>
      <c r="CBF84" s="23"/>
      <c r="CBG84" s="50"/>
      <c r="CBH84" s="51"/>
      <c r="CBI84" s="50"/>
      <c r="CBJ84" s="23"/>
      <c r="CBK84" s="50"/>
      <c r="CBL84" s="51"/>
      <c r="CBM84" s="50"/>
      <c r="CBN84" s="23"/>
      <c r="CBO84" s="50"/>
      <c r="CBP84" s="51"/>
      <c r="CBQ84" s="50"/>
      <c r="CBR84" s="23"/>
      <c r="CBS84" s="50"/>
      <c r="CBT84" s="51"/>
      <c r="CBU84" s="50"/>
      <c r="CBV84" s="23"/>
      <c r="CBW84" s="50"/>
      <c r="CBX84" s="51"/>
      <c r="CBY84" s="50"/>
      <c r="CBZ84" s="23"/>
      <c r="CCA84" s="50"/>
      <c r="CCB84" s="51"/>
      <c r="CCC84" s="50"/>
      <c r="CCD84" s="23"/>
      <c r="CCE84" s="50"/>
      <c r="CCF84" s="51"/>
      <c r="CCG84" s="50"/>
      <c r="CCH84" s="23"/>
      <c r="CCI84" s="50"/>
      <c r="CCJ84" s="51"/>
      <c r="CCK84" s="50"/>
      <c r="CCL84" s="23"/>
      <c r="CCM84" s="50"/>
      <c r="CCN84" s="51"/>
      <c r="CCO84" s="50"/>
      <c r="CCP84" s="23"/>
      <c r="CCQ84" s="50"/>
      <c r="CCR84" s="51"/>
      <c r="CCS84" s="50"/>
      <c r="CCT84" s="23"/>
      <c r="CCU84" s="50"/>
      <c r="CCV84" s="51"/>
      <c r="CCW84" s="50"/>
      <c r="CCX84" s="23"/>
      <c r="CCY84" s="50"/>
      <c r="CCZ84" s="51"/>
      <c r="CDA84" s="50"/>
      <c r="CDB84" s="23"/>
      <c r="CDC84" s="50"/>
      <c r="CDD84" s="51"/>
      <c r="CDE84" s="50"/>
      <c r="CDF84" s="23"/>
      <c r="CDG84" s="50"/>
      <c r="CDH84" s="51"/>
      <c r="CDI84" s="50"/>
      <c r="CDJ84" s="23"/>
      <c r="CDK84" s="50"/>
      <c r="CDL84" s="51"/>
      <c r="CDM84" s="50"/>
      <c r="CDN84" s="23"/>
      <c r="CDO84" s="50"/>
      <c r="CDP84" s="51"/>
      <c r="CDQ84" s="50"/>
      <c r="CDR84" s="23"/>
      <c r="CDS84" s="50"/>
      <c r="CDT84" s="51"/>
      <c r="CDU84" s="50"/>
      <c r="CDV84" s="23"/>
      <c r="CDW84" s="50"/>
      <c r="CDX84" s="51"/>
      <c r="CDY84" s="50"/>
      <c r="CDZ84" s="23"/>
      <c r="CEA84" s="50"/>
      <c r="CEB84" s="51"/>
      <c r="CEC84" s="50"/>
      <c r="CED84" s="23"/>
      <c r="CEE84" s="50"/>
      <c r="CEF84" s="51"/>
      <c r="CEG84" s="50"/>
      <c r="CEH84" s="23"/>
      <c r="CEI84" s="50"/>
      <c r="CEJ84" s="51"/>
      <c r="CEK84" s="50"/>
      <c r="CEL84" s="23"/>
      <c r="CEM84" s="50"/>
      <c r="CEN84" s="51"/>
      <c r="CEO84" s="50"/>
      <c r="CEP84" s="23"/>
      <c r="CEQ84" s="50"/>
      <c r="CER84" s="51"/>
      <c r="CES84" s="50"/>
      <c r="CET84" s="23"/>
      <c r="CEU84" s="50"/>
      <c r="CEV84" s="51"/>
      <c r="CEW84" s="50"/>
      <c r="CEX84" s="23"/>
      <c r="CEY84" s="50"/>
      <c r="CEZ84" s="51"/>
      <c r="CFA84" s="50"/>
      <c r="CFB84" s="23"/>
      <c r="CFC84" s="50"/>
      <c r="CFD84" s="51"/>
      <c r="CFE84" s="50"/>
      <c r="CFF84" s="23"/>
      <c r="CFG84" s="50"/>
      <c r="CFH84" s="51"/>
      <c r="CFI84" s="50"/>
      <c r="CFJ84" s="23"/>
      <c r="CFK84" s="50"/>
      <c r="CFL84" s="51"/>
      <c r="CFM84" s="50"/>
      <c r="CFN84" s="23"/>
      <c r="CFO84" s="50"/>
      <c r="CFP84" s="51"/>
      <c r="CFQ84" s="50"/>
      <c r="CFR84" s="23"/>
      <c r="CFS84" s="50"/>
      <c r="CFT84" s="51"/>
      <c r="CFU84" s="50"/>
      <c r="CFV84" s="23"/>
      <c r="CFW84" s="50"/>
      <c r="CFX84" s="51"/>
      <c r="CFY84" s="50"/>
      <c r="CFZ84" s="23"/>
      <c r="CGA84" s="50"/>
      <c r="CGB84" s="51"/>
      <c r="CGC84" s="50"/>
      <c r="CGD84" s="23"/>
      <c r="CGE84" s="50"/>
      <c r="CGF84" s="51"/>
      <c r="CGG84" s="50"/>
      <c r="CGH84" s="23"/>
      <c r="CGI84" s="50"/>
      <c r="CGJ84" s="51"/>
      <c r="CGK84" s="50"/>
      <c r="CGL84" s="23"/>
      <c r="CGM84" s="50"/>
      <c r="CGN84" s="51"/>
      <c r="CGO84" s="50"/>
      <c r="CGP84" s="23"/>
      <c r="CGQ84" s="50"/>
      <c r="CGR84" s="51"/>
      <c r="CGS84" s="50"/>
      <c r="CGT84" s="23"/>
      <c r="CGU84" s="50"/>
      <c r="CGV84" s="51"/>
      <c r="CGW84" s="50"/>
      <c r="CGX84" s="23"/>
      <c r="CGY84" s="50"/>
      <c r="CGZ84" s="51"/>
      <c r="CHA84" s="50"/>
      <c r="CHB84" s="23"/>
      <c r="CHC84" s="50"/>
      <c r="CHD84" s="51"/>
      <c r="CHE84" s="50"/>
      <c r="CHF84" s="23"/>
      <c r="CHG84" s="50"/>
      <c r="CHH84" s="51"/>
      <c r="CHI84" s="50"/>
      <c r="CHJ84" s="23"/>
      <c r="CHK84" s="50"/>
      <c r="CHL84" s="51"/>
      <c r="CHM84" s="50"/>
      <c r="CHN84" s="23"/>
      <c r="CHO84" s="50"/>
      <c r="CHP84" s="51"/>
      <c r="CHQ84" s="50"/>
      <c r="CHR84" s="23"/>
      <c r="CHS84" s="50"/>
      <c r="CHT84" s="51"/>
      <c r="CHU84" s="50"/>
      <c r="CHV84" s="23"/>
      <c r="CHW84" s="50"/>
      <c r="CHX84" s="51"/>
      <c r="CHY84" s="50"/>
      <c r="CHZ84" s="23"/>
      <c r="CIA84" s="50"/>
      <c r="CIB84" s="51"/>
      <c r="CIC84" s="50"/>
      <c r="CID84" s="23"/>
      <c r="CIE84" s="50"/>
      <c r="CIF84" s="51"/>
      <c r="CIG84" s="50"/>
      <c r="CIH84" s="23"/>
      <c r="CII84" s="50"/>
      <c r="CIJ84" s="51"/>
      <c r="CIK84" s="50"/>
      <c r="CIL84" s="23"/>
      <c r="CIM84" s="50"/>
      <c r="CIN84" s="51"/>
      <c r="CIO84" s="50"/>
      <c r="CIP84" s="23"/>
      <c r="CIQ84" s="50"/>
      <c r="CIR84" s="51"/>
      <c r="CIS84" s="50"/>
      <c r="CIT84" s="23"/>
      <c r="CIU84" s="50"/>
      <c r="CIV84" s="51"/>
      <c r="CIW84" s="50"/>
      <c r="CIX84" s="23"/>
      <c r="CIY84" s="50"/>
      <c r="CIZ84" s="51"/>
      <c r="CJA84" s="50"/>
      <c r="CJB84" s="23"/>
      <c r="CJC84" s="50"/>
      <c r="CJD84" s="51"/>
      <c r="CJE84" s="50"/>
      <c r="CJF84" s="23"/>
      <c r="CJG84" s="50"/>
      <c r="CJH84" s="51"/>
      <c r="CJI84" s="50"/>
      <c r="CJJ84" s="23"/>
      <c r="CJK84" s="50"/>
      <c r="CJL84" s="51"/>
      <c r="CJM84" s="50"/>
      <c r="CJN84" s="23"/>
      <c r="CJO84" s="50"/>
      <c r="CJP84" s="51"/>
      <c r="CJQ84" s="50"/>
      <c r="CJR84" s="23"/>
      <c r="CJS84" s="50"/>
      <c r="CJT84" s="51"/>
      <c r="CJU84" s="50"/>
      <c r="CJV84" s="23"/>
      <c r="CJW84" s="50"/>
      <c r="CJX84" s="51"/>
      <c r="CJY84" s="50"/>
      <c r="CJZ84" s="23"/>
      <c r="CKA84" s="50"/>
      <c r="CKB84" s="51"/>
      <c r="CKC84" s="50"/>
      <c r="CKD84" s="23"/>
      <c r="CKE84" s="50"/>
      <c r="CKF84" s="51"/>
      <c r="CKG84" s="50"/>
      <c r="CKH84" s="23"/>
      <c r="CKI84" s="50"/>
      <c r="CKJ84" s="51"/>
      <c r="CKK84" s="50"/>
      <c r="CKL84" s="23"/>
      <c r="CKM84" s="50"/>
      <c r="CKN84" s="51"/>
      <c r="CKO84" s="50"/>
      <c r="CKP84" s="23"/>
      <c r="CKQ84" s="50"/>
      <c r="CKR84" s="51"/>
      <c r="CKS84" s="50"/>
      <c r="CKT84" s="23"/>
      <c r="CKU84" s="50"/>
      <c r="CKV84" s="51"/>
      <c r="CKW84" s="50"/>
      <c r="CKX84" s="23"/>
      <c r="CKY84" s="50"/>
      <c r="CKZ84" s="51"/>
      <c r="CLA84" s="50"/>
      <c r="CLB84" s="23"/>
      <c r="CLC84" s="50"/>
      <c r="CLD84" s="51"/>
      <c r="CLE84" s="50"/>
      <c r="CLF84" s="23"/>
      <c r="CLG84" s="50"/>
      <c r="CLH84" s="51"/>
      <c r="CLI84" s="50"/>
      <c r="CLJ84" s="23"/>
      <c r="CLK84" s="50"/>
      <c r="CLL84" s="51"/>
      <c r="CLM84" s="50"/>
      <c r="CLN84" s="23"/>
      <c r="CLO84" s="50"/>
      <c r="CLP84" s="51"/>
      <c r="CLQ84" s="50"/>
      <c r="CLR84" s="23"/>
      <c r="CLS84" s="50"/>
      <c r="CLT84" s="51"/>
      <c r="CLU84" s="50"/>
      <c r="CLV84" s="23"/>
      <c r="CLW84" s="50"/>
      <c r="CLX84" s="51"/>
      <c r="CLY84" s="50"/>
      <c r="CLZ84" s="23"/>
      <c r="CMA84" s="50"/>
      <c r="CMB84" s="51"/>
      <c r="CMC84" s="50"/>
      <c r="CMD84" s="23"/>
      <c r="CME84" s="50"/>
      <c r="CMF84" s="51"/>
      <c r="CMG84" s="50"/>
      <c r="CMH84" s="23"/>
      <c r="CMI84" s="50"/>
      <c r="CMJ84" s="51"/>
      <c r="CMK84" s="50"/>
      <c r="CML84" s="23"/>
      <c r="CMM84" s="50"/>
      <c r="CMN84" s="51"/>
      <c r="CMO84" s="50"/>
      <c r="CMP84" s="23"/>
      <c r="CMQ84" s="50"/>
      <c r="CMR84" s="51"/>
      <c r="CMS84" s="50"/>
      <c r="CMT84" s="23"/>
      <c r="CMU84" s="50"/>
      <c r="CMV84" s="51"/>
      <c r="CMW84" s="50"/>
      <c r="CMX84" s="23"/>
      <c r="CMY84" s="50"/>
      <c r="CMZ84" s="51"/>
      <c r="CNA84" s="50"/>
      <c r="CNB84" s="23"/>
      <c r="CNC84" s="50"/>
      <c r="CND84" s="51"/>
      <c r="CNE84" s="50"/>
      <c r="CNF84" s="23"/>
      <c r="CNG84" s="50"/>
      <c r="CNH84" s="51"/>
      <c r="CNI84" s="50"/>
      <c r="CNJ84" s="23"/>
      <c r="CNK84" s="50"/>
      <c r="CNL84" s="51"/>
      <c r="CNM84" s="50"/>
      <c r="CNN84" s="23"/>
      <c r="CNO84" s="50"/>
      <c r="CNP84" s="51"/>
      <c r="CNQ84" s="50"/>
      <c r="CNR84" s="23"/>
      <c r="CNS84" s="50"/>
      <c r="CNT84" s="51"/>
      <c r="CNU84" s="50"/>
      <c r="CNV84" s="23"/>
      <c r="CNW84" s="50"/>
      <c r="CNX84" s="51"/>
      <c r="CNY84" s="50"/>
      <c r="CNZ84" s="23"/>
      <c r="COA84" s="50"/>
      <c r="COB84" s="51"/>
      <c r="COC84" s="50"/>
      <c r="COD84" s="23"/>
      <c r="COE84" s="50"/>
      <c r="COF84" s="51"/>
      <c r="COG84" s="50"/>
      <c r="COH84" s="23"/>
      <c r="COI84" s="50"/>
      <c r="COJ84" s="51"/>
      <c r="COK84" s="50"/>
      <c r="COL84" s="23"/>
      <c r="COM84" s="50"/>
      <c r="CON84" s="51"/>
      <c r="COO84" s="50"/>
      <c r="COP84" s="23"/>
      <c r="COQ84" s="50"/>
      <c r="COR84" s="51"/>
      <c r="COS84" s="50"/>
      <c r="COT84" s="23"/>
      <c r="COU84" s="50"/>
      <c r="COV84" s="51"/>
      <c r="COW84" s="50"/>
      <c r="COX84" s="23"/>
      <c r="COY84" s="50"/>
      <c r="COZ84" s="51"/>
      <c r="CPA84" s="50"/>
      <c r="CPB84" s="23"/>
      <c r="CPC84" s="50"/>
      <c r="CPD84" s="51"/>
      <c r="CPE84" s="50"/>
      <c r="CPF84" s="23"/>
      <c r="CPG84" s="50"/>
      <c r="CPH84" s="51"/>
      <c r="CPI84" s="50"/>
      <c r="CPJ84" s="23"/>
      <c r="CPK84" s="50"/>
      <c r="CPL84" s="51"/>
      <c r="CPM84" s="50"/>
      <c r="CPN84" s="23"/>
      <c r="CPO84" s="50"/>
      <c r="CPP84" s="51"/>
      <c r="CPQ84" s="50"/>
      <c r="CPR84" s="23"/>
      <c r="CPS84" s="50"/>
      <c r="CPT84" s="51"/>
      <c r="CPU84" s="50"/>
      <c r="CPV84" s="23"/>
      <c r="CPW84" s="50"/>
      <c r="CPX84" s="51"/>
      <c r="CPY84" s="50"/>
      <c r="CPZ84" s="23"/>
      <c r="CQA84" s="50"/>
      <c r="CQB84" s="51"/>
      <c r="CQC84" s="50"/>
      <c r="CQD84" s="23"/>
      <c r="CQE84" s="50"/>
      <c r="CQF84" s="51"/>
      <c r="CQG84" s="50"/>
      <c r="CQH84" s="23"/>
      <c r="CQI84" s="50"/>
      <c r="CQJ84" s="51"/>
      <c r="CQK84" s="50"/>
      <c r="CQL84" s="23"/>
      <c r="CQM84" s="50"/>
      <c r="CQN84" s="51"/>
      <c r="CQO84" s="50"/>
      <c r="CQP84" s="23"/>
      <c r="CQQ84" s="50"/>
      <c r="CQR84" s="51"/>
      <c r="CQS84" s="50"/>
      <c r="CQT84" s="23"/>
      <c r="CQU84" s="50"/>
      <c r="CQV84" s="51"/>
      <c r="CQW84" s="50"/>
      <c r="CQX84" s="23"/>
      <c r="CQY84" s="50"/>
      <c r="CQZ84" s="51"/>
      <c r="CRA84" s="50"/>
      <c r="CRB84" s="23"/>
      <c r="CRC84" s="50"/>
      <c r="CRD84" s="51"/>
      <c r="CRE84" s="50"/>
      <c r="CRF84" s="23"/>
      <c r="CRG84" s="50"/>
      <c r="CRH84" s="51"/>
      <c r="CRI84" s="50"/>
      <c r="CRJ84" s="23"/>
      <c r="CRK84" s="50"/>
      <c r="CRL84" s="51"/>
      <c r="CRM84" s="50"/>
      <c r="CRN84" s="23"/>
      <c r="CRO84" s="50"/>
      <c r="CRP84" s="51"/>
      <c r="CRQ84" s="50"/>
      <c r="CRR84" s="23"/>
      <c r="CRS84" s="50"/>
      <c r="CRT84" s="51"/>
      <c r="CRU84" s="50"/>
      <c r="CRV84" s="23"/>
      <c r="CRW84" s="50"/>
      <c r="CRX84" s="51"/>
      <c r="CRY84" s="50"/>
      <c r="CRZ84" s="23"/>
      <c r="CSA84" s="50"/>
      <c r="CSB84" s="51"/>
      <c r="CSC84" s="50"/>
      <c r="CSD84" s="23"/>
      <c r="CSE84" s="50"/>
      <c r="CSF84" s="51"/>
      <c r="CSG84" s="50"/>
      <c r="CSH84" s="23"/>
      <c r="CSI84" s="50"/>
      <c r="CSJ84" s="51"/>
      <c r="CSK84" s="50"/>
      <c r="CSL84" s="23"/>
      <c r="CSM84" s="50"/>
      <c r="CSN84" s="51"/>
      <c r="CSO84" s="50"/>
      <c r="CSP84" s="23"/>
      <c r="CSQ84" s="50"/>
      <c r="CSR84" s="51"/>
      <c r="CSS84" s="50"/>
      <c r="CST84" s="23"/>
      <c r="CSU84" s="50"/>
      <c r="CSV84" s="51"/>
      <c r="CSW84" s="50"/>
      <c r="CSX84" s="23"/>
      <c r="CSY84" s="50"/>
      <c r="CSZ84" s="51"/>
      <c r="CTA84" s="50"/>
      <c r="CTB84" s="23"/>
      <c r="CTC84" s="50"/>
      <c r="CTD84" s="51"/>
      <c r="CTE84" s="50"/>
      <c r="CTF84" s="23"/>
      <c r="CTG84" s="50"/>
      <c r="CTH84" s="51"/>
      <c r="CTI84" s="50"/>
      <c r="CTJ84" s="23"/>
      <c r="CTK84" s="50"/>
      <c r="CTL84" s="51"/>
      <c r="CTM84" s="50"/>
      <c r="CTN84" s="23"/>
      <c r="CTO84" s="50"/>
      <c r="CTP84" s="51"/>
      <c r="CTQ84" s="50"/>
      <c r="CTR84" s="23"/>
      <c r="CTS84" s="50"/>
      <c r="CTT84" s="51"/>
      <c r="CTU84" s="50"/>
      <c r="CTV84" s="23"/>
      <c r="CTW84" s="50"/>
      <c r="CTX84" s="51"/>
      <c r="CTY84" s="50"/>
      <c r="CTZ84" s="23"/>
      <c r="CUA84" s="50"/>
      <c r="CUB84" s="51"/>
      <c r="CUC84" s="50"/>
      <c r="CUD84" s="23"/>
      <c r="CUE84" s="50"/>
      <c r="CUF84" s="51"/>
      <c r="CUG84" s="50"/>
      <c r="CUH84" s="23"/>
      <c r="CUI84" s="50"/>
      <c r="CUJ84" s="51"/>
      <c r="CUK84" s="50"/>
      <c r="CUL84" s="23"/>
      <c r="CUM84" s="50"/>
      <c r="CUN84" s="51"/>
      <c r="CUO84" s="50"/>
      <c r="CUP84" s="23"/>
      <c r="CUQ84" s="50"/>
      <c r="CUR84" s="51"/>
      <c r="CUS84" s="50"/>
      <c r="CUT84" s="23"/>
      <c r="CUU84" s="50"/>
      <c r="CUV84" s="51"/>
      <c r="CUW84" s="50"/>
      <c r="CUX84" s="23"/>
      <c r="CUY84" s="50"/>
      <c r="CUZ84" s="51"/>
      <c r="CVA84" s="50"/>
      <c r="CVB84" s="23"/>
      <c r="CVC84" s="50"/>
      <c r="CVD84" s="51"/>
      <c r="CVE84" s="50"/>
      <c r="CVF84" s="23"/>
      <c r="CVG84" s="50"/>
      <c r="CVH84" s="51"/>
      <c r="CVI84" s="50"/>
      <c r="CVJ84" s="23"/>
      <c r="CVK84" s="50"/>
      <c r="CVL84" s="51"/>
      <c r="CVM84" s="50"/>
      <c r="CVN84" s="23"/>
      <c r="CVO84" s="50"/>
      <c r="CVP84" s="51"/>
      <c r="CVQ84" s="50"/>
      <c r="CVR84" s="23"/>
      <c r="CVS84" s="50"/>
      <c r="CVT84" s="51"/>
      <c r="CVU84" s="50"/>
      <c r="CVV84" s="23"/>
      <c r="CVW84" s="50"/>
      <c r="CVX84" s="51"/>
      <c r="CVY84" s="50"/>
      <c r="CVZ84" s="23"/>
      <c r="CWA84" s="50"/>
      <c r="CWB84" s="51"/>
      <c r="CWC84" s="50"/>
      <c r="CWD84" s="23"/>
      <c r="CWE84" s="50"/>
      <c r="CWF84" s="51"/>
      <c r="CWG84" s="50"/>
      <c r="CWH84" s="23"/>
      <c r="CWI84" s="50"/>
      <c r="CWJ84" s="51"/>
      <c r="CWK84" s="50"/>
      <c r="CWL84" s="23"/>
      <c r="CWM84" s="50"/>
      <c r="CWN84" s="51"/>
      <c r="CWO84" s="50"/>
      <c r="CWP84" s="23"/>
      <c r="CWQ84" s="50"/>
      <c r="CWR84" s="51"/>
      <c r="CWS84" s="50"/>
      <c r="CWT84" s="23"/>
      <c r="CWU84" s="50"/>
      <c r="CWV84" s="51"/>
      <c r="CWW84" s="50"/>
      <c r="CWX84" s="23"/>
      <c r="CWY84" s="50"/>
      <c r="CWZ84" s="51"/>
      <c r="CXA84" s="50"/>
      <c r="CXB84" s="23"/>
      <c r="CXC84" s="50"/>
      <c r="CXD84" s="51"/>
      <c r="CXE84" s="50"/>
      <c r="CXF84" s="23"/>
      <c r="CXG84" s="50"/>
      <c r="CXH84" s="51"/>
      <c r="CXI84" s="50"/>
      <c r="CXJ84" s="23"/>
      <c r="CXK84" s="50"/>
      <c r="CXL84" s="51"/>
      <c r="CXM84" s="50"/>
      <c r="CXN84" s="23"/>
      <c r="CXO84" s="50"/>
      <c r="CXP84" s="51"/>
      <c r="CXQ84" s="50"/>
      <c r="CXR84" s="23"/>
      <c r="CXS84" s="50"/>
      <c r="CXT84" s="51"/>
      <c r="CXU84" s="50"/>
      <c r="CXV84" s="23"/>
      <c r="CXW84" s="50"/>
      <c r="CXX84" s="51"/>
      <c r="CXY84" s="50"/>
      <c r="CXZ84" s="23"/>
      <c r="CYA84" s="50"/>
      <c r="CYB84" s="51"/>
      <c r="CYC84" s="50"/>
      <c r="CYD84" s="23"/>
      <c r="CYE84" s="50"/>
      <c r="CYF84" s="51"/>
      <c r="CYG84" s="50"/>
      <c r="CYH84" s="23"/>
      <c r="CYI84" s="50"/>
      <c r="CYJ84" s="51"/>
      <c r="CYK84" s="50"/>
      <c r="CYL84" s="23"/>
      <c r="CYM84" s="50"/>
      <c r="CYN84" s="51"/>
      <c r="CYO84" s="50"/>
      <c r="CYP84" s="23"/>
      <c r="CYQ84" s="50"/>
      <c r="CYR84" s="51"/>
      <c r="CYS84" s="50"/>
      <c r="CYT84" s="23"/>
      <c r="CYU84" s="50"/>
      <c r="CYV84" s="51"/>
      <c r="CYW84" s="50"/>
      <c r="CYX84" s="23"/>
      <c r="CYY84" s="50"/>
      <c r="CYZ84" s="51"/>
      <c r="CZA84" s="50"/>
      <c r="CZB84" s="23"/>
      <c r="CZC84" s="50"/>
      <c r="CZD84" s="51"/>
      <c r="CZE84" s="50"/>
      <c r="CZF84" s="23"/>
      <c r="CZG84" s="50"/>
      <c r="CZH84" s="51"/>
      <c r="CZI84" s="50"/>
      <c r="CZJ84" s="23"/>
      <c r="CZK84" s="50"/>
      <c r="CZL84" s="51"/>
      <c r="CZM84" s="50"/>
      <c r="CZN84" s="23"/>
      <c r="CZO84" s="50"/>
      <c r="CZP84" s="51"/>
      <c r="CZQ84" s="50"/>
      <c r="CZR84" s="23"/>
      <c r="CZS84" s="50"/>
      <c r="CZT84" s="51"/>
      <c r="CZU84" s="50"/>
      <c r="CZV84" s="23"/>
      <c r="CZW84" s="50"/>
      <c r="CZX84" s="51"/>
      <c r="CZY84" s="50"/>
      <c r="CZZ84" s="23"/>
      <c r="DAA84" s="50"/>
      <c r="DAB84" s="51"/>
      <c r="DAC84" s="50"/>
      <c r="DAD84" s="23"/>
      <c r="DAE84" s="50"/>
      <c r="DAF84" s="51"/>
      <c r="DAG84" s="50"/>
      <c r="DAH84" s="23"/>
      <c r="DAI84" s="50"/>
      <c r="DAJ84" s="51"/>
      <c r="DAK84" s="50"/>
      <c r="DAL84" s="23"/>
      <c r="DAM84" s="50"/>
      <c r="DAN84" s="51"/>
      <c r="DAO84" s="50"/>
      <c r="DAP84" s="23"/>
      <c r="DAQ84" s="50"/>
      <c r="DAR84" s="51"/>
      <c r="DAS84" s="50"/>
      <c r="DAT84" s="23"/>
      <c r="DAU84" s="50"/>
      <c r="DAV84" s="51"/>
      <c r="DAW84" s="50"/>
      <c r="DAX84" s="23"/>
      <c r="DAY84" s="50"/>
      <c r="DAZ84" s="51"/>
      <c r="DBA84" s="50"/>
      <c r="DBB84" s="23"/>
      <c r="DBC84" s="50"/>
      <c r="DBD84" s="51"/>
      <c r="DBE84" s="50"/>
      <c r="DBF84" s="23"/>
      <c r="DBG84" s="50"/>
      <c r="DBH84" s="51"/>
      <c r="DBI84" s="50"/>
      <c r="DBJ84" s="23"/>
      <c r="DBK84" s="50"/>
      <c r="DBL84" s="51"/>
      <c r="DBM84" s="50"/>
      <c r="DBN84" s="23"/>
      <c r="DBO84" s="50"/>
      <c r="DBP84" s="51"/>
      <c r="DBQ84" s="50"/>
      <c r="DBR84" s="23"/>
      <c r="DBS84" s="50"/>
      <c r="DBT84" s="51"/>
      <c r="DBU84" s="50"/>
      <c r="DBV84" s="23"/>
      <c r="DBW84" s="50"/>
      <c r="DBX84" s="51"/>
      <c r="DBY84" s="50"/>
      <c r="DBZ84" s="23"/>
      <c r="DCA84" s="50"/>
      <c r="DCB84" s="51"/>
      <c r="DCC84" s="50"/>
      <c r="DCD84" s="23"/>
      <c r="DCE84" s="50"/>
      <c r="DCF84" s="51"/>
      <c r="DCG84" s="50"/>
      <c r="DCH84" s="23"/>
      <c r="DCI84" s="50"/>
      <c r="DCJ84" s="51"/>
      <c r="DCK84" s="50"/>
      <c r="DCL84" s="23"/>
      <c r="DCM84" s="50"/>
      <c r="DCN84" s="51"/>
      <c r="DCO84" s="50"/>
      <c r="DCP84" s="23"/>
      <c r="DCQ84" s="50"/>
      <c r="DCR84" s="51"/>
      <c r="DCS84" s="50"/>
      <c r="DCT84" s="23"/>
      <c r="DCU84" s="50"/>
      <c r="DCV84" s="51"/>
      <c r="DCW84" s="50"/>
      <c r="DCX84" s="23"/>
      <c r="DCY84" s="50"/>
      <c r="DCZ84" s="51"/>
      <c r="DDA84" s="50"/>
      <c r="DDB84" s="23"/>
      <c r="DDC84" s="50"/>
      <c r="DDD84" s="51"/>
      <c r="DDE84" s="50"/>
      <c r="DDF84" s="23"/>
      <c r="DDG84" s="50"/>
      <c r="DDH84" s="51"/>
      <c r="DDI84" s="50"/>
      <c r="DDJ84" s="23"/>
      <c r="DDK84" s="50"/>
      <c r="DDL84" s="51"/>
      <c r="DDM84" s="50"/>
      <c r="DDN84" s="23"/>
      <c r="DDO84" s="50"/>
      <c r="DDP84" s="51"/>
      <c r="DDQ84" s="50"/>
      <c r="DDR84" s="23"/>
      <c r="DDS84" s="50"/>
      <c r="DDT84" s="51"/>
      <c r="DDU84" s="50"/>
      <c r="DDV84" s="23"/>
      <c r="DDW84" s="50"/>
      <c r="DDX84" s="51"/>
      <c r="DDY84" s="50"/>
      <c r="DDZ84" s="23"/>
      <c r="DEA84" s="50"/>
      <c r="DEB84" s="51"/>
      <c r="DEC84" s="50"/>
      <c r="DED84" s="23"/>
      <c r="DEE84" s="50"/>
      <c r="DEF84" s="51"/>
      <c r="DEG84" s="50"/>
      <c r="DEH84" s="23"/>
      <c r="DEI84" s="50"/>
      <c r="DEJ84" s="51"/>
      <c r="DEK84" s="50"/>
      <c r="DEL84" s="23"/>
      <c r="DEM84" s="50"/>
      <c r="DEN84" s="51"/>
      <c r="DEO84" s="50"/>
      <c r="DEP84" s="23"/>
      <c r="DEQ84" s="50"/>
      <c r="DER84" s="51"/>
      <c r="DES84" s="50"/>
      <c r="DET84" s="23"/>
      <c r="DEU84" s="50"/>
      <c r="DEV84" s="51"/>
      <c r="DEW84" s="50"/>
      <c r="DEX84" s="23"/>
      <c r="DEY84" s="50"/>
      <c r="DEZ84" s="51"/>
      <c r="DFA84" s="50"/>
      <c r="DFB84" s="23"/>
      <c r="DFC84" s="50"/>
      <c r="DFD84" s="51"/>
      <c r="DFE84" s="50"/>
      <c r="DFF84" s="23"/>
      <c r="DFG84" s="50"/>
      <c r="DFH84" s="51"/>
      <c r="DFI84" s="50"/>
      <c r="DFJ84" s="23"/>
      <c r="DFK84" s="50"/>
      <c r="DFL84" s="51"/>
      <c r="DFM84" s="50"/>
      <c r="DFN84" s="23"/>
      <c r="DFO84" s="50"/>
      <c r="DFP84" s="51"/>
      <c r="DFQ84" s="50"/>
      <c r="DFR84" s="23"/>
      <c r="DFS84" s="50"/>
      <c r="DFT84" s="51"/>
      <c r="DFU84" s="50"/>
      <c r="DFV84" s="23"/>
      <c r="DFW84" s="50"/>
      <c r="DFX84" s="51"/>
      <c r="DFY84" s="50"/>
      <c r="DFZ84" s="23"/>
      <c r="DGA84" s="50"/>
      <c r="DGB84" s="51"/>
      <c r="DGC84" s="50"/>
      <c r="DGD84" s="23"/>
      <c r="DGE84" s="50"/>
      <c r="DGF84" s="51"/>
      <c r="DGG84" s="50"/>
      <c r="DGH84" s="23"/>
      <c r="DGI84" s="50"/>
      <c r="DGJ84" s="51"/>
      <c r="DGK84" s="50"/>
      <c r="DGL84" s="23"/>
      <c r="DGM84" s="50"/>
      <c r="DGN84" s="51"/>
      <c r="DGO84" s="50"/>
      <c r="DGP84" s="23"/>
      <c r="DGQ84" s="50"/>
      <c r="DGR84" s="51"/>
      <c r="DGS84" s="50"/>
      <c r="DGT84" s="23"/>
      <c r="DGU84" s="50"/>
      <c r="DGV84" s="51"/>
      <c r="DGW84" s="50"/>
      <c r="DGX84" s="23"/>
      <c r="DGY84" s="50"/>
      <c r="DGZ84" s="51"/>
      <c r="DHA84" s="50"/>
      <c r="DHB84" s="23"/>
      <c r="DHC84" s="50"/>
      <c r="DHD84" s="51"/>
      <c r="DHE84" s="50"/>
      <c r="DHF84" s="23"/>
      <c r="DHG84" s="50"/>
      <c r="DHH84" s="51"/>
      <c r="DHI84" s="50"/>
      <c r="DHJ84" s="23"/>
      <c r="DHK84" s="50"/>
      <c r="DHL84" s="51"/>
      <c r="DHM84" s="50"/>
      <c r="DHN84" s="23"/>
      <c r="DHO84" s="50"/>
      <c r="DHP84" s="51"/>
      <c r="DHQ84" s="50"/>
      <c r="DHR84" s="23"/>
      <c r="DHS84" s="50"/>
      <c r="DHT84" s="51"/>
      <c r="DHU84" s="50"/>
      <c r="DHV84" s="23"/>
      <c r="DHW84" s="50"/>
      <c r="DHX84" s="51"/>
      <c r="DHY84" s="50"/>
      <c r="DHZ84" s="23"/>
      <c r="DIA84" s="50"/>
      <c r="DIB84" s="51"/>
      <c r="DIC84" s="50"/>
      <c r="DID84" s="23"/>
      <c r="DIE84" s="50"/>
      <c r="DIF84" s="51"/>
      <c r="DIG84" s="50"/>
      <c r="DIH84" s="23"/>
      <c r="DII84" s="50"/>
      <c r="DIJ84" s="51"/>
      <c r="DIK84" s="50"/>
      <c r="DIL84" s="23"/>
      <c r="DIM84" s="50"/>
      <c r="DIN84" s="51"/>
      <c r="DIO84" s="50"/>
      <c r="DIP84" s="23"/>
      <c r="DIQ84" s="50"/>
      <c r="DIR84" s="51"/>
      <c r="DIS84" s="50"/>
      <c r="DIT84" s="23"/>
      <c r="DIU84" s="50"/>
      <c r="DIV84" s="51"/>
      <c r="DIW84" s="50"/>
      <c r="DIX84" s="23"/>
      <c r="DIY84" s="50"/>
      <c r="DIZ84" s="51"/>
      <c r="DJA84" s="50"/>
      <c r="DJB84" s="23"/>
      <c r="DJC84" s="50"/>
      <c r="DJD84" s="51"/>
      <c r="DJE84" s="50"/>
      <c r="DJF84" s="23"/>
      <c r="DJG84" s="50"/>
      <c r="DJH84" s="51"/>
      <c r="DJI84" s="50"/>
      <c r="DJJ84" s="23"/>
      <c r="DJK84" s="50"/>
      <c r="DJL84" s="51"/>
      <c r="DJM84" s="50"/>
      <c r="DJN84" s="23"/>
      <c r="DJO84" s="50"/>
      <c r="DJP84" s="51"/>
      <c r="DJQ84" s="50"/>
      <c r="DJR84" s="23"/>
      <c r="DJS84" s="50"/>
      <c r="DJT84" s="51"/>
      <c r="DJU84" s="50"/>
      <c r="DJV84" s="23"/>
      <c r="DJW84" s="50"/>
      <c r="DJX84" s="51"/>
      <c r="DJY84" s="50"/>
      <c r="DJZ84" s="23"/>
      <c r="DKA84" s="50"/>
      <c r="DKB84" s="51"/>
      <c r="DKC84" s="50"/>
      <c r="DKD84" s="23"/>
      <c r="DKE84" s="50"/>
      <c r="DKF84" s="51"/>
      <c r="DKG84" s="50"/>
      <c r="DKH84" s="23"/>
      <c r="DKI84" s="50"/>
      <c r="DKJ84" s="51"/>
      <c r="DKK84" s="50"/>
      <c r="DKL84" s="23"/>
      <c r="DKM84" s="50"/>
      <c r="DKN84" s="51"/>
      <c r="DKO84" s="50"/>
      <c r="DKP84" s="23"/>
      <c r="DKQ84" s="50"/>
      <c r="DKR84" s="51"/>
      <c r="DKS84" s="50"/>
      <c r="DKT84" s="23"/>
      <c r="DKU84" s="50"/>
      <c r="DKV84" s="51"/>
      <c r="DKW84" s="50"/>
      <c r="DKX84" s="23"/>
      <c r="DKY84" s="50"/>
      <c r="DKZ84" s="51"/>
      <c r="DLA84" s="50"/>
      <c r="DLB84" s="23"/>
      <c r="DLC84" s="50"/>
      <c r="DLD84" s="51"/>
      <c r="DLE84" s="50"/>
      <c r="DLF84" s="23"/>
      <c r="DLG84" s="50"/>
      <c r="DLH84" s="51"/>
      <c r="DLI84" s="50"/>
      <c r="DLJ84" s="23"/>
      <c r="DLK84" s="50"/>
      <c r="DLL84" s="51"/>
      <c r="DLM84" s="50"/>
      <c r="DLN84" s="23"/>
      <c r="DLO84" s="50"/>
      <c r="DLP84" s="51"/>
      <c r="DLQ84" s="50"/>
      <c r="DLR84" s="23"/>
      <c r="DLS84" s="50"/>
      <c r="DLT84" s="51"/>
      <c r="DLU84" s="50"/>
      <c r="DLV84" s="23"/>
      <c r="DLW84" s="50"/>
      <c r="DLX84" s="51"/>
      <c r="DLY84" s="50"/>
      <c r="DLZ84" s="23"/>
      <c r="DMA84" s="50"/>
      <c r="DMB84" s="51"/>
      <c r="DMC84" s="50"/>
      <c r="DMD84" s="23"/>
      <c r="DME84" s="50"/>
      <c r="DMF84" s="51"/>
      <c r="DMG84" s="50"/>
      <c r="DMH84" s="23"/>
      <c r="DMI84" s="50"/>
      <c r="DMJ84" s="51"/>
      <c r="DMK84" s="50"/>
      <c r="DML84" s="23"/>
      <c r="DMM84" s="50"/>
      <c r="DMN84" s="51"/>
      <c r="DMO84" s="50"/>
      <c r="DMP84" s="23"/>
      <c r="DMQ84" s="50"/>
      <c r="DMR84" s="51"/>
      <c r="DMS84" s="50"/>
      <c r="DMT84" s="23"/>
      <c r="DMU84" s="50"/>
      <c r="DMV84" s="51"/>
      <c r="DMW84" s="50"/>
      <c r="DMX84" s="23"/>
      <c r="DMY84" s="50"/>
      <c r="DMZ84" s="51"/>
      <c r="DNA84" s="50"/>
      <c r="DNB84" s="23"/>
      <c r="DNC84" s="50"/>
      <c r="DND84" s="51"/>
      <c r="DNE84" s="50"/>
      <c r="DNF84" s="23"/>
      <c r="DNG84" s="50"/>
      <c r="DNH84" s="51"/>
      <c r="DNI84" s="50"/>
      <c r="DNJ84" s="23"/>
      <c r="DNK84" s="50"/>
      <c r="DNL84" s="51"/>
      <c r="DNM84" s="50"/>
      <c r="DNN84" s="23"/>
      <c r="DNO84" s="50"/>
      <c r="DNP84" s="51"/>
      <c r="DNQ84" s="50"/>
      <c r="DNR84" s="23"/>
      <c r="DNS84" s="50"/>
      <c r="DNT84" s="51"/>
      <c r="DNU84" s="50"/>
      <c r="DNV84" s="23"/>
      <c r="DNW84" s="50"/>
      <c r="DNX84" s="51"/>
      <c r="DNY84" s="50"/>
      <c r="DNZ84" s="23"/>
      <c r="DOA84" s="50"/>
      <c r="DOB84" s="51"/>
      <c r="DOC84" s="50"/>
      <c r="DOD84" s="23"/>
      <c r="DOE84" s="50"/>
      <c r="DOF84" s="51"/>
      <c r="DOG84" s="50"/>
      <c r="DOH84" s="23"/>
      <c r="DOI84" s="50"/>
      <c r="DOJ84" s="51"/>
      <c r="DOK84" s="50"/>
      <c r="DOL84" s="23"/>
      <c r="DOM84" s="50"/>
      <c r="DON84" s="51"/>
      <c r="DOO84" s="50"/>
      <c r="DOP84" s="23"/>
      <c r="DOQ84" s="50"/>
      <c r="DOR84" s="51"/>
      <c r="DOS84" s="50"/>
      <c r="DOT84" s="23"/>
      <c r="DOU84" s="50"/>
      <c r="DOV84" s="51"/>
      <c r="DOW84" s="50"/>
      <c r="DOX84" s="23"/>
      <c r="DOY84" s="50"/>
      <c r="DOZ84" s="51"/>
      <c r="DPA84" s="50"/>
      <c r="DPB84" s="23"/>
      <c r="DPC84" s="50"/>
      <c r="DPD84" s="51"/>
      <c r="DPE84" s="50"/>
      <c r="DPF84" s="23"/>
      <c r="DPG84" s="50"/>
      <c r="DPH84" s="51"/>
      <c r="DPI84" s="50"/>
      <c r="DPJ84" s="23"/>
      <c r="DPK84" s="50"/>
      <c r="DPL84" s="51"/>
      <c r="DPM84" s="50"/>
      <c r="DPN84" s="23"/>
      <c r="DPO84" s="50"/>
      <c r="DPP84" s="51"/>
      <c r="DPQ84" s="50"/>
      <c r="DPR84" s="23"/>
      <c r="DPS84" s="50"/>
      <c r="DPT84" s="51"/>
      <c r="DPU84" s="50"/>
      <c r="DPV84" s="23"/>
      <c r="DPW84" s="50"/>
      <c r="DPX84" s="51"/>
      <c r="DPY84" s="50"/>
      <c r="DPZ84" s="23"/>
      <c r="DQA84" s="50"/>
      <c r="DQB84" s="51"/>
      <c r="DQC84" s="50"/>
      <c r="DQD84" s="23"/>
      <c r="DQE84" s="50"/>
      <c r="DQF84" s="51"/>
      <c r="DQG84" s="50"/>
      <c r="DQH84" s="23"/>
      <c r="DQI84" s="50"/>
      <c r="DQJ84" s="51"/>
      <c r="DQK84" s="50"/>
      <c r="DQL84" s="23"/>
      <c r="DQM84" s="50"/>
      <c r="DQN84" s="51"/>
      <c r="DQO84" s="50"/>
      <c r="DQP84" s="23"/>
      <c r="DQQ84" s="50"/>
      <c r="DQR84" s="51"/>
      <c r="DQS84" s="50"/>
      <c r="DQT84" s="23"/>
      <c r="DQU84" s="50"/>
      <c r="DQV84" s="51"/>
      <c r="DQW84" s="50"/>
      <c r="DQX84" s="23"/>
      <c r="DQY84" s="50"/>
      <c r="DQZ84" s="51"/>
      <c r="DRA84" s="50"/>
      <c r="DRB84" s="23"/>
      <c r="DRC84" s="50"/>
      <c r="DRD84" s="51"/>
      <c r="DRE84" s="50"/>
      <c r="DRF84" s="23"/>
      <c r="DRG84" s="50"/>
      <c r="DRH84" s="51"/>
      <c r="DRI84" s="50"/>
      <c r="DRJ84" s="23"/>
      <c r="DRK84" s="50"/>
      <c r="DRL84" s="51"/>
      <c r="DRM84" s="50"/>
      <c r="DRN84" s="23"/>
      <c r="DRO84" s="50"/>
      <c r="DRP84" s="51"/>
      <c r="DRQ84" s="50"/>
      <c r="DRR84" s="23"/>
      <c r="DRS84" s="50"/>
      <c r="DRT84" s="51"/>
      <c r="DRU84" s="50"/>
      <c r="DRV84" s="23"/>
      <c r="DRW84" s="50"/>
      <c r="DRX84" s="51"/>
      <c r="DRY84" s="50"/>
      <c r="DRZ84" s="23"/>
      <c r="DSA84" s="50"/>
      <c r="DSB84" s="51"/>
      <c r="DSC84" s="50"/>
      <c r="DSD84" s="23"/>
      <c r="DSE84" s="50"/>
      <c r="DSF84" s="51"/>
      <c r="DSG84" s="50"/>
      <c r="DSH84" s="23"/>
      <c r="DSI84" s="50"/>
      <c r="DSJ84" s="51"/>
      <c r="DSK84" s="50"/>
      <c r="DSL84" s="23"/>
      <c r="DSM84" s="50"/>
      <c r="DSN84" s="51"/>
      <c r="DSO84" s="50"/>
      <c r="DSP84" s="23"/>
      <c r="DSQ84" s="50"/>
      <c r="DSR84" s="51"/>
      <c r="DSS84" s="50"/>
      <c r="DST84" s="23"/>
      <c r="DSU84" s="50"/>
      <c r="DSV84" s="51"/>
      <c r="DSW84" s="50"/>
      <c r="DSX84" s="23"/>
      <c r="DSY84" s="50"/>
      <c r="DSZ84" s="51"/>
      <c r="DTA84" s="50"/>
      <c r="DTB84" s="23"/>
      <c r="DTC84" s="50"/>
      <c r="DTD84" s="51"/>
      <c r="DTE84" s="50"/>
      <c r="DTF84" s="23"/>
      <c r="DTG84" s="50"/>
      <c r="DTH84" s="51"/>
      <c r="DTI84" s="50"/>
      <c r="DTJ84" s="23"/>
      <c r="DTK84" s="50"/>
      <c r="DTL84" s="51"/>
      <c r="DTM84" s="50"/>
      <c r="DTN84" s="23"/>
      <c r="DTO84" s="50"/>
      <c r="DTP84" s="51"/>
      <c r="DTQ84" s="50"/>
      <c r="DTR84" s="23"/>
      <c r="DTS84" s="50"/>
      <c r="DTT84" s="51"/>
      <c r="DTU84" s="50"/>
      <c r="DTV84" s="23"/>
      <c r="DTW84" s="50"/>
      <c r="DTX84" s="51"/>
      <c r="DTY84" s="50"/>
      <c r="DTZ84" s="23"/>
      <c r="DUA84" s="50"/>
      <c r="DUB84" s="51"/>
      <c r="DUC84" s="50"/>
      <c r="DUD84" s="23"/>
      <c r="DUE84" s="50"/>
      <c r="DUF84" s="51"/>
      <c r="DUG84" s="50"/>
      <c r="DUH84" s="23"/>
      <c r="DUI84" s="50"/>
      <c r="DUJ84" s="51"/>
      <c r="DUK84" s="50"/>
      <c r="DUL84" s="23"/>
      <c r="DUM84" s="50"/>
      <c r="DUN84" s="51"/>
      <c r="DUO84" s="50"/>
      <c r="DUP84" s="23"/>
      <c r="DUQ84" s="50"/>
      <c r="DUR84" s="51"/>
      <c r="DUS84" s="50"/>
      <c r="DUT84" s="23"/>
      <c r="DUU84" s="50"/>
      <c r="DUV84" s="51"/>
      <c r="DUW84" s="50"/>
      <c r="DUX84" s="23"/>
      <c r="DUY84" s="50"/>
      <c r="DUZ84" s="51"/>
      <c r="DVA84" s="50"/>
      <c r="DVB84" s="23"/>
      <c r="DVC84" s="50"/>
      <c r="DVD84" s="51"/>
      <c r="DVE84" s="50"/>
      <c r="DVF84" s="23"/>
      <c r="DVG84" s="50"/>
      <c r="DVH84" s="51"/>
      <c r="DVI84" s="50"/>
      <c r="DVJ84" s="23"/>
      <c r="DVK84" s="50"/>
      <c r="DVL84" s="51"/>
      <c r="DVM84" s="50"/>
      <c r="DVN84" s="23"/>
      <c r="DVO84" s="50"/>
      <c r="DVP84" s="51"/>
      <c r="DVQ84" s="50"/>
      <c r="DVR84" s="23"/>
      <c r="DVS84" s="50"/>
      <c r="DVT84" s="51"/>
      <c r="DVU84" s="50"/>
      <c r="DVV84" s="23"/>
      <c r="DVW84" s="50"/>
      <c r="DVX84" s="51"/>
      <c r="DVY84" s="50"/>
      <c r="DVZ84" s="23"/>
      <c r="DWA84" s="50"/>
      <c r="DWB84" s="51"/>
      <c r="DWC84" s="50"/>
      <c r="DWD84" s="23"/>
      <c r="DWE84" s="50"/>
      <c r="DWF84" s="51"/>
      <c r="DWG84" s="50"/>
      <c r="DWH84" s="23"/>
      <c r="DWI84" s="50"/>
      <c r="DWJ84" s="51"/>
      <c r="DWK84" s="50"/>
      <c r="DWL84" s="23"/>
      <c r="DWM84" s="50"/>
      <c r="DWN84" s="51"/>
      <c r="DWO84" s="50"/>
      <c r="DWP84" s="23"/>
      <c r="DWQ84" s="50"/>
      <c r="DWR84" s="51"/>
      <c r="DWS84" s="50"/>
      <c r="DWT84" s="23"/>
      <c r="DWU84" s="50"/>
      <c r="DWV84" s="51"/>
      <c r="DWW84" s="50"/>
      <c r="DWX84" s="23"/>
      <c r="DWY84" s="50"/>
      <c r="DWZ84" s="51"/>
      <c r="DXA84" s="50"/>
      <c r="DXB84" s="23"/>
      <c r="DXC84" s="50"/>
      <c r="DXD84" s="51"/>
      <c r="DXE84" s="50"/>
      <c r="DXF84" s="23"/>
      <c r="DXG84" s="50"/>
      <c r="DXH84" s="51"/>
      <c r="DXI84" s="50"/>
      <c r="DXJ84" s="23"/>
      <c r="DXK84" s="50"/>
      <c r="DXL84" s="51"/>
      <c r="DXM84" s="50"/>
      <c r="DXN84" s="23"/>
      <c r="DXO84" s="50"/>
      <c r="DXP84" s="51"/>
      <c r="DXQ84" s="50"/>
      <c r="DXR84" s="23"/>
      <c r="DXS84" s="50"/>
      <c r="DXT84" s="51"/>
      <c r="DXU84" s="50"/>
      <c r="DXV84" s="23"/>
      <c r="DXW84" s="50"/>
      <c r="DXX84" s="51"/>
      <c r="DXY84" s="50"/>
      <c r="DXZ84" s="23"/>
      <c r="DYA84" s="50"/>
      <c r="DYB84" s="51"/>
      <c r="DYC84" s="50"/>
      <c r="DYD84" s="23"/>
      <c r="DYE84" s="50"/>
      <c r="DYF84" s="51"/>
      <c r="DYG84" s="50"/>
      <c r="DYH84" s="23"/>
      <c r="DYI84" s="50"/>
      <c r="DYJ84" s="51"/>
      <c r="DYK84" s="50"/>
      <c r="DYL84" s="23"/>
      <c r="DYM84" s="50"/>
      <c r="DYN84" s="51"/>
      <c r="DYO84" s="50"/>
      <c r="DYP84" s="23"/>
      <c r="DYQ84" s="50"/>
      <c r="DYR84" s="51"/>
      <c r="DYS84" s="50"/>
      <c r="DYT84" s="23"/>
      <c r="DYU84" s="50"/>
      <c r="DYV84" s="51"/>
      <c r="DYW84" s="50"/>
      <c r="DYX84" s="23"/>
      <c r="DYY84" s="50"/>
      <c r="DYZ84" s="51"/>
      <c r="DZA84" s="50"/>
      <c r="DZB84" s="23"/>
      <c r="DZC84" s="50"/>
      <c r="DZD84" s="51"/>
      <c r="DZE84" s="50"/>
      <c r="DZF84" s="23"/>
      <c r="DZG84" s="50"/>
      <c r="DZH84" s="51"/>
      <c r="DZI84" s="50"/>
      <c r="DZJ84" s="23"/>
      <c r="DZK84" s="50"/>
      <c r="DZL84" s="51"/>
      <c r="DZM84" s="50"/>
      <c r="DZN84" s="23"/>
      <c r="DZO84" s="50"/>
      <c r="DZP84" s="51"/>
      <c r="DZQ84" s="50"/>
      <c r="DZR84" s="23"/>
      <c r="DZS84" s="50"/>
      <c r="DZT84" s="51"/>
      <c r="DZU84" s="50"/>
      <c r="DZV84" s="23"/>
      <c r="DZW84" s="50"/>
      <c r="DZX84" s="51"/>
      <c r="DZY84" s="50"/>
      <c r="DZZ84" s="23"/>
      <c r="EAA84" s="50"/>
      <c r="EAB84" s="51"/>
      <c r="EAC84" s="50"/>
      <c r="EAD84" s="23"/>
      <c r="EAE84" s="50"/>
      <c r="EAF84" s="51"/>
      <c r="EAG84" s="50"/>
      <c r="EAH84" s="23"/>
      <c r="EAI84" s="50"/>
      <c r="EAJ84" s="51"/>
      <c r="EAK84" s="50"/>
      <c r="EAL84" s="23"/>
      <c r="EAM84" s="50"/>
      <c r="EAN84" s="51"/>
      <c r="EAO84" s="50"/>
      <c r="EAP84" s="23"/>
      <c r="EAQ84" s="50"/>
      <c r="EAR84" s="51"/>
      <c r="EAS84" s="50"/>
      <c r="EAT84" s="23"/>
      <c r="EAU84" s="50"/>
      <c r="EAV84" s="51"/>
      <c r="EAW84" s="50"/>
      <c r="EAX84" s="23"/>
      <c r="EAY84" s="50"/>
      <c r="EAZ84" s="51"/>
      <c r="EBA84" s="50"/>
      <c r="EBB84" s="23"/>
      <c r="EBC84" s="50"/>
      <c r="EBD84" s="51"/>
      <c r="EBE84" s="50"/>
      <c r="EBF84" s="23"/>
      <c r="EBG84" s="50"/>
      <c r="EBH84" s="51"/>
      <c r="EBI84" s="50"/>
      <c r="EBJ84" s="23"/>
      <c r="EBK84" s="50"/>
      <c r="EBL84" s="51"/>
      <c r="EBM84" s="50"/>
      <c r="EBN84" s="23"/>
      <c r="EBO84" s="50"/>
      <c r="EBP84" s="51"/>
      <c r="EBQ84" s="50"/>
      <c r="EBR84" s="23"/>
      <c r="EBS84" s="50"/>
      <c r="EBT84" s="51"/>
      <c r="EBU84" s="50"/>
      <c r="EBV84" s="23"/>
      <c r="EBW84" s="50"/>
      <c r="EBX84" s="51"/>
      <c r="EBY84" s="50"/>
      <c r="EBZ84" s="23"/>
      <c r="ECA84" s="50"/>
      <c r="ECB84" s="51"/>
      <c r="ECC84" s="50"/>
      <c r="ECD84" s="23"/>
      <c r="ECE84" s="50"/>
      <c r="ECF84" s="51"/>
      <c r="ECG84" s="50"/>
      <c r="ECH84" s="23"/>
      <c r="ECI84" s="50"/>
      <c r="ECJ84" s="51"/>
      <c r="ECK84" s="50"/>
      <c r="ECL84" s="23"/>
      <c r="ECM84" s="50"/>
      <c r="ECN84" s="51"/>
      <c r="ECO84" s="50"/>
      <c r="ECP84" s="23"/>
      <c r="ECQ84" s="50"/>
      <c r="ECR84" s="51"/>
      <c r="ECS84" s="50"/>
      <c r="ECT84" s="23"/>
      <c r="ECU84" s="50"/>
      <c r="ECV84" s="51"/>
      <c r="ECW84" s="50"/>
      <c r="ECX84" s="23"/>
      <c r="ECY84" s="50"/>
      <c r="ECZ84" s="51"/>
      <c r="EDA84" s="50"/>
      <c r="EDB84" s="23"/>
      <c r="EDC84" s="50"/>
      <c r="EDD84" s="51"/>
      <c r="EDE84" s="50"/>
      <c r="EDF84" s="23"/>
      <c r="EDG84" s="50"/>
      <c r="EDH84" s="51"/>
      <c r="EDI84" s="50"/>
      <c r="EDJ84" s="23"/>
      <c r="EDK84" s="50"/>
      <c r="EDL84" s="51"/>
      <c r="EDM84" s="50"/>
      <c r="EDN84" s="23"/>
      <c r="EDO84" s="50"/>
      <c r="EDP84" s="51"/>
      <c r="EDQ84" s="50"/>
      <c r="EDR84" s="23"/>
      <c r="EDS84" s="50"/>
      <c r="EDT84" s="51"/>
      <c r="EDU84" s="50"/>
      <c r="EDV84" s="23"/>
      <c r="EDW84" s="50"/>
      <c r="EDX84" s="51"/>
      <c r="EDY84" s="50"/>
      <c r="EDZ84" s="23"/>
      <c r="EEA84" s="50"/>
      <c r="EEB84" s="51"/>
      <c r="EEC84" s="50"/>
      <c r="EED84" s="23"/>
      <c r="EEE84" s="50"/>
      <c r="EEF84" s="51"/>
      <c r="EEG84" s="50"/>
      <c r="EEH84" s="23"/>
      <c r="EEI84" s="50"/>
      <c r="EEJ84" s="51"/>
      <c r="EEK84" s="50"/>
      <c r="EEL84" s="23"/>
      <c r="EEM84" s="50"/>
      <c r="EEN84" s="51"/>
      <c r="EEO84" s="50"/>
      <c r="EEP84" s="23"/>
      <c r="EEQ84" s="50"/>
      <c r="EER84" s="51"/>
      <c r="EES84" s="50"/>
      <c r="EET84" s="23"/>
      <c r="EEU84" s="50"/>
      <c r="EEV84" s="51"/>
      <c r="EEW84" s="50"/>
      <c r="EEX84" s="23"/>
      <c r="EEY84" s="50"/>
      <c r="EEZ84" s="51"/>
      <c r="EFA84" s="50"/>
      <c r="EFB84" s="23"/>
      <c r="EFC84" s="50"/>
      <c r="EFD84" s="51"/>
      <c r="EFE84" s="50"/>
      <c r="EFF84" s="23"/>
      <c r="EFG84" s="50"/>
      <c r="EFH84" s="51"/>
      <c r="EFI84" s="50"/>
      <c r="EFJ84" s="23"/>
      <c r="EFK84" s="50"/>
      <c r="EFL84" s="51"/>
      <c r="EFM84" s="50"/>
      <c r="EFN84" s="23"/>
      <c r="EFO84" s="50"/>
      <c r="EFP84" s="51"/>
      <c r="EFQ84" s="50"/>
      <c r="EFR84" s="23"/>
      <c r="EFS84" s="50"/>
      <c r="EFT84" s="51"/>
      <c r="EFU84" s="50"/>
      <c r="EFV84" s="23"/>
      <c r="EFW84" s="50"/>
      <c r="EFX84" s="51"/>
      <c r="EFY84" s="50"/>
      <c r="EFZ84" s="23"/>
      <c r="EGA84" s="50"/>
      <c r="EGB84" s="51"/>
      <c r="EGC84" s="50"/>
      <c r="EGD84" s="23"/>
      <c r="EGE84" s="50"/>
      <c r="EGF84" s="51"/>
      <c r="EGG84" s="50"/>
      <c r="EGH84" s="23"/>
      <c r="EGI84" s="50"/>
      <c r="EGJ84" s="51"/>
      <c r="EGK84" s="50"/>
      <c r="EGL84" s="23"/>
      <c r="EGM84" s="50"/>
      <c r="EGN84" s="51"/>
      <c r="EGO84" s="50"/>
      <c r="EGP84" s="23"/>
      <c r="EGQ84" s="50"/>
      <c r="EGR84" s="51"/>
      <c r="EGS84" s="50"/>
      <c r="EGT84" s="23"/>
      <c r="EGU84" s="50"/>
      <c r="EGV84" s="51"/>
      <c r="EGW84" s="50"/>
      <c r="EGX84" s="23"/>
      <c r="EGY84" s="50"/>
      <c r="EGZ84" s="51"/>
      <c r="EHA84" s="50"/>
      <c r="EHB84" s="23"/>
      <c r="EHC84" s="50"/>
      <c r="EHD84" s="51"/>
      <c r="EHE84" s="50"/>
      <c r="EHF84" s="23"/>
      <c r="EHG84" s="50"/>
      <c r="EHH84" s="51"/>
      <c r="EHI84" s="50"/>
      <c r="EHJ84" s="23"/>
      <c r="EHK84" s="50"/>
      <c r="EHL84" s="51"/>
      <c r="EHM84" s="50"/>
      <c r="EHN84" s="23"/>
      <c r="EHO84" s="50"/>
      <c r="EHP84" s="51"/>
      <c r="EHQ84" s="50"/>
      <c r="EHR84" s="23"/>
      <c r="EHS84" s="50"/>
      <c r="EHT84" s="51"/>
      <c r="EHU84" s="50"/>
      <c r="EHV84" s="23"/>
      <c r="EHW84" s="50"/>
      <c r="EHX84" s="51"/>
      <c r="EHY84" s="50"/>
      <c r="EHZ84" s="23"/>
      <c r="EIA84" s="50"/>
      <c r="EIB84" s="51"/>
      <c r="EIC84" s="50"/>
      <c r="EID84" s="23"/>
      <c r="EIE84" s="50"/>
      <c r="EIF84" s="51"/>
      <c r="EIG84" s="50"/>
      <c r="EIH84" s="23"/>
      <c r="EII84" s="50"/>
      <c r="EIJ84" s="51"/>
      <c r="EIK84" s="50"/>
      <c r="EIL84" s="23"/>
      <c r="EIM84" s="50"/>
      <c r="EIN84" s="51"/>
      <c r="EIO84" s="50"/>
      <c r="EIP84" s="23"/>
      <c r="EIQ84" s="50"/>
      <c r="EIR84" s="51"/>
      <c r="EIS84" s="50"/>
      <c r="EIT84" s="23"/>
      <c r="EIU84" s="50"/>
      <c r="EIV84" s="51"/>
      <c r="EIW84" s="50"/>
      <c r="EIX84" s="23"/>
      <c r="EIY84" s="50"/>
      <c r="EIZ84" s="51"/>
      <c r="EJA84" s="50"/>
      <c r="EJB84" s="23"/>
      <c r="EJC84" s="50"/>
      <c r="EJD84" s="51"/>
      <c r="EJE84" s="50"/>
      <c r="EJF84" s="23"/>
      <c r="EJG84" s="50"/>
      <c r="EJH84" s="51"/>
      <c r="EJI84" s="50"/>
      <c r="EJJ84" s="23"/>
      <c r="EJK84" s="50"/>
      <c r="EJL84" s="51"/>
      <c r="EJM84" s="50"/>
      <c r="EJN84" s="23"/>
      <c r="EJO84" s="50"/>
      <c r="EJP84" s="51"/>
      <c r="EJQ84" s="50"/>
      <c r="EJR84" s="23"/>
      <c r="EJS84" s="50"/>
      <c r="EJT84" s="51"/>
      <c r="EJU84" s="50"/>
      <c r="EJV84" s="23"/>
      <c r="EJW84" s="50"/>
      <c r="EJX84" s="51"/>
      <c r="EJY84" s="50"/>
      <c r="EJZ84" s="23"/>
      <c r="EKA84" s="50"/>
      <c r="EKB84" s="51"/>
      <c r="EKC84" s="50"/>
      <c r="EKD84" s="23"/>
      <c r="EKE84" s="50"/>
      <c r="EKF84" s="51"/>
      <c r="EKG84" s="50"/>
      <c r="EKH84" s="23"/>
      <c r="EKI84" s="50"/>
      <c r="EKJ84" s="51"/>
      <c r="EKK84" s="50"/>
      <c r="EKL84" s="23"/>
      <c r="EKM84" s="50"/>
      <c r="EKN84" s="51"/>
      <c r="EKO84" s="50"/>
      <c r="EKP84" s="23"/>
      <c r="EKQ84" s="50"/>
      <c r="EKR84" s="51"/>
      <c r="EKS84" s="50"/>
      <c r="EKT84" s="23"/>
      <c r="EKU84" s="50"/>
      <c r="EKV84" s="51"/>
      <c r="EKW84" s="50"/>
      <c r="EKX84" s="23"/>
      <c r="EKY84" s="50"/>
      <c r="EKZ84" s="51"/>
      <c r="ELA84" s="50"/>
      <c r="ELB84" s="23"/>
      <c r="ELC84" s="50"/>
      <c r="ELD84" s="51"/>
      <c r="ELE84" s="50"/>
      <c r="ELF84" s="23"/>
      <c r="ELG84" s="50"/>
      <c r="ELH84" s="51"/>
      <c r="ELI84" s="50"/>
      <c r="ELJ84" s="23"/>
      <c r="ELK84" s="50"/>
      <c r="ELL84" s="51"/>
      <c r="ELM84" s="50"/>
      <c r="ELN84" s="23"/>
      <c r="ELO84" s="50"/>
      <c r="ELP84" s="51"/>
      <c r="ELQ84" s="50"/>
      <c r="ELR84" s="23"/>
      <c r="ELS84" s="50"/>
      <c r="ELT84" s="51"/>
      <c r="ELU84" s="50"/>
      <c r="ELV84" s="23"/>
      <c r="ELW84" s="50"/>
      <c r="ELX84" s="51"/>
      <c r="ELY84" s="50"/>
      <c r="ELZ84" s="23"/>
      <c r="EMA84" s="50"/>
      <c r="EMB84" s="51"/>
      <c r="EMC84" s="50"/>
      <c r="EMD84" s="23"/>
      <c r="EME84" s="50"/>
      <c r="EMF84" s="51"/>
      <c r="EMG84" s="50"/>
      <c r="EMH84" s="23"/>
      <c r="EMI84" s="50"/>
      <c r="EMJ84" s="51"/>
      <c r="EMK84" s="50"/>
      <c r="EML84" s="23"/>
      <c r="EMM84" s="50"/>
      <c r="EMN84" s="51"/>
      <c r="EMO84" s="50"/>
      <c r="EMP84" s="23"/>
      <c r="EMQ84" s="50"/>
      <c r="EMR84" s="51"/>
      <c r="EMS84" s="50"/>
      <c r="EMT84" s="23"/>
      <c r="EMU84" s="50"/>
      <c r="EMV84" s="51"/>
      <c r="EMW84" s="50"/>
      <c r="EMX84" s="23"/>
      <c r="EMY84" s="50"/>
      <c r="EMZ84" s="51"/>
      <c r="ENA84" s="50"/>
      <c r="ENB84" s="23"/>
      <c r="ENC84" s="50"/>
      <c r="END84" s="51"/>
      <c r="ENE84" s="50"/>
      <c r="ENF84" s="23"/>
      <c r="ENG84" s="50"/>
      <c r="ENH84" s="51"/>
      <c r="ENI84" s="50"/>
      <c r="ENJ84" s="23"/>
      <c r="ENK84" s="50"/>
      <c r="ENL84" s="51"/>
      <c r="ENM84" s="50"/>
      <c r="ENN84" s="23"/>
      <c r="ENO84" s="50"/>
      <c r="ENP84" s="51"/>
      <c r="ENQ84" s="50"/>
      <c r="ENR84" s="23"/>
      <c r="ENS84" s="50"/>
      <c r="ENT84" s="51"/>
      <c r="ENU84" s="50"/>
      <c r="ENV84" s="23"/>
      <c r="ENW84" s="50"/>
      <c r="ENX84" s="51"/>
      <c r="ENY84" s="50"/>
      <c r="ENZ84" s="23"/>
      <c r="EOA84" s="50"/>
      <c r="EOB84" s="51"/>
      <c r="EOC84" s="50"/>
      <c r="EOD84" s="23"/>
      <c r="EOE84" s="50"/>
      <c r="EOF84" s="51"/>
      <c r="EOG84" s="50"/>
      <c r="EOH84" s="23"/>
      <c r="EOI84" s="50"/>
      <c r="EOJ84" s="51"/>
      <c r="EOK84" s="50"/>
      <c r="EOL84" s="23"/>
      <c r="EOM84" s="50"/>
      <c r="EON84" s="51"/>
      <c r="EOO84" s="50"/>
      <c r="EOP84" s="23"/>
      <c r="EOQ84" s="50"/>
      <c r="EOR84" s="51"/>
      <c r="EOS84" s="50"/>
      <c r="EOT84" s="23"/>
      <c r="EOU84" s="50"/>
      <c r="EOV84" s="51"/>
      <c r="EOW84" s="50"/>
      <c r="EOX84" s="23"/>
      <c r="EOY84" s="50"/>
      <c r="EOZ84" s="51"/>
      <c r="EPA84" s="50"/>
      <c r="EPB84" s="23"/>
      <c r="EPC84" s="50"/>
      <c r="EPD84" s="51"/>
      <c r="EPE84" s="50"/>
      <c r="EPF84" s="23"/>
      <c r="EPG84" s="50"/>
      <c r="EPH84" s="51"/>
      <c r="EPI84" s="50"/>
      <c r="EPJ84" s="23"/>
      <c r="EPK84" s="50"/>
      <c r="EPL84" s="51"/>
      <c r="EPM84" s="50"/>
      <c r="EPN84" s="23"/>
      <c r="EPO84" s="50"/>
      <c r="EPP84" s="51"/>
      <c r="EPQ84" s="50"/>
      <c r="EPR84" s="23"/>
      <c r="EPS84" s="50"/>
      <c r="EPT84" s="51"/>
      <c r="EPU84" s="50"/>
      <c r="EPV84" s="23"/>
      <c r="EPW84" s="50"/>
      <c r="EPX84" s="51"/>
      <c r="EPY84" s="50"/>
      <c r="EPZ84" s="23"/>
      <c r="EQA84" s="50"/>
      <c r="EQB84" s="51"/>
      <c r="EQC84" s="50"/>
      <c r="EQD84" s="23"/>
      <c r="EQE84" s="50"/>
      <c r="EQF84" s="51"/>
      <c r="EQG84" s="50"/>
      <c r="EQH84" s="23"/>
      <c r="EQI84" s="50"/>
      <c r="EQJ84" s="51"/>
      <c r="EQK84" s="50"/>
      <c r="EQL84" s="23"/>
      <c r="EQM84" s="50"/>
      <c r="EQN84" s="51"/>
      <c r="EQO84" s="50"/>
      <c r="EQP84" s="23"/>
      <c r="EQQ84" s="50"/>
      <c r="EQR84" s="51"/>
      <c r="EQS84" s="50"/>
      <c r="EQT84" s="23"/>
      <c r="EQU84" s="50"/>
      <c r="EQV84" s="51"/>
      <c r="EQW84" s="50"/>
      <c r="EQX84" s="23"/>
      <c r="EQY84" s="50"/>
      <c r="EQZ84" s="51"/>
      <c r="ERA84" s="50"/>
      <c r="ERB84" s="23"/>
      <c r="ERC84" s="50"/>
      <c r="ERD84" s="51"/>
      <c r="ERE84" s="50"/>
      <c r="ERF84" s="23"/>
      <c r="ERG84" s="50"/>
      <c r="ERH84" s="51"/>
      <c r="ERI84" s="50"/>
      <c r="ERJ84" s="23"/>
      <c r="ERK84" s="50"/>
      <c r="ERL84" s="51"/>
      <c r="ERM84" s="50"/>
      <c r="ERN84" s="23"/>
      <c r="ERO84" s="50"/>
      <c r="ERP84" s="51"/>
      <c r="ERQ84" s="50"/>
      <c r="ERR84" s="23"/>
      <c r="ERS84" s="50"/>
      <c r="ERT84" s="51"/>
      <c r="ERU84" s="50"/>
      <c r="ERV84" s="23"/>
      <c r="ERW84" s="50"/>
      <c r="ERX84" s="51"/>
      <c r="ERY84" s="50"/>
      <c r="ERZ84" s="23"/>
      <c r="ESA84" s="50"/>
      <c r="ESB84" s="51"/>
      <c r="ESC84" s="50"/>
      <c r="ESD84" s="23"/>
      <c r="ESE84" s="50"/>
      <c r="ESF84" s="51"/>
      <c r="ESG84" s="50"/>
      <c r="ESH84" s="23"/>
      <c r="ESI84" s="50"/>
      <c r="ESJ84" s="51"/>
      <c r="ESK84" s="50"/>
      <c r="ESL84" s="23"/>
      <c r="ESM84" s="50"/>
      <c r="ESN84" s="51"/>
      <c r="ESO84" s="50"/>
      <c r="ESP84" s="23"/>
      <c r="ESQ84" s="50"/>
      <c r="ESR84" s="51"/>
      <c r="ESS84" s="50"/>
      <c r="EST84" s="23"/>
      <c r="ESU84" s="50"/>
      <c r="ESV84" s="51"/>
      <c r="ESW84" s="50"/>
      <c r="ESX84" s="23"/>
      <c r="ESY84" s="50"/>
      <c r="ESZ84" s="51"/>
      <c r="ETA84" s="50"/>
      <c r="ETB84" s="23"/>
      <c r="ETC84" s="50"/>
      <c r="ETD84" s="51"/>
      <c r="ETE84" s="50"/>
      <c r="ETF84" s="23"/>
      <c r="ETG84" s="50"/>
      <c r="ETH84" s="51"/>
      <c r="ETI84" s="50"/>
      <c r="ETJ84" s="23"/>
      <c r="ETK84" s="50"/>
      <c r="ETL84" s="51"/>
      <c r="ETM84" s="50"/>
      <c r="ETN84" s="23"/>
      <c r="ETO84" s="50"/>
      <c r="ETP84" s="51"/>
      <c r="ETQ84" s="50"/>
      <c r="ETR84" s="23"/>
      <c r="ETS84" s="50"/>
      <c r="ETT84" s="51"/>
      <c r="ETU84" s="50"/>
      <c r="ETV84" s="23"/>
      <c r="ETW84" s="50"/>
      <c r="ETX84" s="51"/>
      <c r="ETY84" s="50"/>
      <c r="ETZ84" s="23"/>
      <c r="EUA84" s="50"/>
      <c r="EUB84" s="51"/>
      <c r="EUC84" s="50"/>
      <c r="EUD84" s="23"/>
      <c r="EUE84" s="50"/>
      <c r="EUF84" s="51"/>
      <c r="EUG84" s="50"/>
      <c r="EUH84" s="23"/>
      <c r="EUI84" s="50"/>
      <c r="EUJ84" s="51"/>
      <c r="EUK84" s="50"/>
      <c r="EUL84" s="23"/>
      <c r="EUM84" s="50"/>
      <c r="EUN84" s="51"/>
      <c r="EUO84" s="50"/>
      <c r="EUP84" s="23"/>
      <c r="EUQ84" s="50"/>
      <c r="EUR84" s="51"/>
      <c r="EUS84" s="50"/>
      <c r="EUT84" s="23"/>
      <c r="EUU84" s="50"/>
      <c r="EUV84" s="51"/>
      <c r="EUW84" s="50"/>
      <c r="EUX84" s="23"/>
      <c r="EUY84" s="50"/>
      <c r="EUZ84" s="51"/>
      <c r="EVA84" s="50"/>
      <c r="EVB84" s="23"/>
      <c r="EVC84" s="50"/>
      <c r="EVD84" s="51"/>
      <c r="EVE84" s="50"/>
      <c r="EVF84" s="23"/>
      <c r="EVG84" s="50"/>
      <c r="EVH84" s="51"/>
      <c r="EVI84" s="50"/>
      <c r="EVJ84" s="23"/>
      <c r="EVK84" s="50"/>
      <c r="EVL84" s="51"/>
      <c r="EVM84" s="50"/>
      <c r="EVN84" s="23"/>
      <c r="EVO84" s="50"/>
      <c r="EVP84" s="51"/>
      <c r="EVQ84" s="50"/>
      <c r="EVR84" s="23"/>
      <c r="EVS84" s="50"/>
      <c r="EVT84" s="51"/>
      <c r="EVU84" s="50"/>
      <c r="EVV84" s="23"/>
      <c r="EVW84" s="50"/>
      <c r="EVX84" s="51"/>
      <c r="EVY84" s="50"/>
      <c r="EVZ84" s="23"/>
      <c r="EWA84" s="50"/>
      <c r="EWB84" s="51"/>
      <c r="EWC84" s="50"/>
      <c r="EWD84" s="23"/>
      <c r="EWE84" s="50"/>
      <c r="EWF84" s="51"/>
      <c r="EWG84" s="50"/>
      <c r="EWH84" s="23"/>
      <c r="EWI84" s="50"/>
      <c r="EWJ84" s="51"/>
      <c r="EWK84" s="50"/>
      <c r="EWL84" s="23"/>
      <c r="EWM84" s="50"/>
      <c r="EWN84" s="51"/>
      <c r="EWO84" s="50"/>
      <c r="EWP84" s="23"/>
      <c r="EWQ84" s="50"/>
      <c r="EWR84" s="51"/>
      <c r="EWS84" s="50"/>
      <c r="EWT84" s="23"/>
      <c r="EWU84" s="50"/>
      <c r="EWV84" s="51"/>
      <c r="EWW84" s="50"/>
      <c r="EWX84" s="23"/>
      <c r="EWY84" s="50"/>
      <c r="EWZ84" s="51"/>
      <c r="EXA84" s="50"/>
      <c r="EXB84" s="23"/>
      <c r="EXC84" s="50"/>
      <c r="EXD84" s="51"/>
      <c r="EXE84" s="50"/>
      <c r="EXF84" s="23"/>
      <c r="EXG84" s="50"/>
      <c r="EXH84" s="51"/>
      <c r="EXI84" s="50"/>
      <c r="EXJ84" s="23"/>
      <c r="EXK84" s="50"/>
      <c r="EXL84" s="51"/>
      <c r="EXM84" s="50"/>
      <c r="EXN84" s="23"/>
      <c r="EXO84" s="50"/>
      <c r="EXP84" s="51"/>
      <c r="EXQ84" s="50"/>
      <c r="EXR84" s="23"/>
      <c r="EXS84" s="50"/>
      <c r="EXT84" s="51"/>
      <c r="EXU84" s="50"/>
      <c r="EXV84" s="23"/>
      <c r="EXW84" s="50"/>
      <c r="EXX84" s="51"/>
      <c r="EXY84" s="50"/>
      <c r="EXZ84" s="23"/>
      <c r="EYA84" s="50"/>
      <c r="EYB84" s="51"/>
      <c r="EYC84" s="50"/>
      <c r="EYD84" s="23"/>
      <c r="EYE84" s="50"/>
      <c r="EYF84" s="51"/>
      <c r="EYG84" s="50"/>
      <c r="EYH84" s="23"/>
      <c r="EYI84" s="50"/>
      <c r="EYJ84" s="51"/>
      <c r="EYK84" s="50"/>
      <c r="EYL84" s="23"/>
      <c r="EYM84" s="50"/>
      <c r="EYN84" s="51"/>
      <c r="EYO84" s="50"/>
      <c r="EYP84" s="23"/>
      <c r="EYQ84" s="50"/>
      <c r="EYR84" s="51"/>
      <c r="EYS84" s="50"/>
      <c r="EYT84" s="23"/>
      <c r="EYU84" s="50"/>
      <c r="EYV84" s="51"/>
      <c r="EYW84" s="50"/>
      <c r="EYX84" s="23"/>
      <c r="EYY84" s="50"/>
      <c r="EYZ84" s="51"/>
      <c r="EZA84" s="50"/>
      <c r="EZB84" s="23"/>
      <c r="EZC84" s="50"/>
      <c r="EZD84" s="51"/>
      <c r="EZE84" s="50"/>
      <c r="EZF84" s="23"/>
      <c r="EZG84" s="50"/>
      <c r="EZH84" s="51"/>
      <c r="EZI84" s="50"/>
      <c r="EZJ84" s="23"/>
      <c r="EZK84" s="50"/>
      <c r="EZL84" s="51"/>
      <c r="EZM84" s="50"/>
      <c r="EZN84" s="23"/>
      <c r="EZO84" s="50"/>
      <c r="EZP84" s="51"/>
      <c r="EZQ84" s="50"/>
      <c r="EZR84" s="23"/>
      <c r="EZS84" s="50"/>
      <c r="EZT84" s="51"/>
      <c r="EZU84" s="50"/>
      <c r="EZV84" s="23"/>
      <c r="EZW84" s="50"/>
      <c r="EZX84" s="51"/>
      <c r="EZY84" s="50"/>
      <c r="EZZ84" s="23"/>
      <c r="FAA84" s="50"/>
      <c r="FAB84" s="51"/>
      <c r="FAC84" s="50"/>
      <c r="FAD84" s="23"/>
      <c r="FAE84" s="50"/>
      <c r="FAF84" s="51"/>
      <c r="FAG84" s="50"/>
      <c r="FAH84" s="23"/>
      <c r="FAI84" s="50"/>
      <c r="FAJ84" s="51"/>
      <c r="FAK84" s="50"/>
      <c r="FAL84" s="23"/>
      <c r="FAM84" s="50"/>
      <c r="FAN84" s="51"/>
      <c r="FAO84" s="50"/>
      <c r="FAP84" s="23"/>
      <c r="FAQ84" s="50"/>
      <c r="FAR84" s="51"/>
      <c r="FAS84" s="50"/>
      <c r="FAT84" s="23"/>
      <c r="FAU84" s="50"/>
      <c r="FAV84" s="51"/>
      <c r="FAW84" s="50"/>
      <c r="FAX84" s="23"/>
      <c r="FAY84" s="50"/>
      <c r="FAZ84" s="51"/>
      <c r="FBA84" s="50"/>
      <c r="FBB84" s="23"/>
      <c r="FBC84" s="50"/>
      <c r="FBD84" s="51"/>
      <c r="FBE84" s="50"/>
      <c r="FBF84" s="23"/>
      <c r="FBG84" s="50"/>
      <c r="FBH84" s="51"/>
      <c r="FBI84" s="50"/>
      <c r="FBJ84" s="23"/>
      <c r="FBK84" s="50"/>
      <c r="FBL84" s="51"/>
      <c r="FBM84" s="50"/>
      <c r="FBN84" s="23"/>
      <c r="FBO84" s="50"/>
      <c r="FBP84" s="51"/>
      <c r="FBQ84" s="50"/>
      <c r="FBR84" s="23"/>
      <c r="FBS84" s="50"/>
      <c r="FBT84" s="51"/>
      <c r="FBU84" s="50"/>
      <c r="FBV84" s="23"/>
      <c r="FBW84" s="50"/>
      <c r="FBX84" s="51"/>
      <c r="FBY84" s="50"/>
      <c r="FBZ84" s="23"/>
      <c r="FCA84" s="50"/>
      <c r="FCB84" s="51"/>
      <c r="FCC84" s="50"/>
      <c r="FCD84" s="23"/>
      <c r="FCE84" s="50"/>
      <c r="FCF84" s="51"/>
      <c r="FCG84" s="50"/>
      <c r="FCH84" s="23"/>
      <c r="FCI84" s="50"/>
      <c r="FCJ84" s="51"/>
      <c r="FCK84" s="50"/>
      <c r="FCL84" s="23"/>
      <c r="FCM84" s="50"/>
      <c r="FCN84" s="51"/>
      <c r="FCO84" s="50"/>
      <c r="FCP84" s="23"/>
      <c r="FCQ84" s="50"/>
      <c r="FCR84" s="51"/>
      <c r="FCS84" s="50"/>
      <c r="FCT84" s="23"/>
      <c r="FCU84" s="50"/>
      <c r="FCV84" s="51"/>
      <c r="FCW84" s="50"/>
      <c r="FCX84" s="23"/>
      <c r="FCY84" s="50"/>
      <c r="FCZ84" s="51"/>
      <c r="FDA84" s="50"/>
      <c r="FDB84" s="23"/>
      <c r="FDC84" s="50"/>
      <c r="FDD84" s="51"/>
      <c r="FDE84" s="50"/>
      <c r="FDF84" s="23"/>
      <c r="FDG84" s="50"/>
      <c r="FDH84" s="51"/>
      <c r="FDI84" s="50"/>
      <c r="FDJ84" s="23"/>
      <c r="FDK84" s="50"/>
      <c r="FDL84" s="51"/>
      <c r="FDM84" s="50"/>
      <c r="FDN84" s="23"/>
      <c r="FDO84" s="50"/>
      <c r="FDP84" s="51"/>
      <c r="FDQ84" s="50"/>
      <c r="FDR84" s="23"/>
      <c r="FDS84" s="50"/>
      <c r="FDT84" s="51"/>
      <c r="FDU84" s="50"/>
      <c r="FDV84" s="23"/>
      <c r="FDW84" s="50"/>
      <c r="FDX84" s="51"/>
      <c r="FDY84" s="50"/>
      <c r="FDZ84" s="23"/>
      <c r="FEA84" s="50"/>
      <c r="FEB84" s="51"/>
      <c r="FEC84" s="50"/>
      <c r="FED84" s="23"/>
      <c r="FEE84" s="50"/>
      <c r="FEF84" s="51"/>
      <c r="FEG84" s="50"/>
      <c r="FEH84" s="23"/>
      <c r="FEI84" s="50"/>
      <c r="FEJ84" s="51"/>
      <c r="FEK84" s="50"/>
      <c r="FEL84" s="23"/>
      <c r="FEM84" s="50"/>
      <c r="FEN84" s="51"/>
      <c r="FEO84" s="50"/>
      <c r="FEP84" s="23"/>
      <c r="FEQ84" s="50"/>
      <c r="FER84" s="51"/>
      <c r="FES84" s="50"/>
      <c r="FET84" s="23"/>
      <c r="FEU84" s="50"/>
      <c r="FEV84" s="51"/>
      <c r="FEW84" s="50"/>
      <c r="FEX84" s="23"/>
      <c r="FEY84" s="50"/>
      <c r="FEZ84" s="51"/>
      <c r="FFA84" s="50"/>
      <c r="FFB84" s="23"/>
      <c r="FFC84" s="50"/>
      <c r="FFD84" s="51"/>
      <c r="FFE84" s="50"/>
      <c r="FFF84" s="23"/>
      <c r="FFG84" s="50"/>
      <c r="FFH84" s="51"/>
      <c r="FFI84" s="50"/>
      <c r="FFJ84" s="23"/>
      <c r="FFK84" s="50"/>
      <c r="FFL84" s="51"/>
      <c r="FFM84" s="50"/>
      <c r="FFN84" s="23"/>
      <c r="FFO84" s="50"/>
      <c r="FFP84" s="51"/>
      <c r="FFQ84" s="50"/>
      <c r="FFR84" s="23"/>
      <c r="FFS84" s="50"/>
      <c r="FFT84" s="51"/>
      <c r="FFU84" s="50"/>
      <c r="FFV84" s="23"/>
      <c r="FFW84" s="50"/>
      <c r="FFX84" s="51"/>
      <c r="FFY84" s="50"/>
      <c r="FFZ84" s="23"/>
      <c r="FGA84" s="50"/>
      <c r="FGB84" s="51"/>
      <c r="FGC84" s="50"/>
      <c r="FGD84" s="23"/>
      <c r="FGE84" s="50"/>
      <c r="FGF84" s="51"/>
      <c r="FGG84" s="50"/>
      <c r="FGH84" s="23"/>
      <c r="FGI84" s="50"/>
      <c r="FGJ84" s="51"/>
      <c r="FGK84" s="50"/>
      <c r="FGL84" s="23"/>
      <c r="FGM84" s="50"/>
      <c r="FGN84" s="51"/>
      <c r="FGO84" s="50"/>
      <c r="FGP84" s="23"/>
      <c r="FGQ84" s="50"/>
      <c r="FGR84" s="51"/>
      <c r="FGS84" s="50"/>
      <c r="FGT84" s="23"/>
      <c r="FGU84" s="50"/>
      <c r="FGV84" s="51"/>
      <c r="FGW84" s="50"/>
      <c r="FGX84" s="23"/>
      <c r="FGY84" s="50"/>
      <c r="FGZ84" s="51"/>
      <c r="FHA84" s="50"/>
      <c r="FHB84" s="23"/>
      <c r="FHC84" s="50"/>
      <c r="FHD84" s="51"/>
      <c r="FHE84" s="50"/>
      <c r="FHF84" s="23"/>
      <c r="FHG84" s="50"/>
      <c r="FHH84" s="51"/>
      <c r="FHI84" s="50"/>
      <c r="FHJ84" s="23"/>
      <c r="FHK84" s="50"/>
      <c r="FHL84" s="51"/>
      <c r="FHM84" s="50"/>
      <c r="FHN84" s="23"/>
      <c r="FHO84" s="50"/>
      <c r="FHP84" s="51"/>
      <c r="FHQ84" s="50"/>
      <c r="FHR84" s="23"/>
      <c r="FHS84" s="50"/>
      <c r="FHT84" s="51"/>
      <c r="FHU84" s="50"/>
      <c r="FHV84" s="23"/>
      <c r="FHW84" s="50"/>
      <c r="FHX84" s="51"/>
      <c r="FHY84" s="50"/>
      <c r="FHZ84" s="23"/>
      <c r="FIA84" s="50"/>
      <c r="FIB84" s="51"/>
      <c r="FIC84" s="50"/>
      <c r="FID84" s="23"/>
      <c r="FIE84" s="50"/>
      <c r="FIF84" s="51"/>
      <c r="FIG84" s="50"/>
      <c r="FIH84" s="23"/>
      <c r="FII84" s="50"/>
      <c r="FIJ84" s="51"/>
      <c r="FIK84" s="50"/>
      <c r="FIL84" s="23"/>
      <c r="FIM84" s="50"/>
      <c r="FIN84" s="51"/>
      <c r="FIO84" s="50"/>
      <c r="FIP84" s="23"/>
      <c r="FIQ84" s="50"/>
      <c r="FIR84" s="51"/>
      <c r="FIS84" s="50"/>
      <c r="FIT84" s="23"/>
      <c r="FIU84" s="50"/>
      <c r="FIV84" s="51"/>
      <c r="FIW84" s="50"/>
      <c r="FIX84" s="23"/>
      <c r="FIY84" s="50"/>
      <c r="FIZ84" s="51"/>
      <c r="FJA84" s="50"/>
      <c r="FJB84" s="23"/>
      <c r="FJC84" s="50"/>
      <c r="FJD84" s="51"/>
      <c r="FJE84" s="50"/>
      <c r="FJF84" s="23"/>
      <c r="FJG84" s="50"/>
      <c r="FJH84" s="51"/>
      <c r="FJI84" s="50"/>
      <c r="FJJ84" s="23"/>
      <c r="FJK84" s="50"/>
      <c r="FJL84" s="51"/>
      <c r="FJM84" s="50"/>
      <c r="FJN84" s="23"/>
      <c r="FJO84" s="50"/>
      <c r="FJP84" s="51"/>
      <c r="FJQ84" s="50"/>
      <c r="FJR84" s="23"/>
      <c r="FJS84" s="50"/>
      <c r="FJT84" s="51"/>
      <c r="FJU84" s="50"/>
      <c r="FJV84" s="23"/>
      <c r="FJW84" s="50"/>
      <c r="FJX84" s="51"/>
      <c r="FJY84" s="50"/>
      <c r="FJZ84" s="23"/>
      <c r="FKA84" s="50"/>
      <c r="FKB84" s="51"/>
      <c r="FKC84" s="50"/>
      <c r="FKD84" s="23"/>
      <c r="FKE84" s="50"/>
      <c r="FKF84" s="51"/>
      <c r="FKG84" s="50"/>
      <c r="FKH84" s="23"/>
      <c r="FKI84" s="50"/>
      <c r="FKJ84" s="51"/>
      <c r="FKK84" s="50"/>
      <c r="FKL84" s="23"/>
      <c r="FKM84" s="50"/>
      <c r="FKN84" s="51"/>
      <c r="FKO84" s="50"/>
      <c r="FKP84" s="23"/>
      <c r="FKQ84" s="50"/>
      <c r="FKR84" s="51"/>
      <c r="FKS84" s="50"/>
      <c r="FKT84" s="23"/>
      <c r="FKU84" s="50"/>
      <c r="FKV84" s="51"/>
      <c r="FKW84" s="50"/>
      <c r="FKX84" s="23"/>
      <c r="FKY84" s="50"/>
      <c r="FKZ84" s="51"/>
      <c r="FLA84" s="50"/>
      <c r="FLB84" s="23"/>
      <c r="FLC84" s="50"/>
      <c r="FLD84" s="51"/>
      <c r="FLE84" s="50"/>
      <c r="FLF84" s="23"/>
      <c r="FLG84" s="50"/>
      <c r="FLH84" s="51"/>
      <c r="FLI84" s="50"/>
      <c r="FLJ84" s="23"/>
      <c r="FLK84" s="50"/>
      <c r="FLL84" s="51"/>
      <c r="FLM84" s="50"/>
      <c r="FLN84" s="23"/>
      <c r="FLO84" s="50"/>
      <c r="FLP84" s="51"/>
      <c r="FLQ84" s="50"/>
      <c r="FLR84" s="23"/>
      <c r="FLS84" s="50"/>
      <c r="FLT84" s="51"/>
      <c r="FLU84" s="50"/>
      <c r="FLV84" s="23"/>
      <c r="FLW84" s="50"/>
      <c r="FLX84" s="51"/>
      <c r="FLY84" s="50"/>
      <c r="FLZ84" s="23"/>
      <c r="FMA84" s="50"/>
      <c r="FMB84" s="51"/>
      <c r="FMC84" s="50"/>
      <c r="FMD84" s="23"/>
      <c r="FME84" s="50"/>
      <c r="FMF84" s="51"/>
      <c r="FMG84" s="50"/>
      <c r="FMH84" s="23"/>
      <c r="FMI84" s="50"/>
      <c r="FMJ84" s="51"/>
      <c r="FMK84" s="50"/>
      <c r="FML84" s="23"/>
      <c r="FMM84" s="50"/>
      <c r="FMN84" s="51"/>
      <c r="FMO84" s="50"/>
      <c r="FMP84" s="23"/>
      <c r="FMQ84" s="50"/>
      <c r="FMR84" s="51"/>
      <c r="FMS84" s="50"/>
      <c r="FMT84" s="23"/>
      <c r="FMU84" s="50"/>
      <c r="FMV84" s="51"/>
      <c r="FMW84" s="50"/>
      <c r="FMX84" s="23"/>
      <c r="FMY84" s="50"/>
      <c r="FMZ84" s="51"/>
      <c r="FNA84" s="50"/>
      <c r="FNB84" s="23"/>
      <c r="FNC84" s="50"/>
      <c r="FND84" s="51"/>
      <c r="FNE84" s="50"/>
      <c r="FNF84" s="23"/>
      <c r="FNG84" s="50"/>
      <c r="FNH84" s="51"/>
      <c r="FNI84" s="50"/>
      <c r="FNJ84" s="23"/>
      <c r="FNK84" s="50"/>
      <c r="FNL84" s="51"/>
      <c r="FNM84" s="50"/>
      <c r="FNN84" s="23"/>
      <c r="FNO84" s="50"/>
      <c r="FNP84" s="51"/>
      <c r="FNQ84" s="50"/>
      <c r="FNR84" s="23"/>
      <c r="FNS84" s="50"/>
      <c r="FNT84" s="51"/>
      <c r="FNU84" s="50"/>
      <c r="FNV84" s="23"/>
      <c r="FNW84" s="50"/>
      <c r="FNX84" s="51"/>
      <c r="FNY84" s="50"/>
      <c r="FNZ84" s="23"/>
      <c r="FOA84" s="50"/>
      <c r="FOB84" s="51"/>
      <c r="FOC84" s="50"/>
      <c r="FOD84" s="23"/>
      <c r="FOE84" s="50"/>
      <c r="FOF84" s="51"/>
      <c r="FOG84" s="50"/>
      <c r="FOH84" s="23"/>
      <c r="FOI84" s="50"/>
      <c r="FOJ84" s="51"/>
      <c r="FOK84" s="50"/>
      <c r="FOL84" s="23"/>
      <c r="FOM84" s="50"/>
      <c r="FON84" s="51"/>
      <c r="FOO84" s="50"/>
      <c r="FOP84" s="23"/>
      <c r="FOQ84" s="50"/>
      <c r="FOR84" s="51"/>
      <c r="FOS84" s="50"/>
      <c r="FOT84" s="23"/>
      <c r="FOU84" s="50"/>
      <c r="FOV84" s="51"/>
      <c r="FOW84" s="50"/>
      <c r="FOX84" s="23"/>
      <c r="FOY84" s="50"/>
      <c r="FOZ84" s="51"/>
      <c r="FPA84" s="50"/>
      <c r="FPB84" s="23"/>
      <c r="FPC84" s="50"/>
      <c r="FPD84" s="51"/>
      <c r="FPE84" s="50"/>
      <c r="FPF84" s="23"/>
      <c r="FPG84" s="50"/>
      <c r="FPH84" s="51"/>
      <c r="FPI84" s="50"/>
      <c r="FPJ84" s="23"/>
      <c r="FPK84" s="50"/>
      <c r="FPL84" s="51"/>
      <c r="FPM84" s="50"/>
      <c r="FPN84" s="23"/>
      <c r="FPO84" s="50"/>
      <c r="FPP84" s="51"/>
      <c r="FPQ84" s="50"/>
      <c r="FPR84" s="23"/>
      <c r="FPS84" s="50"/>
      <c r="FPT84" s="51"/>
      <c r="FPU84" s="50"/>
      <c r="FPV84" s="23"/>
      <c r="FPW84" s="50"/>
      <c r="FPX84" s="51"/>
      <c r="FPY84" s="50"/>
      <c r="FPZ84" s="23"/>
      <c r="FQA84" s="50"/>
      <c r="FQB84" s="51"/>
      <c r="FQC84" s="50"/>
      <c r="FQD84" s="23"/>
      <c r="FQE84" s="50"/>
      <c r="FQF84" s="51"/>
      <c r="FQG84" s="50"/>
      <c r="FQH84" s="23"/>
      <c r="FQI84" s="50"/>
      <c r="FQJ84" s="51"/>
      <c r="FQK84" s="50"/>
      <c r="FQL84" s="23"/>
      <c r="FQM84" s="50"/>
      <c r="FQN84" s="51"/>
      <c r="FQO84" s="50"/>
      <c r="FQP84" s="23"/>
      <c r="FQQ84" s="50"/>
      <c r="FQR84" s="51"/>
      <c r="FQS84" s="50"/>
      <c r="FQT84" s="23"/>
      <c r="FQU84" s="50"/>
      <c r="FQV84" s="51"/>
      <c r="FQW84" s="50"/>
      <c r="FQX84" s="23"/>
      <c r="FQY84" s="50"/>
      <c r="FQZ84" s="51"/>
      <c r="FRA84" s="50"/>
      <c r="FRB84" s="23"/>
      <c r="FRC84" s="50"/>
      <c r="FRD84" s="51"/>
      <c r="FRE84" s="50"/>
      <c r="FRF84" s="23"/>
      <c r="FRG84" s="50"/>
      <c r="FRH84" s="51"/>
      <c r="FRI84" s="50"/>
      <c r="FRJ84" s="23"/>
      <c r="FRK84" s="50"/>
      <c r="FRL84" s="51"/>
      <c r="FRM84" s="50"/>
      <c r="FRN84" s="23"/>
      <c r="FRO84" s="50"/>
      <c r="FRP84" s="51"/>
      <c r="FRQ84" s="50"/>
      <c r="FRR84" s="23"/>
      <c r="FRS84" s="50"/>
      <c r="FRT84" s="51"/>
      <c r="FRU84" s="50"/>
      <c r="FRV84" s="23"/>
      <c r="FRW84" s="50"/>
      <c r="FRX84" s="51"/>
      <c r="FRY84" s="50"/>
      <c r="FRZ84" s="23"/>
      <c r="FSA84" s="50"/>
      <c r="FSB84" s="51"/>
      <c r="FSC84" s="50"/>
      <c r="FSD84" s="23"/>
      <c r="FSE84" s="50"/>
      <c r="FSF84" s="51"/>
      <c r="FSG84" s="50"/>
      <c r="FSH84" s="23"/>
      <c r="FSI84" s="50"/>
      <c r="FSJ84" s="51"/>
      <c r="FSK84" s="50"/>
      <c r="FSL84" s="23"/>
      <c r="FSM84" s="50"/>
      <c r="FSN84" s="51"/>
      <c r="FSO84" s="50"/>
      <c r="FSP84" s="23"/>
      <c r="FSQ84" s="50"/>
      <c r="FSR84" s="51"/>
      <c r="FSS84" s="50"/>
      <c r="FST84" s="23"/>
      <c r="FSU84" s="50"/>
      <c r="FSV84" s="51"/>
      <c r="FSW84" s="50"/>
      <c r="FSX84" s="23"/>
      <c r="FSY84" s="50"/>
      <c r="FSZ84" s="51"/>
      <c r="FTA84" s="50"/>
      <c r="FTB84" s="23"/>
      <c r="FTC84" s="50"/>
      <c r="FTD84" s="51"/>
      <c r="FTE84" s="50"/>
      <c r="FTF84" s="23"/>
      <c r="FTG84" s="50"/>
      <c r="FTH84" s="51"/>
      <c r="FTI84" s="50"/>
      <c r="FTJ84" s="23"/>
      <c r="FTK84" s="50"/>
      <c r="FTL84" s="51"/>
      <c r="FTM84" s="50"/>
      <c r="FTN84" s="23"/>
      <c r="FTO84" s="50"/>
      <c r="FTP84" s="51"/>
      <c r="FTQ84" s="50"/>
      <c r="FTR84" s="23"/>
      <c r="FTS84" s="50"/>
      <c r="FTT84" s="51"/>
      <c r="FTU84" s="50"/>
      <c r="FTV84" s="23"/>
      <c r="FTW84" s="50"/>
      <c r="FTX84" s="51"/>
      <c r="FTY84" s="50"/>
      <c r="FTZ84" s="23"/>
      <c r="FUA84" s="50"/>
      <c r="FUB84" s="51"/>
      <c r="FUC84" s="50"/>
      <c r="FUD84" s="23"/>
      <c r="FUE84" s="50"/>
      <c r="FUF84" s="51"/>
      <c r="FUG84" s="50"/>
      <c r="FUH84" s="23"/>
      <c r="FUI84" s="50"/>
      <c r="FUJ84" s="51"/>
      <c r="FUK84" s="50"/>
      <c r="FUL84" s="23"/>
      <c r="FUM84" s="50"/>
      <c r="FUN84" s="51"/>
      <c r="FUO84" s="50"/>
      <c r="FUP84" s="23"/>
      <c r="FUQ84" s="50"/>
      <c r="FUR84" s="51"/>
      <c r="FUS84" s="50"/>
      <c r="FUT84" s="23"/>
      <c r="FUU84" s="50"/>
      <c r="FUV84" s="51"/>
      <c r="FUW84" s="50"/>
      <c r="FUX84" s="23"/>
      <c r="FUY84" s="50"/>
      <c r="FUZ84" s="51"/>
      <c r="FVA84" s="50"/>
      <c r="FVB84" s="23"/>
      <c r="FVC84" s="50"/>
      <c r="FVD84" s="51"/>
      <c r="FVE84" s="50"/>
      <c r="FVF84" s="23"/>
      <c r="FVG84" s="50"/>
      <c r="FVH84" s="51"/>
      <c r="FVI84" s="50"/>
      <c r="FVJ84" s="23"/>
      <c r="FVK84" s="50"/>
      <c r="FVL84" s="51"/>
      <c r="FVM84" s="50"/>
      <c r="FVN84" s="23"/>
      <c r="FVO84" s="50"/>
      <c r="FVP84" s="51"/>
      <c r="FVQ84" s="50"/>
      <c r="FVR84" s="23"/>
      <c r="FVS84" s="50"/>
      <c r="FVT84" s="51"/>
      <c r="FVU84" s="50"/>
      <c r="FVV84" s="23"/>
      <c r="FVW84" s="50"/>
      <c r="FVX84" s="51"/>
      <c r="FVY84" s="50"/>
      <c r="FVZ84" s="23"/>
      <c r="FWA84" s="50"/>
      <c r="FWB84" s="51"/>
      <c r="FWC84" s="50"/>
      <c r="FWD84" s="23"/>
      <c r="FWE84" s="50"/>
      <c r="FWF84" s="51"/>
      <c r="FWG84" s="50"/>
      <c r="FWH84" s="23"/>
      <c r="FWI84" s="50"/>
      <c r="FWJ84" s="51"/>
      <c r="FWK84" s="50"/>
      <c r="FWL84" s="23"/>
      <c r="FWM84" s="50"/>
      <c r="FWN84" s="51"/>
      <c r="FWO84" s="50"/>
      <c r="FWP84" s="23"/>
      <c r="FWQ84" s="50"/>
      <c r="FWR84" s="51"/>
      <c r="FWS84" s="50"/>
      <c r="FWT84" s="23"/>
      <c r="FWU84" s="50"/>
      <c r="FWV84" s="51"/>
      <c r="FWW84" s="50"/>
      <c r="FWX84" s="23"/>
      <c r="FWY84" s="50"/>
      <c r="FWZ84" s="51"/>
      <c r="FXA84" s="50"/>
      <c r="FXB84" s="23"/>
      <c r="FXC84" s="50"/>
      <c r="FXD84" s="51"/>
      <c r="FXE84" s="50"/>
      <c r="FXF84" s="23"/>
      <c r="FXG84" s="50"/>
      <c r="FXH84" s="51"/>
      <c r="FXI84" s="50"/>
      <c r="FXJ84" s="23"/>
      <c r="FXK84" s="50"/>
      <c r="FXL84" s="51"/>
      <c r="FXM84" s="50"/>
      <c r="FXN84" s="23"/>
      <c r="FXO84" s="50"/>
      <c r="FXP84" s="51"/>
      <c r="FXQ84" s="50"/>
      <c r="FXR84" s="23"/>
      <c r="FXS84" s="50"/>
      <c r="FXT84" s="51"/>
      <c r="FXU84" s="50"/>
      <c r="FXV84" s="23"/>
      <c r="FXW84" s="50"/>
      <c r="FXX84" s="51"/>
      <c r="FXY84" s="50"/>
      <c r="FXZ84" s="23"/>
      <c r="FYA84" s="50"/>
      <c r="FYB84" s="51"/>
      <c r="FYC84" s="50"/>
      <c r="FYD84" s="23"/>
      <c r="FYE84" s="50"/>
      <c r="FYF84" s="51"/>
      <c r="FYG84" s="50"/>
      <c r="FYH84" s="23"/>
      <c r="FYI84" s="50"/>
      <c r="FYJ84" s="51"/>
      <c r="FYK84" s="50"/>
      <c r="FYL84" s="23"/>
      <c r="FYM84" s="50"/>
      <c r="FYN84" s="51"/>
      <c r="FYO84" s="50"/>
      <c r="FYP84" s="23"/>
      <c r="FYQ84" s="50"/>
      <c r="FYR84" s="51"/>
      <c r="FYS84" s="50"/>
      <c r="FYT84" s="23"/>
      <c r="FYU84" s="50"/>
      <c r="FYV84" s="51"/>
      <c r="FYW84" s="50"/>
      <c r="FYX84" s="23"/>
      <c r="FYY84" s="50"/>
      <c r="FYZ84" s="51"/>
      <c r="FZA84" s="50"/>
      <c r="FZB84" s="23"/>
      <c r="FZC84" s="50"/>
      <c r="FZD84" s="51"/>
      <c r="FZE84" s="50"/>
      <c r="FZF84" s="23"/>
      <c r="FZG84" s="50"/>
      <c r="FZH84" s="51"/>
      <c r="FZI84" s="50"/>
      <c r="FZJ84" s="23"/>
      <c r="FZK84" s="50"/>
      <c r="FZL84" s="51"/>
      <c r="FZM84" s="50"/>
      <c r="FZN84" s="23"/>
      <c r="FZO84" s="50"/>
      <c r="FZP84" s="51"/>
      <c r="FZQ84" s="50"/>
      <c r="FZR84" s="23"/>
      <c r="FZS84" s="50"/>
      <c r="FZT84" s="51"/>
      <c r="FZU84" s="50"/>
      <c r="FZV84" s="23"/>
      <c r="FZW84" s="50"/>
      <c r="FZX84" s="51"/>
      <c r="FZY84" s="50"/>
      <c r="FZZ84" s="23"/>
      <c r="GAA84" s="50"/>
      <c r="GAB84" s="51"/>
      <c r="GAC84" s="50"/>
      <c r="GAD84" s="23"/>
      <c r="GAE84" s="50"/>
      <c r="GAF84" s="51"/>
      <c r="GAG84" s="50"/>
      <c r="GAH84" s="23"/>
      <c r="GAI84" s="50"/>
      <c r="GAJ84" s="51"/>
      <c r="GAK84" s="50"/>
      <c r="GAL84" s="23"/>
      <c r="GAM84" s="50"/>
      <c r="GAN84" s="51"/>
      <c r="GAO84" s="50"/>
      <c r="GAP84" s="23"/>
      <c r="GAQ84" s="50"/>
      <c r="GAR84" s="51"/>
      <c r="GAS84" s="50"/>
      <c r="GAT84" s="23"/>
      <c r="GAU84" s="50"/>
      <c r="GAV84" s="51"/>
      <c r="GAW84" s="50"/>
      <c r="GAX84" s="23"/>
      <c r="GAY84" s="50"/>
      <c r="GAZ84" s="51"/>
      <c r="GBA84" s="50"/>
      <c r="GBB84" s="23"/>
      <c r="GBC84" s="50"/>
      <c r="GBD84" s="51"/>
      <c r="GBE84" s="50"/>
      <c r="GBF84" s="23"/>
      <c r="GBG84" s="50"/>
      <c r="GBH84" s="51"/>
      <c r="GBI84" s="50"/>
      <c r="GBJ84" s="23"/>
      <c r="GBK84" s="50"/>
      <c r="GBL84" s="51"/>
      <c r="GBM84" s="50"/>
      <c r="GBN84" s="23"/>
      <c r="GBO84" s="50"/>
      <c r="GBP84" s="51"/>
      <c r="GBQ84" s="50"/>
      <c r="GBR84" s="23"/>
      <c r="GBS84" s="50"/>
      <c r="GBT84" s="51"/>
      <c r="GBU84" s="50"/>
      <c r="GBV84" s="23"/>
      <c r="GBW84" s="50"/>
      <c r="GBX84" s="51"/>
      <c r="GBY84" s="50"/>
      <c r="GBZ84" s="23"/>
      <c r="GCA84" s="50"/>
      <c r="GCB84" s="51"/>
      <c r="GCC84" s="50"/>
      <c r="GCD84" s="23"/>
      <c r="GCE84" s="50"/>
      <c r="GCF84" s="51"/>
      <c r="GCG84" s="50"/>
      <c r="GCH84" s="23"/>
      <c r="GCI84" s="50"/>
      <c r="GCJ84" s="51"/>
      <c r="GCK84" s="50"/>
      <c r="GCL84" s="23"/>
      <c r="GCM84" s="50"/>
      <c r="GCN84" s="51"/>
      <c r="GCO84" s="50"/>
      <c r="GCP84" s="23"/>
      <c r="GCQ84" s="50"/>
      <c r="GCR84" s="51"/>
      <c r="GCS84" s="50"/>
      <c r="GCT84" s="23"/>
      <c r="GCU84" s="50"/>
      <c r="GCV84" s="51"/>
      <c r="GCW84" s="50"/>
      <c r="GCX84" s="23"/>
      <c r="GCY84" s="50"/>
      <c r="GCZ84" s="51"/>
      <c r="GDA84" s="50"/>
      <c r="GDB84" s="23"/>
      <c r="GDC84" s="50"/>
      <c r="GDD84" s="51"/>
      <c r="GDE84" s="50"/>
      <c r="GDF84" s="23"/>
      <c r="GDG84" s="50"/>
      <c r="GDH84" s="51"/>
      <c r="GDI84" s="50"/>
      <c r="GDJ84" s="23"/>
      <c r="GDK84" s="50"/>
      <c r="GDL84" s="51"/>
      <c r="GDM84" s="50"/>
      <c r="GDN84" s="23"/>
      <c r="GDO84" s="50"/>
      <c r="GDP84" s="51"/>
      <c r="GDQ84" s="50"/>
      <c r="GDR84" s="23"/>
      <c r="GDS84" s="50"/>
      <c r="GDT84" s="51"/>
      <c r="GDU84" s="50"/>
      <c r="GDV84" s="23"/>
      <c r="GDW84" s="50"/>
      <c r="GDX84" s="51"/>
      <c r="GDY84" s="50"/>
      <c r="GDZ84" s="23"/>
      <c r="GEA84" s="50"/>
      <c r="GEB84" s="51"/>
      <c r="GEC84" s="50"/>
      <c r="GED84" s="23"/>
      <c r="GEE84" s="50"/>
      <c r="GEF84" s="51"/>
      <c r="GEG84" s="50"/>
      <c r="GEH84" s="23"/>
      <c r="GEI84" s="50"/>
      <c r="GEJ84" s="51"/>
      <c r="GEK84" s="50"/>
      <c r="GEL84" s="23"/>
      <c r="GEM84" s="50"/>
      <c r="GEN84" s="51"/>
      <c r="GEO84" s="50"/>
      <c r="GEP84" s="23"/>
      <c r="GEQ84" s="50"/>
      <c r="GER84" s="51"/>
      <c r="GES84" s="50"/>
      <c r="GET84" s="23"/>
      <c r="GEU84" s="50"/>
      <c r="GEV84" s="51"/>
      <c r="GEW84" s="50"/>
      <c r="GEX84" s="23"/>
      <c r="GEY84" s="50"/>
      <c r="GEZ84" s="51"/>
      <c r="GFA84" s="50"/>
      <c r="GFB84" s="23"/>
      <c r="GFC84" s="50"/>
      <c r="GFD84" s="51"/>
      <c r="GFE84" s="50"/>
      <c r="GFF84" s="23"/>
      <c r="GFG84" s="50"/>
      <c r="GFH84" s="51"/>
      <c r="GFI84" s="50"/>
      <c r="GFJ84" s="23"/>
      <c r="GFK84" s="50"/>
      <c r="GFL84" s="51"/>
      <c r="GFM84" s="50"/>
      <c r="GFN84" s="23"/>
      <c r="GFO84" s="50"/>
      <c r="GFP84" s="51"/>
      <c r="GFQ84" s="50"/>
      <c r="GFR84" s="23"/>
      <c r="GFS84" s="50"/>
      <c r="GFT84" s="51"/>
      <c r="GFU84" s="50"/>
      <c r="GFV84" s="23"/>
      <c r="GFW84" s="50"/>
      <c r="GFX84" s="51"/>
      <c r="GFY84" s="50"/>
      <c r="GFZ84" s="23"/>
      <c r="GGA84" s="50"/>
      <c r="GGB84" s="51"/>
      <c r="GGC84" s="50"/>
      <c r="GGD84" s="23"/>
      <c r="GGE84" s="50"/>
      <c r="GGF84" s="51"/>
      <c r="GGG84" s="50"/>
      <c r="GGH84" s="23"/>
      <c r="GGI84" s="50"/>
      <c r="GGJ84" s="51"/>
      <c r="GGK84" s="50"/>
      <c r="GGL84" s="23"/>
      <c r="GGM84" s="50"/>
      <c r="GGN84" s="51"/>
      <c r="GGO84" s="50"/>
      <c r="GGP84" s="23"/>
      <c r="GGQ84" s="50"/>
      <c r="GGR84" s="51"/>
      <c r="GGS84" s="50"/>
      <c r="GGT84" s="23"/>
      <c r="GGU84" s="50"/>
      <c r="GGV84" s="51"/>
      <c r="GGW84" s="50"/>
      <c r="GGX84" s="23"/>
      <c r="GGY84" s="50"/>
      <c r="GGZ84" s="51"/>
      <c r="GHA84" s="50"/>
      <c r="GHB84" s="23"/>
      <c r="GHC84" s="50"/>
      <c r="GHD84" s="51"/>
      <c r="GHE84" s="50"/>
      <c r="GHF84" s="23"/>
      <c r="GHG84" s="50"/>
      <c r="GHH84" s="51"/>
      <c r="GHI84" s="50"/>
      <c r="GHJ84" s="23"/>
      <c r="GHK84" s="50"/>
      <c r="GHL84" s="51"/>
      <c r="GHM84" s="50"/>
      <c r="GHN84" s="23"/>
      <c r="GHO84" s="50"/>
      <c r="GHP84" s="51"/>
      <c r="GHQ84" s="50"/>
      <c r="GHR84" s="23"/>
      <c r="GHS84" s="50"/>
      <c r="GHT84" s="51"/>
      <c r="GHU84" s="50"/>
      <c r="GHV84" s="23"/>
      <c r="GHW84" s="50"/>
      <c r="GHX84" s="51"/>
      <c r="GHY84" s="50"/>
      <c r="GHZ84" s="23"/>
      <c r="GIA84" s="50"/>
      <c r="GIB84" s="51"/>
      <c r="GIC84" s="50"/>
      <c r="GID84" s="23"/>
      <c r="GIE84" s="50"/>
      <c r="GIF84" s="51"/>
      <c r="GIG84" s="50"/>
      <c r="GIH84" s="23"/>
      <c r="GII84" s="50"/>
      <c r="GIJ84" s="51"/>
      <c r="GIK84" s="50"/>
      <c r="GIL84" s="23"/>
      <c r="GIM84" s="50"/>
      <c r="GIN84" s="51"/>
      <c r="GIO84" s="50"/>
      <c r="GIP84" s="23"/>
      <c r="GIQ84" s="50"/>
      <c r="GIR84" s="51"/>
      <c r="GIS84" s="50"/>
      <c r="GIT84" s="23"/>
      <c r="GIU84" s="50"/>
      <c r="GIV84" s="51"/>
      <c r="GIW84" s="50"/>
      <c r="GIX84" s="23"/>
      <c r="GIY84" s="50"/>
      <c r="GIZ84" s="51"/>
      <c r="GJA84" s="50"/>
      <c r="GJB84" s="23"/>
      <c r="GJC84" s="50"/>
      <c r="GJD84" s="51"/>
      <c r="GJE84" s="50"/>
      <c r="GJF84" s="23"/>
      <c r="GJG84" s="50"/>
      <c r="GJH84" s="51"/>
      <c r="GJI84" s="50"/>
      <c r="GJJ84" s="23"/>
      <c r="GJK84" s="50"/>
      <c r="GJL84" s="51"/>
      <c r="GJM84" s="50"/>
      <c r="GJN84" s="23"/>
      <c r="GJO84" s="50"/>
      <c r="GJP84" s="51"/>
      <c r="GJQ84" s="50"/>
      <c r="GJR84" s="23"/>
      <c r="GJS84" s="50"/>
      <c r="GJT84" s="51"/>
      <c r="GJU84" s="50"/>
      <c r="GJV84" s="23"/>
      <c r="GJW84" s="50"/>
      <c r="GJX84" s="51"/>
      <c r="GJY84" s="50"/>
      <c r="GJZ84" s="23"/>
      <c r="GKA84" s="50"/>
      <c r="GKB84" s="51"/>
      <c r="GKC84" s="50"/>
      <c r="GKD84" s="23"/>
      <c r="GKE84" s="50"/>
      <c r="GKF84" s="51"/>
      <c r="GKG84" s="50"/>
      <c r="GKH84" s="23"/>
      <c r="GKI84" s="50"/>
      <c r="GKJ84" s="51"/>
      <c r="GKK84" s="50"/>
      <c r="GKL84" s="23"/>
      <c r="GKM84" s="50"/>
      <c r="GKN84" s="51"/>
      <c r="GKO84" s="50"/>
      <c r="GKP84" s="23"/>
      <c r="GKQ84" s="50"/>
      <c r="GKR84" s="51"/>
      <c r="GKS84" s="50"/>
      <c r="GKT84" s="23"/>
      <c r="GKU84" s="50"/>
      <c r="GKV84" s="51"/>
      <c r="GKW84" s="50"/>
      <c r="GKX84" s="23"/>
      <c r="GKY84" s="50"/>
      <c r="GKZ84" s="51"/>
      <c r="GLA84" s="50"/>
      <c r="GLB84" s="23"/>
      <c r="GLC84" s="50"/>
      <c r="GLD84" s="51"/>
      <c r="GLE84" s="50"/>
      <c r="GLF84" s="23"/>
      <c r="GLG84" s="50"/>
      <c r="GLH84" s="51"/>
      <c r="GLI84" s="50"/>
      <c r="GLJ84" s="23"/>
      <c r="GLK84" s="50"/>
      <c r="GLL84" s="51"/>
      <c r="GLM84" s="50"/>
      <c r="GLN84" s="23"/>
      <c r="GLO84" s="50"/>
      <c r="GLP84" s="51"/>
      <c r="GLQ84" s="50"/>
      <c r="GLR84" s="23"/>
      <c r="GLS84" s="50"/>
      <c r="GLT84" s="51"/>
      <c r="GLU84" s="50"/>
      <c r="GLV84" s="23"/>
      <c r="GLW84" s="50"/>
      <c r="GLX84" s="51"/>
      <c r="GLY84" s="50"/>
      <c r="GLZ84" s="23"/>
      <c r="GMA84" s="50"/>
      <c r="GMB84" s="51"/>
      <c r="GMC84" s="50"/>
      <c r="GMD84" s="23"/>
      <c r="GME84" s="50"/>
      <c r="GMF84" s="51"/>
      <c r="GMG84" s="50"/>
      <c r="GMH84" s="23"/>
      <c r="GMI84" s="50"/>
      <c r="GMJ84" s="51"/>
      <c r="GMK84" s="50"/>
      <c r="GML84" s="23"/>
      <c r="GMM84" s="50"/>
      <c r="GMN84" s="51"/>
      <c r="GMO84" s="50"/>
      <c r="GMP84" s="23"/>
      <c r="GMQ84" s="50"/>
      <c r="GMR84" s="51"/>
      <c r="GMS84" s="50"/>
      <c r="GMT84" s="23"/>
      <c r="GMU84" s="50"/>
      <c r="GMV84" s="51"/>
      <c r="GMW84" s="50"/>
      <c r="GMX84" s="23"/>
      <c r="GMY84" s="50"/>
      <c r="GMZ84" s="51"/>
      <c r="GNA84" s="50"/>
      <c r="GNB84" s="23"/>
      <c r="GNC84" s="50"/>
      <c r="GND84" s="51"/>
      <c r="GNE84" s="50"/>
      <c r="GNF84" s="23"/>
      <c r="GNG84" s="50"/>
      <c r="GNH84" s="51"/>
      <c r="GNI84" s="50"/>
      <c r="GNJ84" s="23"/>
      <c r="GNK84" s="50"/>
      <c r="GNL84" s="51"/>
      <c r="GNM84" s="50"/>
      <c r="GNN84" s="23"/>
      <c r="GNO84" s="50"/>
      <c r="GNP84" s="51"/>
      <c r="GNQ84" s="50"/>
      <c r="GNR84" s="23"/>
      <c r="GNS84" s="50"/>
      <c r="GNT84" s="51"/>
      <c r="GNU84" s="50"/>
      <c r="GNV84" s="23"/>
      <c r="GNW84" s="50"/>
      <c r="GNX84" s="51"/>
      <c r="GNY84" s="50"/>
      <c r="GNZ84" s="23"/>
      <c r="GOA84" s="50"/>
      <c r="GOB84" s="51"/>
      <c r="GOC84" s="50"/>
      <c r="GOD84" s="23"/>
      <c r="GOE84" s="50"/>
      <c r="GOF84" s="51"/>
      <c r="GOG84" s="50"/>
      <c r="GOH84" s="23"/>
      <c r="GOI84" s="50"/>
      <c r="GOJ84" s="51"/>
      <c r="GOK84" s="50"/>
      <c r="GOL84" s="23"/>
      <c r="GOM84" s="50"/>
      <c r="GON84" s="51"/>
      <c r="GOO84" s="50"/>
      <c r="GOP84" s="23"/>
      <c r="GOQ84" s="50"/>
      <c r="GOR84" s="51"/>
      <c r="GOS84" s="50"/>
      <c r="GOT84" s="23"/>
      <c r="GOU84" s="50"/>
      <c r="GOV84" s="51"/>
      <c r="GOW84" s="50"/>
      <c r="GOX84" s="23"/>
      <c r="GOY84" s="50"/>
      <c r="GOZ84" s="51"/>
      <c r="GPA84" s="50"/>
      <c r="GPB84" s="23"/>
      <c r="GPC84" s="50"/>
      <c r="GPD84" s="51"/>
      <c r="GPE84" s="50"/>
      <c r="GPF84" s="23"/>
      <c r="GPG84" s="50"/>
      <c r="GPH84" s="51"/>
      <c r="GPI84" s="50"/>
      <c r="GPJ84" s="23"/>
      <c r="GPK84" s="50"/>
      <c r="GPL84" s="51"/>
      <c r="GPM84" s="50"/>
      <c r="GPN84" s="23"/>
      <c r="GPO84" s="50"/>
      <c r="GPP84" s="51"/>
      <c r="GPQ84" s="50"/>
      <c r="GPR84" s="23"/>
      <c r="GPS84" s="50"/>
      <c r="GPT84" s="51"/>
      <c r="GPU84" s="50"/>
      <c r="GPV84" s="23"/>
      <c r="GPW84" s="50"/>
      <c r="GPX84" s="51"/>
      <c r="GPY84" s="50"/>
      <c r="GPZ84" s="23"/>
      <c r="GQA84" s="50"/>
      <c r="GQB84" s="51"/>
      <c r="GQC84" s="50"/>
      <c r="GQD84" s="23"/>
      <c r="GQE84" s="50"/>
      <c r="GQF84" s="51"/>
      <c r="GQG84" s="50"/>
      <c r="GQH84" s="23"/>
      <c r="GQI84" s="50"/>
      <c r="GQJ84" s="51"/>
      <c r="GQK84" s="50"/>
      <c r="GQL84" s="23"/>
      <c r="GQM84" s="50"/>
      <c r="GQN84" s="51"/>
      <c r="GQO84" s="50"/>
      <c r="GQP84" s="23"/>
      <c r="GQQ84" s="50"/>
      <c r="GQR84" s="51"/>
      <c r="GQS84" s="50"/>
      <c r="GQT84" s="23"/>
      <c r="GQU84" s="50"/>
      <c r="GQV84" s="51"/>
      <c r="GQW84" s="50"/>
      <c r="GQX84" s="23"/>
      <c r="GQY84" s="50"/>
      <c r="GQZ84" s="51"/>
      <c r="GRA84" s="50"/>
      <c r="GRB84" s="23"/>
      <c r="GRC84" s="50"/>
      <c r="GRD84" s="51"/>
      <c r="GRE84" s="50"/>
      <c r="GRF84" s="23"/>
      <c r="GRG84" s="50"/>
      <c r="GRH84" s="51"/>
      <c r="GRI84" s="50"/>
      <c r="GRJ84" s="23"/>
      <c r="GRK84" s="50"/>
      <c r="GRL84" s="51"/>
      <c r="GRM84" s="50"/>
      <c r="GRN84" s="23"/>
      <c r="GRO84" s="50"/>
      <c r="GRP84" s="51"/>
      <c r="GRQ84" s="50"/>
      <c r="GRR84" s="23"/>
      <c r="GRS84" s="50"/>
      <c r="GRT84" s="51"/>
      <c r="GRU84" s="50"/>
      <c r="GRV84" s="23"/>
      <c r="GRW84" s="50"/>
      <c r="GRX84" s="51"/>
      <c r="GRY84" s="50"/>
      <c r="GRZ84" s="23"/>
      <c r="GSA84" s="50"/>
      <c r="GSB84" s="51"/>
      <c r="GSC84" s="50"/>
      <c r="GSD84" s="23"/>
      <c r="GSE84" s="50"/>
      <c r="GSF84" s="51"/>
      <c r="GSG84" s="50"/>
      <c r="GSH84" s="23"/>
      <c r="GSI84" s="50"/>
      <c r="GSJ84" s="51"/>
      <c r="GSK84" s="50"/>
      <c r="GSL84" s="23"/>
      <c r="GSM84" s="50"/>
      <c r="GSN84" s="51"/>
      <c r="GSO84" s="50"/>
      <c r="GSP84" s="23"/>
      <c r="GSQ84" s="50"/>
      <c r="GSR84" s="51"/>
      <c r="GSS84" s="50"/>
      <c r="GST84" s="23"/>
      <c r="GSU84" s="50"/>
      <c r="GSV84" s="51"/>
      <c r="GSW84" s="50"/>
      <c r="GSX84" s="23"/>
      <c r="GSY84" s="50"/>
      <c r="GSZ84" s="51"/>
      <c r="GTA84" s="50"/>
      <c r="GTB84" s="23"/>
      <c r="GTC84" s="50"/>
      <c r="GTD84" s="51"/>
      <c r="GTE84" s="50"/>
      <c r="GTF84" s="23"/>
      <c r="GTG84" s="50"/>
      <c r="GTH84" s="51"/>
      <c r="GTI84" s="50"/>
      <c r="GTJ84" s="23"/>
      <c r="GTK84" s="50"/>
      <c r="GTL84" s="51"/>
      <c r="GTM84" s="50"/>
      <c r="GTN84" s="23"/>
      <c r="GTO84" s="50"/>
      <c r="GTP84" s="51"/>
      <c r="GTQ84" s="50"/>
      <c r="GTR84" s="23"/>
      <c r="GTS84" s="50"/>
      <c r="GTT84" s="51"/>
      <c r="GTU84" s="50"/>
      <c r="GTV84" s="23"/>
      <c r="GTW84" s="50"/>
      <c r="GTX84" s="51"/>
      <c r="GTY84" s="50"/>
      <c r="GTZ84" s="23"/>
      <c r="GUA84" s="50"/>
      <c r="GUB84" s="51"/>
      <c r="GUC84" s="50"/>
      <c r="GUD84" s="23"/>
      <c r="GUE84" s="50"/>
      <c r="GUF84" s="51"/>
      <c r="GUG84" s="50"/>
      <c r="GUH84" s="23"/>
      <c r="GUI84" s="50"/>
      <c r="GUJ84" s="51"/>
      <c r="GUK84" s="50"/>
      <c r="GUL84" s="23"/>
      <c r="GUM84" s="50"/>
      <c r="GUN84" s="51"/>
      <c r="GUO84" s="50"/>
      <c r="GUP84" s="23"/>
      <c r="GUQ84" s="50"/>
      <c r="GUR84" s="51"/>
      <c r="GUS84" s="50"/>
      <c r="GUT84" s="23"/>
      <c r="GUU84" s="50"/>
      <c r="GUV84" s="51"/>
      <c r="GUW84" s="50"/>
      <c r="GUX84" s="23"/>
      <c r="GUY84" s="50"/>
      <c r="GUZ84" s="51"/>
      <c r="GVA84" s="50"/>
      <c r="GVB84" s="23"/>
      <c r="GVC84" s="50"/>
      <c r="GVD84" s="51"/>
      <c r="GVE84" s="50"/>
      <c r="GVF84" s="23"/>
      <c r="GVG84" s="50"/>
      <c r="GVH84" s="51"/>
      <c r="GVI84" s="50"/>
      <c r="GVJ84" s="23"/>
      <c r="GVK84" s="50"/>
      <c r="GVL84" s="51"/>
      <c r="GVM84" s="50"/>
      <c r="GVN84" s="23"/>
      <c r="GVO84" s="50"/>
      <c r="GVP84" s="51"/>
      <c r="GVQ84" s="50"/>
      <c r="GVR84" s="23"/>
      <c r="GVS84" s="50"/>
      <c r="GVT84" s="51"/>
      <c r="GVU84" s="50"/>
      <c r="GVV84" s="23"/>
      <c r="GVW84" s="50"/>
      <c r="GVX84" s="51"/>
      <c r="GVY84" s="50"/>
      <c r="GVZ84" s="23"/>
      <c r="GWA84" s="50"/>
      <c r="GWB84" s="51"/>
      <c r="GWC84" s="50"/>
      <c r="GWD84" s="23"/>
      <c r="GWE84" s="50"/>
      <c r="GWF84" s="51"/>
      <c r="GWG84" s="50"/>
      <c r="GWH84" s="23"/>
      <c r="GWI84" s="50"/>
      <c r="GWJ84" s="51"/>
      <c r="GWK84" s="50"/>
      <c r="GWL84" s="23"/>
      <c r="GWM84" s="50"/>
      <c r="GWN84" s="51"/>
      <c r="GWO84" s="50"/>
      <c r="GWP84" s="23"/>
      <c r="GWQ84" s="50"/>
      <c r="GWR84" s="51"/>
      <c r="GWS84" s="50"/>
      <c r="GWT84" s="23"/>
      <c r="GWU84" s="50"/>
      <c r="GWV84" s="51"/>
      <c r="GWW84" s="50"/>
      <c r="GWX84" s="23"/>
      <c r="GWY84" s="50"/>
      <c r="GWZ84" s="51"/>
      <c r="GXA84" s="50"/>
      <c r="GXB84" s="23"/>
      <c r="GXC84" s="50"/>
      <c r="GXD84" s="51"/>
      <c r="GXE84" s="50"/>
      <c r="GXF84" s="23"/>
      <c r="GXG84" s="50"/>
      <c r="GXH84" s="51"/>
      <c r="GXI84" s="50"/>
      <c r="GXJ84" s="23"/>
      <c r="GXK84" s="50"/>
      <c r="GXL84" s="51"/>
      <c r="GXM84" s="50"/>
      <c r="GXN84" s="23"/>
      <c r="GXO84" s="50"/>
      <c r="GXP84" s="51"/>
      <c r="GXQ84" s="50"/>
      <c r="GXR84" s="23"/>
      <c r="GXS84" s="50"/>
      <c r="GXT84" s="51"/>
      <c r="GXU84" s="50"/>
      <c r="GXV84" s="23"/>
      <c r="GXW84" s="50"/>
      <c r="GXX84" s="51"/>
      <c r="GXY84" s="50"/>
      <c r="GXZ84" s="23"/>
      <c r="GYA84" s="50"/>
      <c r="GYB84" s="51"/>
      <c r="GYC84" s="50"/>
      <c r="GYD84" s="23"/>
      <c r="GYE84" s="50"/>
      <c r="GYF84" s="51"/>
      <c r="GYG84" s="50"/>
      <c r="GYH84" s="23"/>
      <c r="GYI84" s="50"/>
      <c r="GYJ84" s="51"/>
      <c r="GYK84" s="50"/>
      <c r="GYL84" s="23"/>
      <c r="GYM84" s="50"/>
      <c r="GYN84" s="51"/>
      <c r="GYO84" s="50"/>
      <c r="GYP84" s="23"/>
      <c r="GYQ84" s="50"/>
      <c r="GYR84" s="51"/>
      <c r="GYS84" s="50"/>
      <c r="GYT84" s="23"/>
      <c r="GYU84" s="50"/>
      <c r="GYV84" s="51"/>
      <c r="GYW84" s="50"/>
      <c r="GYX84" s="23"/>
      <c r="GYY84" s="50"/>
      <c r="GYZ84" s="51"/>
      <c r="GZA84" s="50"/>
      <c r="GZB84" s="23"/>
      <c r="GZC84" s="50"/>
      <c r="GZD84" s="51"/>
      <c r="GZE84" s="50"/>
      <c r="GZF84" s="23"/>
      <c r="GZG84" s="50"/>
      <c r="GZH84" s="51"/>
      <c r="GZI84" s="50"/>
      <c r="GZJ84" s="23"/>
      <c r="GZK84" s="50"/>
      <c r="GZL84" s="51"/>
      <c r="GZM84" s="50"/>
      <c r="GZN84" s="23"/>
      <c r="GZO84" s="50"/>
      <c r="GZP84" s="51"/>
      <c r="GZQ84" s="50"/>
      <c r="GZR84" s="23"/>
      <c r="GZS84" s="50"/>
      <c r="GZT84" s="51"/>
      <c r="GZU84" s="50"/>
      <c r="GZV84" s="23"/>
      <c r="GZW84" s="50"/>
      <c r="GZX84" s="51"/>
      <c r="GZY84" s="50"/>
      <c r="GZZ84" s="23"/>
      <c r="HAA84" s="50"/>
      <c r="HAB84" s="51"/>
      <c r="HAC84" s="50"/>
      <c r="HAD84" s="23"/>
      <c r="HAE84" s="50"/>
      <c r="HAF84" s="51"/>
      <c r="HAG84" s="50"/>
      <c r="HAH84" s="23"/>
      <c r="HAI84" s="50"/>
      <c r="HAJ84" s="51"/>
      <c r="HAK84" s="50"/>
      <c r="HAL84" s="23"/>
      <c r="HAM84" s="50"/>
      <c r="HAN84" s="51"/>
      <c r="HAO84" s="50"/>
      <c r="HAP84" s="23"/>
      <c r="HAQ84" s="50"/>
      <c r="HAR84" s="51"/>
      <c r="HAS84" s="50"/>
      <c r="HAT84" s="23"/>
      <c r="HAU84" s="50"/>
      <c r="HAV84" s="51"/>
      <c r="HAW84" s="50"/>
      <c r="HAX84" s="23"/>
      <c r="HAY84" s="50"/>
      <c r="HAZ84" s="51"/>
      <c r="HBA84" s="50"/>
      <c r="HBB84" s="23"/>
      <c r="HBC84" s="50"/>
      <c r="HBD84" s="51"/>
      <c r="HBE84" s="50"/>
      <c r="HBF84" s="23"/>
      <c r="HBG84" s="50"/>
      <c r="HBH84" s="51"/>
      <c r="HBI84" s="50"/>
      <c r="HBJ84" s="23"/>
      <c r="HBK84" s="50"/>
      <c r="HBL84" s="51"/>
      <c r="HBM84" s="50"/>
      <c r="HBN84" s="23"/>
      <c r="HBO84" s="50"/>
      <c r="HBP84" s="51"/>
      <c r="HBQ84" s="50"/>
      <c r="HBR84" s="23"/>
      <c r="HBS84" s="50"/>
      <c r="HBT84" s="51"/>
      <c r="HBU84" s="50"/>
      <c r="HBV84" s="23"/>
      <c r="HBW84" s="50"/>
      <c r="HBX84" s="51"/>
      <c r="HBY84" s="50"/>
      <c r="HBZ84" s="23"/>
      <c r="HCA84" s="50"/>
      <c r="HCB84" s="51"/>
      <c r="HCC84" s="50"/>
      <c r="HCD84" s="23"/>
      <c r="HCE84" s="50"/>
      <c r="HCF84" s="51"/>
      <c r="HCG84" s="50"/>
      <c r="HCH84" s="23"/>
      <c r="HCI84" s="50"/>
      <c r="HCJ84" s="51"/>
      <c r="HCK84" s="50"/>
      <c r="HCL84" s="23"/>
      <c r="HCM84" s="50"/>
      <c r="HCN84" s="51"/>
      <c r="HCO84" s="50"/>
      <c r="HCP84" s="23"/>
      <c r="HCQ84" s="50"/>
      <c r="HCR84" s="51"/>
      <c r="HCS84" s="50"/>
      <c r="HCT84" s="23"/>
      <c r="HCU84" s="50"/>
      <c r="HCV84" s="51"/>
      <c r="HCW84" s="50"/>
      <c r="HCX84" s="23"/>
      <c r="HCY84" s="50"/>
      <c r="HCZ84" s="51"/>
      <c r="HDA84" s="50"/>
      <c r="HDB84" s="23"/>
      <c r="HDC84" s="50"/>
      <c r="HDD84" s="51"/>
      <c r="HDE84" s="50"/>
      <c r="HDF84" s="23"/>
      <c r="HDG84" s="50"/>
      <c r="HDH84" s="51"/>
      <c r="HDI84" s="50"/>
      <c r="HDJ84" s="23"/>
      <c r="HDK84" s="50"/>
      <c r="HDL84" s="51"/>
      <c r="HDM84" s="50"/>
      <c r="HDN84" s="23"/>
      <c r="HDO84" s="50"/>
      <c r="HDP84" s="51"/>
      <c r="HDQ84" s="50"/>
      <c r="HDR84" s="23"/>
      <c r="HDS84" s="50"/>
      <c r="HDT84" s="51"/>
      <c r="HDU84" s="50"/>
      <c r="HDV84" s="23"/>
      <c r="HDW84" s="50"/>
      <c r="HDX84" s="51"/>
      <c r="HDY84" s="50"/>
      <c r="HDZ84" s="23"/>
      <c r="HEA84" s="50"/>
      <c r="HEB84" s="51"/>
      <c r="HEC84" s="50"/>
      <c r="HED84" s="23"/>
      <c r="HEE84" s="50"/>
      <c r="HEF84" s="51"/>
      <c r="HEG84" s="50"/>
      <c r="HEH84" s="23"/>
      <c r="HEI84" s="50"/>
      <c r="HEJ84" s="51"/>
      <c r="HEK84" s="50"/>
      <c r="HEL84" s="23"/>
      <c r="HEM84" s="50"/>
      <c r="HEN84" s="51"/>
      <c r="HEO84" s="50"/>
      <c r="HEP84" s="23"/>
      <c r="HEQ84" s="50"/>
      <c r="HER84" s="51"/>
      <c r="HES84" s="50"/>
      <c r="HET84" s="23"/>
      <c r="HEU84" s="50"/>
      <c r="HEV84" s="51"/>
      <c r="HEW84" s="50"/>
      <c r="HEX84" s="23"/>
      <c r="HEY84" s="50"/>
      <c r="HEZ84" s="51"/>
      <c r="HFA84" s="50"/>
      <c r="HFB84" s="23"/>
      <c r="HFC84" s="50"/>
      <c r="HFD84" s="51"/>
      <c r="HFE84" s="50"/>
      <c r="HFF84" s="23"/>
      <c r="HFG84" s="50"/>
      <c r="HFH84" s="51"/>
      <c r="HFI84" s="50"/>
      <c r="HFJ84" s="23"/>
      <c r="HFK84" s="50"/>
      <c r="HFL84" s="51"/>
      <c r="HFM84" s="50"/>
      <c r="HFN84" s="23"/>
      <c r="HFO84" s="50"/>
      <c r="HFP84" s="51"/>
      <c r="HFQ84" s="50"/>
      <c r="HFR84" s="23"/>
      <c r="HFS84" s="50"/>
      <c r="HFT84" s="51"/>
      <c r="HFU84" s="50"/>
      <c r="HFV84" s="23"/>
      <c r="HFW84" s="50"/>
      <c r="HFX84" s="51"/>
      <c r="HFY84" s="50"/>
      <c r="HFZ84" s="23"/>
      <c r="HGA84" s="50"/>
      <c r="HGB84" s="51"/>
      <c r="HGC84" s="50"/>
      <c r="HGD84" s="23"/>
      <c r="HGE84" s="50"/>
      <c r="HGF84" s="51"/>
      <c r="HGG84" s="50"/>
      <c r="HGH84" s="23"/>
      <c r="HGI84" s="50"/>
      <c r="HGJ84" s="51"/>
      <c r="HGK84" s="50"/>
      <c r="HGL84" s="23"/>
      <c r="HGM84" s="50"/>
      <c r="HGN84" s="51"/>
      <c r="HGO84" s="50"/>
      <c r="HGP84" s="23"/>
      <c r="HGQ84" s="50"/>
      <c r="HGR84" s="51"/>
      <c r="HGS84" s="50"/>
      <c r="HGT84" s="23"/>
      <c r="HGU84" s="50"/>
      <c r="HGV84" s="51"/>
      <c r="HGW84" s="50"/>
      <c r="HGX84" s="23"/>
      <c r="HGY84" s="50"/>
      <c r="HGZ84" s="51"/>
      <c r="HHA84" s="50"/>
      <c r="HHB84" s="23"/>
      <c r="HHC84" s="50"/>
      <c r="HHD84" s="51"/>
      <c r="HHE84" s="50"/>
      <c r="HHF84" s="23"/>
      <c r="HHG84" s="50"/>
      <c r="HHH84" s="51"/>
      <c r="HHI84" s="50"/>
      <c r="HHJ84" s="23"/>
      <c r="HHK84" s="50"/>
      <c r="HHL84" s="51"/>
      <c r="HHM84" s="50"/>
      <c r="HHN84" s="23"/>
      <c r="HHO84" s="50"/>
      <c r="HHP84" s="51"/>
      <c r="HHQ84" s="50"/>
      <c r="HHR84" s="23"/>
      <c r="HHS84" s="50"/>
      <c r="HHT84" s="51"/>
      <c r="HHU84" s="50"/>
      <c r="HHV84" s="23"/>
      <c r="HHW84" s="50"/>
      <c r="HHX84" s="51"/>
      <c r="HHY84" s="50"/>
      <c r="HHZ84" s="23"/>
      <c r="HIA84" s="50"/>
      <c r="HIB84" s="51"/>
      <c r="HIC84" s="50"/>
      <c r="HID84" s="23"/>
      <c r="HIE84" s="50"/>
      <c r="HIF84" s="51"/>
      <c r="HIG84" s="50"/>
      <c r="HIH84" s="23"/>
      <c r="HII84" s="50"/>
      <c r="HIJ84" s="51"/>
      <c r="HIK84" s="50"/>
      <c r="HIL84" s="23"/>
      <c r="HIM84" s="50"/>
      <c r="HIN84" s="51"/>
      <c r="HIO84" s="50"/>
      <c r="HIP84" s="23"/>
      <c r="HIQ84" s="50"/>
      <c r="HIR84" s="51"/>
      <c r="HIS84" s="50"/>
      <c r="HIT84" s="23"/>
      <c r="HIU84" s="50"/>
      <c r="HIV84" s="51"/>
      <c r="HIW84" s="50"/>
      <c r="HIX84" s="23"/>
      <c r="HIY84" s="50"/>
      <c r="HIZ84" s="51"/>
      <c r="HJA84" s="50"/>
      <c r="HJB84" s="23"/>
      <c r="HJC84" s="50"/>
      <c r="HJD84" s="51"/>
      <c r="HJE84" s="50"/>
      <c r="HJF84" s="23"/>
      <c r="HJG84" s="50"/>
      <c r="HJH84" s="51"/>
      <c r="HJI84" s="50"/>
      <c r="HJJ84" s="23"/>
      <c r="HJK84" s="50"/>
      <c r="HJL84" s="51"/>
      <c r="HJM84" s="50"/>
      <c r="HJN84" s="23"/>
      <c r="HJO84" s="50"/>
      <c r="HJP84" s="51"/>
      <c r="HJQ84" s="50"/>
      <c r="HJR84" s="23"/>
      <c r="HJS84" s="50"/>
      <c r="HJT84" s="51"/>
      <c r="HJU84" s="50"/>
      <c r="HJV84" s="23"/>
      <c r="HJW84" s="50"/>
      <c r="HJX84" s="51"/>
      <c r="HJY84" s="50"/>
      <c r="HJZ84" s="23"/>
      <c r="HKA84" s="50"/>
      <c r="HKB84" s="51"/>
      <c r="HKC84" s="50"/>
      <c r="HKD84" s="23"/>
      <c r="HKE84" s="50"/>
      <c r="HKF84" s="51"/>
      <c r="HKG84" s="50"/>
      <c r="HKH84" s="23"/>
      <c r="HKI84" s="50"/>
      <c r="HKJ84" s="51"/>
      <c r="HKK84" s="50"/>
      <c r="HKL84" s="23"/>
      <c r="HKM84" s="50"/>
      <c r="HKN84" s="51"/>
      <c r="HKO84" s="50"/>
      <c r="HKP84" s="23"/>
      <c r="HKQ84" s="50"/>
      <c r="HKR84" s="51"/>
      <c r="HKS84" s="50"/>
      <c r="HKT84" s="23"/>
      <c r="HKU84" s="50"/>
      <c r="HKV84" s="51"/>
      <c r="HKW84" s="50"/>
      <c r="HKX84" s="23"/>
      <c r="HKY84" s="50"/>
      <c r="HKZ84" s="51"/>
      <c r="HLA84" s="50"/>
      <c r="HLB84" s="23"/>
      <c r="HLC84" s="50"/>
      <c r="HLD84" s="51"/>
      <c r="HLE84" s="50"/>
      <c r="HLF84" s="23"/>
      <c r="HLG84" s="50"/>
      <c r="HLH84" s="51"/>
      <c r="HLI84" s="50"/>
      <c r="HLJ84" s="23"/>
      <c r="HLK84" s="50"/>
      <c r="HLL84" s="51"/>
      <c r="HLM84" s="50"/>
      <c r="HLN84" s="23"/>
      <c r="HLO84" s="50"/>
      <c r="HLP84" s="51"/>
      <c r="HLQ84" s="50"/>
      <c r="HLR84" s="23"/>
      <c r="HLS84" s="50"/>
      <c r="HLT84" s="51"/>
      <c r="HLU84" s="50"/>
      <c r="HLV84" s="23"/>
      <c r="HLW84" s="50"/>
      <c r="HLX84" s="51"/>
      <c r="HLY84" s="50"/>
      <c r="HLZ84" s="23"/>
      <c r="HMA84" s="50"/>
      <c r="HMB84" s="51"/>
      <c r="HMC84" s="50"/>
      <c r="HMD84" s="23"/>
      <c r="HME84" s="50"/>
      <c r="HMF84" s="51"/>
      <c r="HMG84" s="50"/>
      <c r="HMH84" s="23"/>
      <c r="HMI84" s="50"/>
      <c r="HMJ84" s="51"/>
      <c r="HMK84" s="50"/>
      <c r="HML84" s="23"/>
      <c r="HMM84" s="50"/>
      <c r="HMN84" s="51"/>
      <c r="HMO84" s="50"/>
      <c r="HMP84" s="23"/>
      <c r="HMQ84" s="50"/>
      <c r="HMR84" s="51"/>
      <c r="HMS84" s="50"/>
      <c r="HMT84" s="23"/>
      <c r="HMU84" s="50"/>
      <c r="HMV84" s="51"/>
      <c r="HMW84" s="50"/>
      <c r="HMX84" s="23"/>
      <c r="HMY84" s="50"/>
      <c r="HMZ84" s="51"/>
      <c r="HNA84" s="50"/>
      <c r="HNB84" s="23"/>
      <c r="HNC84" s="50"/>
      <c r="HND84" s="51"/>
      <c r="HNE84" s="50"/>
      <c r="HNF84" s="23"/>
      <c r="HNG84" s="50"/>
      <c r="HNH84" s="51"/>
      <c r="HNI84" s="50"/>
      <c r="HNJ84" s="23"/>
      <c r="HNK84" s="50"/>
      <c r="HNL84" s="51"/>
      <c r="HNM84" s="50"/>
      <c r="HNN84" s="23"/>
      <c r="HNO84" s="50"/>
      <c r="HNP84" s="51"/>
      <c r="HNQ84" s="50"/>
      <c r="HNR84" s="23"/>
      <c r="HNS84" s="50"/>
      <c r="HNT84" s="51"/>
      <c r="HNU84" s="50"/>
      <c r="HNV84" s="23"/>
      <c r="HNW84" s="50"/>
      <c r="HNX84" s="51"/>
      <c r="HNY84" s="50"/>
      <c r="HNZ84" s="23"/>
      <c r="HOA84" s="50"/>
      <c r="HOB84" s="51"/>
      <c r="HOC84" s="50"/>
      <c r="HOD84" s="23"/>
      <c r="HOE84" s="50"/>
      <c r="HOF84" s="51"/>
      <c r="HOG84" s="50"/>
      <c r="HOH84" s="23"/>
      <c r="HOI84" s="50"/>
      <c r="HOJ84" s="51"/>
      <c r="HOK84" s="50"/>
      <c r="HOL84" s="23"/>
      <c r="HOM84" s="50"/>
      <c r="HON84" s="51"/>
      <c r="HOO84" s="50"/>
      <c r="HOP84" s="23"/>
      <c r="HOQ84" s="50"/>
      <c r="HOR84" s="51"/>
      <c r="HOS84" s="50"/>
      <c r="HOT84" s="23"/>
      <c r="HOU84" s="50"/>
      <c r="HOV84" s="51"/>
      <c r="HOW84" s="50"/>
      <c r="HOX84" s="23"/>
      <c r="HOY84" s="50"/>
      <c r="HOZ84" s="51"/>
      <c r="HPA84" s="50"/>
      <c r="HPB84" s="23"/>
      <c r="HPC84" s="50"/>
      <c r="HPD84" s="51"/>
      <c r="HPE84" s="50"/>
      <c r="HPF84" s="23"/>
      <c r="HPG84" s="50"/>
      <c r="HPH84" s="51"/>
      <c r="HPI84" s="50"/>
      <c r="HPJ84" s="23"/>
      <c r="HPK84" s="50"/>
      <c r="HPL84" s="51"/>
      <c r="HPM84" s="50"/>
      <c r="HPN84" s="23"/>
      <c r="HPO84" s="50"/>
      <c r="HPP84" s="51"/>
      <c r="HPQ84" s="50"/>
      <c r="HPR84" s="23"/>
      <c r="HPS84" s="50"/>
      <c r="HPT84" s="51"/>
      <c r="HPU84" s="50"/>
      <c r="HPV84" s="23"/>
      <c r="HPW84" s="50"/>
      <c r="HPX84" s="51"/>
      <c r="HPY84" s="50"/>
      <c r="HPZ84" s="23"/>
      <c r="HQA84" s="50"/>
      <c r="HQB84" s="51"/>
      <c r="HQC84" s="50"/>
      <c r="HQD84" s="23"/>
      <c r="HQE84" s="50"/>
      <c r="HQF84" s="51"/>
      <c r="HQG84" s="50"/>
      <c r="HQH84" s="23"/>
      <c r="HQI84" s="50"/>
      <c r="HQJ84" s="51"/>
      <c r="HQK84" s="50"/>
      <c r="HQL84" s="23"/>
      <c r="HQM84" s="50"/>
      <c r="HQN84" s="51"/>
      <c r="HQO84" s="50"/>
      <c r="HQP84" s="23"/>
      <c r="HQQ84" s="50"/>
      <c r="HQR84" s="51"/>
      <c r="HQS84" s="50"/>
      <c r="HQT84" s="23"/>
      <c r="HQU84" s="50"/>
      <c r="HQV84" s="51"/>
      <c r="HQW84" s="50"/>
      <c r="HQX84" s="23"/>
      <c r="HQY84" s="50"/>
      <c r="HQZ84" s="51"/>
      <c r="HRA84" s="50"/>
      <c r="HRB84" s="23"/>
      <c r="HRC84" s="50"/>
      <c r="HRD84" s="51"/>
      <c r="HRE84" s="50"/>
      <c r="HRF84" s="23"/>
      <c r="HRG84" s="50"/>
      <c r="HRH84" s="51"/>
      <c r="HRI84" s="50"/>
      <c r="HRJ84" s="23"/>
      <c r="HRK84" s="50"/>
      <c r="HRL84" s="51"/>
      <c r="HRM84" s="50"/>
      <c r="HRN84" s="23"/>
      <c r="HRO84" s="50"/>
      <c r="HRP84" s="51"/>
      <c r="HRQ84" s="50"/>
      <c r="HRR84" s="23"/>
      <c r="HRS84" s="50"/>
      <c r="HRT84" s="51"/>
      <c r="HRU84" s="50"/>
      <c r="HRV84" s="23"/>
      <c r="HRW84" s="50"/>
      <c r="HRX84" s="51"/>
      <c r="HRY84" s="50"/>
      <c r="HRZ84" s="23"/>
      <c r="HSA84" s="50"/>
      <c r="HSB84" s="51"/>
      <c r="HSC84" s="50"/>
      <c r="HSD84" s="23"/>
      <c r="HSE84" s="50"/>
      <c r="HSF84" s="51"/>
      <c r="HSG84" s="50"/>
      <c r="HSH84" s="23"/>
      <c r="HSI84" s="50"/>
      <c r="HSJ84" s="51"/>
      <c r="HSK84" s="50"/>
      <c r="HSL84" s="23"/>
      <c r="HSM84" s="50"/>
      <c r="HSN84" s="51"/>
      <c r="HSO84" s="50"/>
      <c r="HSP84" s="23"/>
      <c r="HSQ84" s="50"/>
      <c r="HSR84" s="51"/>
      <c r="HSS84" s="50"/>
      <c r="HST84" s="23"/>
      <c r="HSU84" s="50"/>
      <c r="HSV84" s="51"/>
      <c r="HSW84" s="50"/>
      <c r="HSX84" s="23"/>
      <c r="HSY84" s="50"/>
      <c r="HSZ84" s="51"/>
      <c r="HTA84" s="50"/>
      <c r="HTB84" s="23"/>
      <c r="HTC84" s="50"/>
      <c r="HTD84" s="51"/>
      <c r="HTE84" s="50"/>
      <c r="HTF84" s="23"/>
      <c r="HTG84" s="50"/>
      <c r="HTH84" s="51"/>
      <c r="HTI84" s="50"/>
      <c r="HTJ84" s="23"/>
      <c r="HTK84" s="50"/>
      <c r="HTL84" s="51"/>
      <c r="HTM84" s="50"/>
      <c r="HTN84" s="23"/>
      <c r="HTO84" s="50"/>
      <c r="HTP84" s="51"/>
      <c r="HTQ84" s="50"/>
      <c r="HTR84" s="23"/>
      <c r="HTS84" s="50"/>
      <c r="HTT84" s="51"/>
      <c r="HTU84" s="50"/>
      <c r="HTV84" s="23"/>
      <c r="HTW84" s="50"/>
      <c r="HTX84" s="51"/>
      <c r="HTY84" s="50"/>
      <c r="HTZ84" s="23"/>
      <c r="HUA84" s="50"/>
      <c r="HUB84" s="51"/>
      <c r="HUC84" s="50"/>
      <c r="HUD84" s="23"/>
      <c r="HUE84" s="50"/>
      <c r="HUF84" s="51"/>
      <c r="HUG84" s="50"/>
      <c r="HUH84" s="23"/>
      <c r="HUI84" s="50"/>
      <c r="HUJ84" s="51"/>
      <c r="HUK84" s="50"/>
      <c r="HUL84" s="23"/>
      <c r="HUM84" s="50"/>
      <c r="HUN84" s="51"/>
      <c r="HUO84" s="50"/>
      <c r="HUP84" s="23"/>
      <c r="HUQ84" s="50"/>
      <c r="HUR84" s="51"/>
      <c r="HUS84" s="50"/>
      <c r="HUT84" s="23"/>
      <c r="HUU84" s="50"/>
      <c r="HUV84" s="51"/>
      <c r="HUW84" s="50"/>
      <c r="HUX84" s="23"/>
      <c r="HUY84" s="50"/>
      <c r="HUZ84" s="51"/>
      <c r="HVA84" s="50"/>
      <c r="HVB84" s="23"/>
      <c r="HVC84" s="50"/>
      <c r="HVD84" s="51"/>
      <c r="HVE84" s="50"/>
      <c r="HVF84" s="23"/>
      <c r="HVG84" s="50"/>
      <c r="HVH84" s="51"/>
      <c r="HVI84" s="50"/>
      <c r="HVJ84" s="23"/>
      <c r="HVK84" s="50"/>
      <c r="HVL84" s="51"/>
      <c r="HVM84" s="50"/>
      <c r="HVN84" s="23"/>
      <c r="HVO84" s="50"/>
      <c r="HVP84" s="51"/>
      <c r="HVQ84" s="50"/>
      <c r="HVR84" s="23"/>
      <c r="HVS84" s="50"/>
      <c r="HVT84" s="51"/>
      <c r="HVU84" s="50"/>
      <c r="HVV84" s="23"/>
      <c r="HVW84" s="50"/>
      <c r="HVX84" s="51"/>
      <c r="HVY84" s="50"/>
      <c r="HVZ84" s="23"/>
      <c r="HWA84" s="50"/>
      <c r="HWB84" s="51"/>
      <c r="HWC84" s="50"/>
      <c r="HWD84" s="23"/>
      <c r="HWE84" s="50"/>
      <c r="HWF84" s="51"/>
      <c r="HWG84" s="50"/>
      <c r="HWH84" s="23"/>
      <c r="HWI84" s="50"/>
      <c r="HWJ84" s="51"/>
      <c r="HWK84" s="50"/>
      <c r="HWL84" s="23"/>
      <c r="HWM84" s="50"/>
      <c r="HWN84" s="51"/>
      <c r="HWO84" s="50"/>
      <c r="HWP84" s="23"/>
      <c r="HWQ84" s="50"/>
      <c r="HWR84" s="51"/>
      <c r="HWS84" s="50"/>
      <c r="HWT84" s="23"/>
      <c r="HWU84" s="50"/>
      <c r="HWV84" s="51"/>
      <c r="HWW84" s="50"/>
      <c r="HWX84" s="23"/>
      <c r="HWY84" s="50"/>
      <c r="HWZ84" s="51"/>
      <c r="HXA84" s="50"/>
      <c r="HXB84" s="23"/>
      <c r="HXC84" s="50"/>
      <c r="HXD84" s="51"/>
      <c r="HXE84" s="50"/>
      <c r="HXF84" s="23"/>
      <c r="HXG84" s="50"/>
      <c r="HXH84" s="51"/>
      <c r="HXI84" s="50"/>
      <c r="HXJ84" s="23"/>
      <c r="HXK84" s="50"/>
      <c r="HXL84" s="51"/>
      <c r="HXM84" s="50"/>
      <c r="HXN84" s="23"/>
      <c r="HXO84" s="50"/>
      <c r="HXP84" s="51"/>
      <c r="HXQ84" s="50"/>
      <c r="HXR84" s="23"/>
      <c r="HXS84" s="50"/>
      <c r="HXT84" s="51"/>
      <c r="HXU84" s="50"/>
      <c r="HXV84" s="23"/>
      <c r="HXW84" s="50"/>
      <c r="HXX84" s="51"/>
      <c r="HXY84" s="50"/>
      <c r="HXZ84" s="23"/>
      <c r="HYA84" s="50"/>
      <c r="HYB84" s="51"/>
      <c r="HYC84" s="50"/>
      <c r="HYD84" s="23"/>
      <c r="HYE84" s="50"/>
      <c r="HYF84" s="51"/>
      <c r="HYG84" s="50"/>
      <c r="HYH84" s="23"/>
      <c r="HYI84" s="50"/>
      <c r="HYJ84" s="51"/>
      <c r="HYK84" s="50"/>
      <c r="HYL84" s="23"/>
      <c r="HYM84" s="50"/>
      <c r="HYN84" s="51"/>
      <c r="HYO84" s="50"/>
      <c r="HYP84" s="23"/>
      <c r="HYQ84" s="50"/>
      <c r="HYR84" s="51"/>
      <c r="HYS84" s="50"/>
      <c r="HYT84" s="23"/>
      <c r="HYU84" s="50"/>
      <c r="HYV84" s="51"/>
      <c r="HYW84" s="50"/>
      <c r="HYX84" s="23"/>
      <c r="HYY84" s="50"/>
      <c r="HYZ84" s="51"/>
      <c r="HZA84" s="50"/>
      <c r="HZB84" s="23"/>
      <c r="HZC84" s="50"/>
      <c r="HZD84" s="51"/>
      <c r="HZE84" s="50"/>
      <c r="HZF84" s="23"/>
      <c r="HZG84" s="50"/>
      <c r="HZH84" s="51"/>
      <c r="HZI84" s="50"/>
      <c r="HZJ84" s="23"/>
      <c r="HZK84" s="50"/>
      <c r="HZL84" s="51"/>
      <c r="HZM84" s="50"/>
      <c r="HZN84" s="23"/>
      <c r="HZO84" s="50"/>
      <c r="HZP84" s="51"/>
      <c r="HZQ84" s="50"/>
      <c r="HZR84" s="23"/>
      <c r="HZS84" s="50"/>
      <c r="HZT84" s="51"/>
      <c r="HZU84" s="50"/>
      <c r="HZV84" s="23"/>
      <c r="HZW84" s="50"/>
      <c r="HZX84" s="51"/>
      <c r="HZY84" s="50"/>
      <c r="HZZ84" s="23"/>
      <c r="IAA84" s="50"/>
      <c r="IAB84" s="51"/>
      <c r="IAC84" s="50"/>
      <c r="IAD84" s="23"/>
      <c r="IAE84" s="50"/>
      <c r="IAF84" s="51"/>
      <c r="IAG84" s="50"/>
      <c r="IAH84" s="23"/>
      <c r="IAI84" s="50"/>
      <c r="IAJ84" s="51"/>
      <c r="IAK84" s="50"/>
      <c r="IAL84" s="23"/>
      <c r="IAM84" s="50"/>
      <c r="IAN84" s="51"/>
      <c r="IAO84" s="50"/>
      <c r="IAP84" s="23"/>
      <c r="IAQ84" s="50"/>
      <c r="IAR84" s="51"/>
      <c r="IAS84" s="50"/>
      <c r="IAT84" s="23"/>
      <c r="IAU84" s="50"/>
      <c r="IAV84" s="51"/>
      <c r="IAW84" s="50"/>
      <c r="IAX84" s="23"/>
      <c r="IAY84" s="50"/>
      <c r="IAZ84" s="51"/>
      <c r="IBA84" s="50"/>
      <c r="IBB84" s="23"/>
      <c r="IBC84" s="50"/>
      <c r="IBD84" s="51"/>
      <c r="IBE84" s="50"/>
      <c r="IBF84" s="23"/>
      <c r="IBG84" s="50"/>
      <c r="IBH84" s="51"/>
      <c r="IBI84" s="50"/>
      <c r="IBJ84" s="23"/>
      <c r="IBK84" s="50"/>
      <c r="IBL84" s="51"/>
      <c r="IBM84" s="50"/>
      <c r="IBN84" s="23"/>
      <c r="IBO84" s="50"/>
      <c r="IBP84" s="51"/>
      <c r="IBQ84" s="50"/>
      <c r="IBR84" s="23"/>
      <c r="IBS84" s="50"/>
      <c r="IBT84" s="51"/>
      <c r="IBU84" s="50"/>
      <c r="IBV84" s="23"/>
      <c r="IBW84" s="50"/>
      <c r="IBX84" s="51"/>
      <c r="IBY84" s="50"/>
      <c r="IBZ84" s="23"/>
      <c r="ICA84" s="50"/>
      <c r="ICB84" s="51"/>
      <c r="ICC84" s="50"/>
      <c r="ICD84" s="23"/>
      <c r="ICE84" s="50"/>
      <c r="ICF84" s="51"/>
      <c r="ICG84" s="50"/>
      <c r="ICH84" s="23"/>
      <c r="ICI84" s="50"/>
      <c r="ICJ84" s="51"/>
      <c r="ICK84" s="50"/>
      <c r="ICL84" s="23"/>
      <c r="ICM84" s="50"/>
      <c r="ICN84" s="51"/>
      <c r="ICO84" s="50"/>
      <c r="ICP84" s="23"/>
      <c r="ICQ84" s="50"/>
      <c r="ICR84" s="51"/>
      <c r="ICS84" s="50"/>
      <c r="ICT84" s="23"/>
      <c r="ICU84" s="50"/>
      <c r="ICV84" s="51"/>
      <c r="ICW84" s="50"/>
      <c r="ICX84" s="23"/>
      <c r="ICY84" s="50"/>
      <c r="ICZ84" s="51"/>
      <c r="IDA84" s="50"/>
      <c r="IDB84" s="23"/>
      <c r="IDC84" s="50"/>
      <c r="IDD84" s="51"/>
      <c r="IDE84" s="50"/>
      <c r="IDF84" s="23"/>
      <c r="IDG84" s="50"/>
      <c r="IDH84" s="51"/>
      <c r="IDI84" s="50"/>
      <c r="IDJ84" s="23"/>
      <c r="IDK84" s="50"/>
      <c r="IDL84" s="51"/>
      <c r="IDM84" s="50"/>
      <c r="IDN84" s="23"/>
      <c r="IDO84" s="50"/>
      <c r="IDP84" s="51"/>
      <c r="IDQ84" s="50"/>
      <c r="IDR84" s="23"/>
      <c r="IDS84" s="50"/>
      <c r="IDT84" s="51"/>
      <c r="IDU84" s="50"/>
      <c r="IDV84" s="23"/>
      <c r="IDW84" s="50"/>
      <c r="IDX84" s="51"/>
      <c r="IDY84" s="50"/>
      <c r="IDZ84" s="23"/>
      <c r="IEA84" s="50"/>
      <c r="IEB84" s="51"/>
      <c r="IEC84" s="50"/>
      <c r="IED84" s="23"/>
      <c r="IEE84" s="50"/>
      <c r="IEF84" s="51"/>
      <c r="IEG84" s="50"/>
      <c r="IEH84" s="23"/>
      <c r="IEI84" s="50"/>
      <c r="IEJ84" s="51"/>
      <c r="IEK84" s="50"/>
      <c r="IEL84" s="23"/>
      <c r="IEM84" s="50"/>
      <c r="IEN84" s="51"/>
      <c r="IEO84" s="50"/>
      <c r="IEP84" s="23"/>
      <c r="IEQ84" s="50"/>
      <c r="IER84" s="51"/>
      <c r="IES84" s="50"/>
      <c r="IET84" s="23"/>
      <c r="IEU84" s="50"/>
      <c r="IEV84" s="51"/>
      <c r="IEW84" s="50"/>
      <c r="IEX84" s="23"/>
      <c r="IEY84" s="50"/>
      <c r="IEZ84" s="51"/>
      <c r="IFA84" s="50"/>
      <c r="IFB84" s="23"/>
      <c r="IFC84" s="50"/>
      <c r="IFD84" s="51"/>
      <c r="IFE84" s="50"/>
      <c r="IFF84" s="23"/>
      <c r="IFG84" s="50"/>
      <c r="IFH84" s="51"/>
      <c r="IFI84" s="50"/>
      <c r="IFJ84" s="23"/>
      <c r="IFK84" s="50"/>
      <c r="IFL84" s="51"/>
      <c r="IFM84" s="50"/>
      <c r="IFN84" s="23"/>
      <c r="IFO84" s="50"/>
      <c r="IFP84" s="51"/>
      <c r="IFQ84" s="50"/>
      <c r="IFR84" s="23"/>
      <c r="IFS84" s="50"/>
      <c r="IFT84" s="51"/>
      <c r="IFU84" s="50"/>
      <c r="IFV84" s="23"/>
      <c r="IFW84" s="50"/>
      <c r="IFX84" s="51"/>
      <c r="IFY84" s="50"/>
      <c r="IFZ84" s="23"/>
      <c r="IGA84" s="50"/>
      <c r="IGB84" s="51"/>
      <c r="IGC84" s="50"/>
      <c r="IGD84" s="23"/>
      <c r="IGE84" s="50"/>
      <c r="IGF84" s="51"/>
      <c r="IGG84" s="50"/>
      <c r="IGH84" s="23"/>
      <c r="IGI84" s="50"/>
      <c r="IGJ84" s="51"/>
      <c r="IGK84" s="50"/>
      <c r="IGL84" s="23"/>
      <c r="IGM84" s="50"/>
      <c r="IGN84" s="51"/>
      <c r="IGO84" s="50"/>
      <c r="IGP84" s="23"/>
      <c r="IGQ84" s="50"/>
      <c r="IGR84" s="51"/>
      <c r="IGS84" s="50"/>
      <c r="IGT84" s="23"/>
      <c r="IGU84" s="50"/>
      <c r="IGV84" s="51"/>
      <c r="IGW84" s="50"/>
      <c r="IGX84" s="23"/>
      <c r="IGY84" s="50"/>
      <c r="IGZ84" s="51"/>
      <c r="IHA84" s="50"/>
      <c r="IHB84" s="23"/>
      <c r="IHC84" s="50"/>
      <c r="IHD84" s="51"/>
      <c r="IHE84" s="50"/>
      <c r="IHF84" s="23"/>
      <c r="IHG84" s="50"/>
      <c r="IHH84" s="51"/>
      <c r="IHI84" s="50"/>
      <c r="IHJ84" s="23"/>
      <c r="IHK84" s="50"/>
      <c r="IHL84" s="51"/>
      <c r="IHM84" s="50"/>
      <c r="IHN84" s="23"/>
      <c r="IHO84" s="50"/>
      <c r="IHP84" s="51"/>
      <c r="IHQ84" s="50"/>
      <c r="IHR84" s="23"/>
      <c r="IHS84" s="50"/>
      <c r="IHT84" s="51"/>
      <c r="IHU84" s="50"/>
      <c r="IHV84" s="23"/>
      <c r="IHW84" s="50"/>
      <c r="IHX84" s="51"/>
      <c r="IHY84" s="50"/>
      <c r="IHZ84" s="23"/>
      <c r="IIA84" s="50"/>
      <c r="IIB84" s="51"/>
      <c r="IIC84" s="50"/>
      <c r="IID84" s="23"/>
      <c r="IIE84" s="50"/>
      <c r="IIF84" s="51"/>
      <c r="IIG84" s="50"/>
      <c r="IIH84" s="23"/>
      <c r="III84" s="50"/>
      <c r="IIJ84" s="51"/>
      <c r="IIK84" s="50"/>
      <c r="IIL84" s="23"/>
      <c r="IIM84" s="50"/>
      <c r="IIN84" s="51"/>
      <c r="IIO84" s="50"/>
      <c r="IIP84" s="23"/>
      <c r="IIQ84" s="50"/>
      <c r="IIR84" s="51"/>
      <c r="IIS84" s="50"/>
      <c r="IIT84" s="23"/>
      <c r="IIU84" s="50"/>
      <c r="IIV84" s="51"/>
      <c r="IIW84" s="50"/>
      <c r="IIX84" s="23"/>
      <c r="IIY84" s="50"/>
      <c r="IIZ84" s="51"/>
      <c r="IJA84" s="50"/>
      <c r="IJB84" s="23"/>
      <c r="IJC84" s="50"/>
      <c r="IJD84" s="51"/>
      <c r="IJE84" s="50"/>
      <c r="IJF84" s="23"/>
      <c r="IJG84" s="50"/>
      <c r="IJH84" s="51"/>
      <c r="IJI84" s="50"/>
      <c r="IJJ84" s="23"/>
      <c r="IJK84" s="50"/>
      <c r="IJL84" s="51"/>
      <c r="IJM84" s="50"/>
      <c r="IJN84" s="23"/>
      <c r="IJO84" s="50"/>
      <c r="IJP84" s="51"/>
      <c r="IJQ84" s="50"/>
      <c r="IJR84" s="23"/>
      <c r="IJS84" s="50"/>
      <c r="IJT84" s="51"/>
      <c r="IJU84" s="50"/>
      <c r="IJV84" s="23"/>
      <c r="IJW84" s="50"/>
      <c r="IJX84" s="51"/>
      <c r="IJY84" s="50"/>
      <c r="IJZ84" s="23"/>
      <c r="IKA84" s="50"/>
      <c r="IKB84" s="51"/>
      <c r="IKC84" s="50"/>
      <c r="IKD84" s="23"/>
      <c r="IKE84" s="50"/>
      <c r="IKF84" s="51"/>
      <c r="IKG84" s="50"/>
      <c r="IKH84" s="23"/>
      <c r="IKI84" s="50"/>
      <c r="IKJ84" s="51"/>
      <c r="IKK84" s="50"/>
      <c r="IKL84" s="23"/>
      <c r="IKM84" s="50"/>
      <c r="IKN84" s="51"/>
      <c r="IKO84" s="50"/>
      <c r="IKP84" s="23"/>
      <c r="IKQ84" s="50"/>
      <c r="IKR84" s="51"/>
      <c r="IKS84" s="50"/>
      <c r="IKT84" s="23"/>
      <c r="IKU84" s="50"/>
      <c r="IKV84" s="51"/>
      <c r="IKW84" s="50"/>
      <c r="IKX84" s="23"/>
      <c r="IKY84" s="50"/>
      <c r="IKZ84" s="51"/>
      <c r="ILA84" s="50"/>
      <c r="ILB84" s="23"/>
      <c r="ILC84" s="50"/>
      <c r="ILD84" s="51"/>
      <c r="ILE84" s="50"/>
      <c r="ILF84" s="23"/>
      <c r="ILG84" s="50"/>
      <c r="ILH84" s="51"/>
      <c r="ILI84" s="50"/>
      <c r="ILJ84" s="23"/>
      <c r="ILK84" s="50"/>
      <c r="ILL84" s="51"/>
      <c r="ILM84" s="50"/>
      <c r="ILN84" s="23"/>
      <c r="ILO84" s="50"/>
      <c r="ILP84" s="51"/>
      <c r="ILQ84" s="50"/>
      <c r="ILR84" s="23"/>
      <c r="ILS84" s="50"/>
      <c r="ILT84" s="51"/>
      <c r="ILU84" s="50"/>
      <c r="ILV84" s="23"/>
      <c r="ILW84" s="50"/>
      <c r="ILX84" s="51"/>
      <c r="ILY84" s="50"/>
      <c r="ILZ84" s="23"/>
      <c r="IMA84" s="50"/>
      <c r="IMB84" s="51"/>
      <c r="IMC84" s="50"/>
      <c r="IMD84" s="23"/>
      <c r="IME84" s="50"/>
      <c r="IMF84" s="51"/>
      <c r="IMG84" s="50"/>
      <c r="IMH84" s="23"/>
      <c r="IMI84" s="50"/>
      <c r="IMJ84" s="51"/>
      <c r="IMK84" s="50"/>
      <c r="IML84" s="23"/>
      <c r="IMM84" s="50"/>
      <c r="IMN84" s="51"/>
      <c r="IMO84" s="50"/>
      <c r="IMP84" s="23"/>
      <c r="IMQ84" s="50"/>
      <c r="IMR84" s="51"/>
      <c r="IMS84" s="50"/>
      <c r="IMT84" s="23"/>
      <c r="IMU84" s="50"/>
      <c r="IMV84" s="51"/>
      <c r="IMW84" s="50"/>
      <c r="IMX84" s="23"/>
      <c r="IMY84" s="50"/>
      <c r="IMZ84" s="51"/>
      <c r="INA84" s="50"/>
      <c r="INB84" s="23"/>
      <c r="INC84" s="50"/>
      <c r="IND84" s="51"/>
      <c r="INE84" s="50"/>
      <c r="INF84" s="23"/>
      <c r="ING84" s="50"/>
      <c r="INH84" s="51"/>
      <c r="INI84" s="50"/>
      <c r="INJ84" s="23"/>
      <c r="INK84" s="50"/>
      <c r="INL84" s="51"/>
      <c r="INM84" s="50"/>
      <c r="INN84" s="23"/>
      <c r="INO84" s="50"/>
      <c r="INP84" s="51"/>
      <c r="INQ84" s="50"/>
      <c r="INR84" s="23"/>
      <c r="INS84" s="50"/>
      <c r="INT84" s="51"/>
      <c r="INU84" s="50"/>
      <c r="INV84" s="23"/>
      <c r="INW84" s="50"/>
      <c r="INX84" s="51"/>
      <c r="INY84" s="50"/>
      <c r="INZ84" s="23"/>
      <c r="IOA84" s="50"/>
      <c r="IOB84" s="51"/>
      <c r="IOC84" s="50"/>
      <c r="IOD84" s="23"/>
      <c r="IOE84" s="50"/>
      <c r="IOF84" s="51"/>
      <c r="IOG84" s="50"/>
      <c r="IOH84" s="23"/>
      <c r="IOI84" s="50"/>
      <c r="IOJ84" s="51"/>
      <c r="IOK84" s="50"/>
      <c r="IOL84" s="23"/>
      <c r="IOM84" s="50"/>
      <c r="ION84" s="51"/>
      <c r="IOO84" s="50"/>
      <c r="IOP84" s="23"/>
      <c r="IOQ84" s="50"/>
      <c r="IOR84" s="51"/>
      <c r="IOS84" s="50"/>
      <c r="IOT84" s="23"/>
      <c r="IOU84" s="50"/>
      <c r="IOV84" s="51"/>
      <c r="IOW84" s="50"/>
      <c r="IOX84" s="23"/>
      <c r="IOY84" s="50"/>
      <c r="IOZ84" s="51"/>
      <c r="IPA84" s="50"/>
      <c r="IPB84" s="23"/>
      <c r="IPC84" s="50"/>
      <c r="IPD84" s="51"/>
      <c r="IPE84" s="50"/>
      <c r="IPF84" s="23"/>
      <c r="IPG84" s="50"/>
      <c r="IPH84" s="51"/>
      <c r="IPI84" s="50"/>
      <c r="IPJ84" s="23"/>
      <c r="IPK84" s="50"/>
      <c r="IPL84" s="51"/>
      <c r="IPM84" s="50"/>
      <c r="IPN84" s="23"/>
      <c r="IPO84" s="50"/>
      <c r="IPP84" s="51"/>
      <c r="IPQ84" s="50"/>
      <c r="IPR84" s="23"/>
      <c r="IPS84" s="50"/>
      <c r="IPT84" s="51"/>
      <c r="IPU84" s="50"/>
      <c r="IPV84" s="23"/>
      <c r="IPW84" s="50"/>
      <c r="IPX84" s="51"/>
      <c r="IPY84" s="50"/>
      <c r="IPZ84" s="23"/>
      <c r="IQA84" s="50"/>
      <c r="IQB84" s="51"/>
      <c r="IQC84" s="50"/>
      <c r="IQD84" s="23"/>
      <c r="IQE84" s="50"/>
      <c r="IQF84" s="51"/>
      <c r="IQG84" s="50"/>
      <c r="IQH84" s="23"/>
      <c r="IQI84" s="50"/>
      <c r="IQJ84" s="51"/>
      <c r="IQK84" s="50"/>
      <c r="IQL84" s="23"/>
      <c r="IQM84" s="50"/>
      <c r="IQN84" s="51"/>
      <c r="IQO84" s="50"/>
      <c r="IQP84" s="23"/>
      <c r="IQQ84" s="50"/>
      <c r="IQR84" s="51"/>
      <c r="IQS84" s="50"/>
      <c r="IQT84" s="23"/>
      <c r="IQU84" s="50"/>
      <c r="IQV84" s="51"/>
      <c r="IQW84" s="50"/>
      <c r="IQX84" s="23"/>
      <c r="IQY84" s="50"/>
      <c r="IQZ84" s="51"/>
      <c r="IRA84" s="50"/>
      <c r="IRB84" s="23"/>
      <c r="IRC84" s="50"/>
      <c r="IRD84" s="51"/>
      <c r="IRE84" s="50"/>
      <c r="IRF84" s="23"/>
      <c r="IRG84" s="50"/>
      <c r="IRH84" s="51"/>
      <c r="IRI84" s="50"/>
      <c r="IRJ84" s="23"/>
      <c r="IRK84" s="50"/>
      <c r="IRL84" s="51"/>
      <c r="IRM84" s="50"/>
      <c r="IRN84" s="23"/>
      <c r="IRO84" s="50"/>
      <c r="IRP84" s="51"/>
      <c r="IRQ84" s="50"/>
      <c r="IRR84" s="23"/>
      <c r="IRS84" s="50"/>
      <c r="IRT84" s="51"/>
      <c r="IRU84" s="50"/>
      <c r="IRV84" s="23"/>
      <c r="IRW84" s="50"/>
      <c r="IRX84" s="51"/>
      <c r="IRY84" s="50"/>
      <c r="IRZ84" s="23"/>
      <c r="ISA84" s="50"/>
      <c r="ISB84" s="51"/>
      <c r="ISC84" s="50"/>
      <c r="ISD84" s="23"/>
      <c r="ISE84" s="50"/>
      <c r="ISF84" s="51"/>
      <c r="ISG84" s="50"/>
      <c r="ISH84" s="23"/>
      <c r="ISI84" s="50"/>
      <c r="ISJ84" s="51"/>
      <c r="ISK84" s="50"/>
      <c r="ISL84" s="23"/>
      <c r="ISM84" s="50"/>
      <c r="ISN84" s="51"/>
      <c r="ISO84" s="50"/>
      <c r="ISP84" s="23"/>
      <c r="ISQ84" s="50"/>
      <c r="ISR84" s="51"/>
      <c r="ISS84" s="50"/>
      <c r="IST84" s="23"/>
      <c r="ISU84" s="50"/>
      <c r="ISV84" s="51"/>
      <c r="ISW84" s="50"/>
      <c r="ISX84" s="23"/>
      <c r="ISY84" s="50"/>
      <c r="ISZ84" s="51"/>
      <c r="ITA84" s="50"/>
      <c r="ITB84" s="23"/>
      <c r="ITC84" s="50"/>
      <c r="ITD84" s="51"/>
      <c r="ITE84" s="50"/>
      <c r="ITF84" s="23"/>
      <c r="ITG84" s="50"/>
      <c r="ITH84" s="51"/>
      <c r="ITI84" s="50"/>
      <c r="ITJ84" s="23"/>
      <c r="ITK84" s="50"/>
      <c r="ITL84" s="51"/>
      <c r="ITM84" s="50"/>
      <c r="ITN84" s="23"/>
      <c r="ITO84" s="50"/>
      <c r="ITP84" s="51"/>
      <c r="ITQ84" s="50"/>
      <c r="ITR84" s="23"/>
      <c r="ITS84" s="50"/>
      <c r="ITT84" s="51"/>
      <c r="ITU84" s="50"/>
      <c r="ITV84" s="23"/>
      <c r="ITW84" s="50"/>
      <c r="ITX84" s="51"/>
      <c r="ITY84" s="50"/>
      <c r="ITZ84" s="23"/>
      <c r="IUA84" s="50"/>
      <c r="IUB84" s="51"/>
      <c r="IUC84" s="50"/>
      <c r="IUD84" s="23"/>
      <c r="IUE84" s="50"/>
      <c r="IUF84" s="51"/>
      <c r="IUG84" s="50"/>
      <c r="IUH84" s="23"/>
      <c r="IUI84" s="50"/>
      <c r="IUJ84" s="51"/>
      <c r="IUK84" s="50"/>
      <c r="IUL84" s="23"/>
      <c r="IUM84" s="50"/>
      <c r="IUN84" s="51"/>
      <c r="IUO84" s="50"/>
      <c r="IUP84" s="23"/>
      <c r="IUQ84" s="50"/>
      <c r="IUR84" s="51"/>
      <c r="IUS84" s="50"/>
      <c r="IUT84" s="23"/>
      <c r="IUU84" s="50"/>
      <c r="IUV84" s="51"/>
      <c r="IUW84" s="50"/>
      <c r="IUX84" s="23"/>
      <c r="IUY84" s="50"/>
      <c r="IUZ84" s="51"/>
      <c r="IVA84" s="50"/>
      <c r="IVB84" s="23"/>
      <c r="IVC84" s="50"/>
      <c r="IVD84" s="51"/>
      <c r="IVE84" s="50"/>
      <c r="IVF84" s="23"/>
      <c r="IVG84" s="50"/>
      <c r="IVH84" s="51"/>
      <c r="IVI84" s="50"/>
      <c r="IVJ84" s="23"/>
      <c r="IVK84" s="50"/>
      <c r="IVL84" s="51"/>
      <c r="IVM84" s="50"/>
      <c r="IVN84" s="23"/>
      <c r="IVO84" s="50"/>
      <c r="IVP84" s="51"/>
      <c r="IVQ84" s="50"/>
      <c r="IVR84" s="23"/>
      <c r="IVS84" s="50"/>
      <c r="IVT84" s="51"/>
      <c r="IVU84" s="50"/>
      <c r="IVV84" s="23"/>
      <c r="IVW84" s="50"/>
      <c r="IVX84" s="51"/>
      <c r="IVY84" s="50"/>
      <c r="IVZ84" s="23"/>
      <c r="IWA84" s="50"/>
      <c r="IWB84" s="51"/>
      <c r="IWC84" s="50"/>
      <c r="IWD84" s="23"/>
      <c r="IWE84" s="50"/>
      <c r="IWF84" s="51"/>
      <c r="IWG84" s="50"/>
      <c r="IWH84" s="23"/>
      <c r="IWI84" s="50"/>
      <c r="IWJ84" s="51"/>
      <c r="IWK84" s="50"/>
      <c r="IWL84" s="23"/>
      <c r="IWM84" s="50"/>
      <c r="IWN84" s="51"/>
      <c r="IWO84" s="50"/>
      <c r="IWP84" s="23"/>
      <c r="IWQ84" s="50"/>
      <c r="IWR84" s="51"/>
      <c r="IWS84" s="50"/>
      <c r="IWT84" s="23"/>
      <c r="IWU84" s="50"/>
      <c r="IWV84" s="51"/>
      <c r="IWW84" s="50"/>
      <c r="IWX84" s="23"/>
      <c r="IWY84" s="50"/>
      <c r="IWZ84" s="51"/>
      <c r="IXA84" s="50"/>
      <c r="IXB84" s="23"/>
      <c r="IXC84" s="50"/>
      <c r="IXD84" s="51"/>
      <c r="IXE84" s="50"/>
      <c r="IXF84" s="23"/>
      <c r="IXG84" s="50"/>
      <c r="IXH84" s="51"/>
      <c r="IXI84" s="50"/>
      <c r="IXJ84" s="23"/>
      <c r="IXK84" s="50"/>
      <c r="IXL84" s="51"/>
      <c r="IXM84" s="50"/>
      <c r="IXN84" s="23"/>
      <c r="IXO84" s="50"/>
      <c r="IXP84" s="51"/>
      <c r="IXQ84" s="50"/>
      <c r="IXR84" s="23"/>
      <c r="IXS84" s="50"/>
      <c r="IXT84" s="51"/>
      <c r="IXU84" s="50"/>
      <c r="IXV84" s="23"/>
      <c r="IXW84" s="50"/>
      <c r="IXX84" s="51"/>
      <c r="IXY84" s="50"/>
      <c r="IXZ84" s="23"/>
      <c r="IYA84" s="50"/>
      <c r="IYB84" s="51"/>
      <c r="IYC84" s="50"/>
      <c r="IYD84" s="23"/>
      <c r="IYE84" s="50"/>
      <c r="IYF84" s="51"/>
      <c r="IYG84" s="50"/>
      <c r="IYH84" s="23"/>
      <c r="IYI84" s="50"/>
      <c r="IYJ84" s="51"/>
      <c r="IYK84" s="50"/>
      <c r="IYL84" s="23"/>
      <c r="IYM84" s="50"/>
      <c r="IYN84" s="51"/>
      <c r="IYO84" s="50"/>
      <c r="IYP84" s="23"/>
      <c r="IYQ84" s="50"/>
      <c r="IYR84" s="51"/>
      <c r="IYS84" s="50"/>
      <c r="IYT84" s="23"/>
      <c r="IYU84" s="50"/>
      <c r="IYV84" s="51"/>
      <c r="IYW84" s="50"/>
      <c r="IYX84" s="23"/>
      <c r="IYY84" s="50"/>
      <c r="IYZ84" s="51"/>
      <c r="IZA84" s="50"/>
      <c r="IZB84" s="23"/>
      <c r="IZC84" s="50"/>
      <c r="IZD84" s="51"/>
      <c r="IZE84" s="50"/>
      <c r="IZF84" s="23"/>
      <c r="IZG84" s="50"/>
      <c r="IZH84" s="51"/>
      <c r="IZI84" s="50"/>
      <c r="IZJ84" s="23"/>
      <c r="IZK84" s="50"/>
      <c r="IZL84" s="51"/>
      <c r="IZM84" s="50"/>
      <c r="IZN84" s="23"/>
      <c r="IZO84" s="50"/>
      <c r="IZP84" s="51"/>
      <c r="IZQ84" s="50"/>
      <c r="IZR84" s="23"/>
      <c r="IZS84" s="50"/>
      <c r="IZT84" s="51"/>
      <c r="IZU84" s="50"/>
      <c r="IZV84" s="23"/>
      <c r="IZW84" s="50"/>
      <c r="IZX84" s="51"/>
      <c r="IZY84" s="50"/>
      <c r="IZZ84" s="23"/>
      <c r="JAA84" s="50"/>
      <c r="JAB84" s="51"/>
      <c r="JAC84" s="50"/>
      <c r="JAD84" s="23"/>
      <c r="JAE84" s="50"/>
      <c r="JAF84" s="51"/>
      <c r="JAG84" s="50"/>
      <c r="JAH84" s="23"/>
      <c r="JAI84" s="50"/>
      <c r="JAJ84" s="51"/>
      <c r="JAK84" s="50"/>
      <c r="JAL84" s="23"/>
      <c r="JAM84" s="50"/>
      <c r="JAN84" s="51"/>
      <c r="JAO84" s="50"/>
      <c r="JAP84" s="23"/>
      <c r="JAQ84" s="50"/>
      <c r="JAR84" s="51"/>
      <c r="JAS84" s="50"/>
      <c r="JAT84" s="23"/>
      <c r="JAU84" s="50"/>
      <c r="JAV84" s="51"/>
      <c r="JAW84" s="50"/>
      <c r="JAX84" s="23"/>
      <c r="JAY84" s="50"/>
      <c r="JAZ84" s="51"/>
      <c r="JBA84" s="50"/>
      <c r="JBB84" s="23"/>
      <c r="JBC84" s="50"/>
      <c r="JBD84" s="51"/>
      <c r="JBE84" s="50"/>
      <c r="JBF84" s="23"/>
      <c r="JBG84" s="50"/>
      <c r="JBH84" s="51"/>
      <c r="JBI84" s="50"/>
      <c r="JBJ84" s="23"/>
      <c r="JBK84" s="50"/>
      <c r="JBL84" s="51"/>
      <c r="JBM84" s="50"/>
      <c r="JBN84" s="23"/>
      <c r="JBO84" s="50"/>
      <c r="JBP84" s="51"/>
      <c r="JBQ84" s="50"/>
      <c r="JBR84" s="23"/>
      <c r="JBS84" s="50"/>
      <c r="JBT84" s="51"/>
      <c r="JBU84" s="50"/>
      <c r="JBV84" s="23"/>
      <c r="JBW84" s="50"/>
      <c r="JBX84" s="51"/>
      <c r="JBY84" s="50"/>
      <c r="JBZ84" s="23"/>
      <c r="JCA84" s="50"/>
      <c r="JCB84" s="51"/>
      <c r="JCC84" s="50"/>
      <c r="JCD84" s="23"/>
      <c r="JCE84" s="50"/>
      <c r="JCF84" s="51"/>
      <c r="JCG84" s="50"/>
      <c r="JCH84" s="23"/>
      <c r="JCI84" s="50"/>
      <c r="JCJ84" s="51"/>
      <c r="JCK84" s="50"/>
      <c r="JCL84" s="23"/>
      <c r="JCM84" s="50"/>
      <c r="JCN84" s="51"/>
      <c r="JCO84" s="50"/>
      <c r="JCP84" s="23"/>
      <c r="JCQ84" s="50"/>
      <c r="JCR84" s="51"/>
      <c r="JCS84" s="50"/>
      <c r="JCT84" s="23"/>
      <c r="JCU84" s="50"/>
      <c r="JCV84" s="51"/>
      <c r="JCW84" s="50"/>
      <c r="JCX84" s="23"/>
      <c r="JCY84" s="50"/>
      <c r="JCZ84" s="51"/>
      <c r="JDA84" s="50"/>
      <c r="JDB84" s="23"/>
      <c r="JDC84" s="50"/>
      <c r="JDD84" s="51"/>
      <c r="JDE84" s="50"/>
      <c r="JDF84" s="23"/>
      <c r="JDG84" s="50"/>
      <c r="JDH84" s="51"/>
      <c r="JDI84" s="50"/>
      <c r="JDJ84" s="23"/>
      <c r="JDK84" s="50"/>
      <c r="JDL84" s="51"/>
      <c r="JDM84" s="50"/>
      <c r="JDN84" s="23"/>
      <c r="JDO84" s="50"/>
      <c r="JDP84" s="51"/>
      <c r="JDQ84" s="50"/>
      <c r="JDR84" s="23"/>
      <c r="JDS84" s="50"/>
      <c r="JDT84" s="51"/>
      <c r="JDU84" s="50"/>
      <c r="JDV84" s="23"/>
      <c r="JDW84" s="50"/>
      <c r="JDX84" s="51"/>
      <c r="JDY84" s="50"/>
      <c r="JDZ84" s="23"/>
      <c r="JEA84" s="50"/>
      <c r="JEB84" s="51"/>
      <c r="JEC84" s="50"/>
      <c r="JED84" s="23"/>
      <c r="JEE84" s="50"/>
      <c r="JEF84" s="51"/>
      <c r="JEG84" s="50"/>
      <c r="JEH84" s="23"/>
      <c r="JEI84" s="50"/>
      <c r="JEJ84" s="51"/>
      <c r="JEK84" s="50"/>
      <c r="JEL84" s="23"/>
      <c r="JEM84" s="50"/>
      <c r="JEN84" s="51"/>
      <c r="JEO84" s="50"/>
      <c r="JEP84" s="23"/>
      <c r="JEQ84" s="50"/>
      <c r="JER84" s="51"/>
      <c r="JES84" s="50"/>
      <c r="JET84" s="23"/>
      <c r="JEU84" s="50"/>
      <c r="JEV84" s="51"/>
      <c r="JEW84" s="50"/>
      <c r="JEX84" s="23"/>
      <c r="JEY84" s="50"/>
      <c r="JEZ84" s="51"/>
      <c r="JFA84" s="50"/>
      <c r="JFB84" s="23"/>
      <c r="JFC84" s="50"/>
      <c r="JFD84" s="51"/>
      <c r="JFE84" s="50"/>
      <c r="JFF84" s="23"/>
      <c r="JFG84" s="50"/>
      <c r="JFH84" s="51"/>
      <c r="JFI84" s="50"/>
      <c r="JFJ84" s="23"/>
      <c r="JFK84" s="50"/>
      <c r="JFL84" s="51"/>
      <c r="JFM84" s="50"/>
      <c r="JFN84" s="23"/>
      <c r="JFO84" s="50"/>
      <c r="JFP84" s="51"/>
      <c r="JFQ84" s="50"/>
      <c r="JFR84" s="23"/>
      <c r="JFS84" s="50"/>
      <c r="JFT84" s="51"/>
      <c r="JFU84" s="50"/>
      <c r="JFV84" s="23"/>
      <c r="JFW84" s="50"/>
      <c r="JFX84" s="51"/>
      <c r="JFY84" s="50"/>
      <c r="JFZ84" s="23"/>
      <c r="JGA84" s="50"/>
      <c r="JGB84" s="51"/>
      <c r="JGC84" s="50"/>
      <c r="JGD84" s="23"/>
      <c r="JGE84" s="50"/>
      <c r="JGF84" s="51"/>
      <c r="JGG84" s="50"/>
      <c r="JGH84" s="23"/>
      <c r="JGI84" s="50"/>
      <c r="JGJ84" s="51"/>
      <c r="JGK84" s="50"/>
      <c r="JGL84" s="23"/>
      <c r="JGM84" s="50"/>
      <c r="JGN84" s="51"/>
      <c r="JGO84" s="50"/>
      <c r="JGP84" s="23"/>
      <c r="JGQ84" s="50"/>
      <c r="JGR84" s="51"/>
      <c r="JGS84" s="50"/>
      <c r="JGT84" s="23"/>
      <c r="JGU84" s="50"/>
      <c r="JGV84" s="51"/>
      <c r="JGW84" s="50"/>
      <c r="JGX84" s="23"/>
      <c r="JGY84" s="50"/>
      <c r="JGZ84" s="51"/>
      <c r="JHA84" s="50"/>
      <c r="JHB84" s="23"/>
      <c r="JHC84" s="50"/>
      <c r="JHD84" s="51"/>
      <c r="JHE84" s="50"/>
      <c r="JHF84" s="23"/>
      <c r="JHG84" s="50"/>
      <c r="JHH84" s="51"/>
      <c r="JHI84" s="50"/>
      <c r="JHJ84" s="23"/>
      <c r="JHK84" s="50"/>
      <c r="JHL84" s="51"/>
      <c r="JHM84" s="50"/>
      <c r="JHN84" s="23"/>
      <c r="JHO84" s="50"/>
      <c r="JHP84" s="51"/>
      <c r="JHQ84" s="50"/>
      <c r="JHR84" s="23"/>
      <c r="JHS84" s="50"/>
      <c r="JHT84" s="51"/>
      <c r="JHU84" s="50"/>
      <c r="JHV84" s="23"/>
      <c r="JHW84" s="50"/>
      <c r="JHX84" s="51"/>
      <c r="JHY84" s="50"/>
      <c r="JHZ84" s="23"/>
      <c r="JIA84" s="50"/>
      <c r="JIB84" s="51"/>
      <c r="JIC84" s="50"/>
      <c r="JID84" s="23"/>
      <c r="JIE84" s="50"/>
      <c r="JIF84" s="51"/>
      <c r="JIG84" s="50"/>
      <c r="JIH84" s="23"/>
      <c r="JII84" s="50"/>
      <c r="JIJ84" s="51"/>
      <c r="JIK84" s="50"/>
      <c r="JIL84" s="23"/>
      <c r="JIM84" s="50"/>
      <c r="JIN84" s="51"/>
      <c r="JIO84" s="50"/>
      <c r="JIP84" s="23"/>
      <c r="JIQ84" s="50"/>
      <c r="JIR84" s="51"/>
      <c r="JIS84" s="50"/>
      <c r="JIT84" s="23"/>
      <c r="JIU84" s="50"/>
      <c r="JIV84" s="51"/>
      <c r="JIW84" s="50"/>
      <c r="JIX84" s="23"/>
      <c r="JIY84" s="50"/>
      <c r="JIZ84" s="51"/>
      <c r="JJA84" s="50"/>
      <c r="JJB84" s="23"/>
      <c r="JJC84" s="50"/>
      <c r="JJD84" s="51"/>
      <c r="JJE84" s="50"/>
      <c r="JJF84" s="23"/>
      <c r="JJG84" s="50"/>
      <c r="JJH84" s="51"/>
      <c r="JJI84" s="50"/>
      <c r="JJJ84" s="23"/>
      <c r="JJK84" s="50"/>
      <c r="JJL84" s="51"/>
      <c r="JJM84" s="50"/>
      <c r="JJN84" s="23"/>
      <c r="JJO84" s="50"/>
      <c r="JJP84" s="51"/>
      <c r="JJQ84" s="50"/>
      <c r="JJR84" s="23"/>
      <c r="JJS84" s="50"/>
      <c r="JJT84" s="51"/>
      <c r="JJU84" s="50"/>
      <c r="JJV84" s="23"/>
      <c r="JJW84" s="50"/>
      <c r="JJX84" s="51"/>
      <c r="JJY84" s="50"/>
      <c r="JJZ84" s="23"/>
      <c r="JKA84" s="50"/>
      <c r="JKB84" s="51"/>
      <c r="JKC84" s="50"/>
      <c r="JKD84" s="23"/>
      <c r="JKE84" s="50"/>
      <c r="JKF84" s="51"/>
      <c r="JKG84" s="50"/>
      <c r="JKH84" s="23"/>
      <c r="JKI84" s="50"/>
      <c r="JKJ84" s="51"/>
      <c r="JKK84" s="50"/>
      <c r="JKL84" s="23"/>
      <c r="JKM84" s="50"/>
      <c r="JKN84" s="51"/>
      <c r="JKO84" s="50"/>
      <c r="JKP84" s="23"/>
      <c r="JKQ84" s="50"/>
      <c r="JKR84" s="51"/>
      <c r="JKS84" s="50"/>
      <c r="JKT84" s="23"/>
      <c r="JKU84" s="50"/>
      <c r="JKV84" s="51"/>
      <c r="JKW84" s="50"/>
      <c r="JKX84" s="23"/>
      <c r="JKY84" s="50"/>
      <c r="JKZ84" s="51"/>
      <c r="JLA84" s="50"/>
      <c r="JLB84" s="23"/>
      <c r="JLC84" s="50"/>
      <c r="JLD84" s="51"/>
      <c r="JLE84" s="50"/>
      <c r="JLF84" s="23"/>
      <c r="JLG84" s="50"/>
      <c r="JLH84" s="51"/>
      <c r="JLI84" s="50"/>
      <c r="JLJ84" s="23"/>
      <c r="JLK84" s="50"/>
      <c r="JLL84" s="51"/>
      <c r="JLM84" s="50"/>
      <c r="JLN84" s="23"/>
      <c r="JLO84" s="50"/>
      <c r="JLP84" s="51"/>
      <c r="JLQ84" s="50"/>
      <c r="JLR84" s="23"/>
      <c r="JLS84" s="50"/>
      <c r="JLT84" s="51"/>
      <c r="JLU84" s="50"/>
      <c r="JLV84" s="23"/>
      <c r="JLW84" s="50"/>
      <c r="JLX84" s="51"/>
      <c r="JLY84" s="50"/>
      <c r="JLZ84" s="23"/>
      <c r="JMA84" s="50"/>
      <c r="JMB84" s="51"/>
      <c r="JMC84" s="50"/>
      <c r="JMD84" s="23"/>
      <c r="JME84" s="50"/>
      <c r="JMF84" s="51"/>
      <c r="JMG84" s="50"/>
      <c r="JMH84" s="23"/>
      <c r="JMI84" s="50"/>
      <c r="JMJ84" s="51"/>
      <c r="JMK84" s="50"/>
      <c r="JML84" s="23"/>
      <c r="JMM84" s="50"/>
      <c r="JMN84" s="51"/>
      <c r="JMO84" s="50"/>
      <c r="JMP84" s="23"/>
      <c r="JMQ84" s="50"/>
      <c r="JMR84" s="51"/>
      <c r="JMS84" s="50"/>
      <c r="JMT84" s="23"/>
      <c r="JMU84" s="50"/>
      <c r="JMV84" s="51"/>
      <c r="JMW84" s="50"/>
      <c r="JMX84" s="23"/>
      <c r="JMY84" s="50"/>
      <c r="JMZ84" s="51"/>
      <c r="JNA84" s="50"/>
      <c r="JNB84" s="23"/>
      <c r="JNC84" s="50"/>
      <c r="JND84" s="51"/>
      <c r="JNE84" s="50"/>
      <c r="JNF84" s="23"/>
      <c r="JNG84" s="50"/>
      <c r="JNH84" s="51"/>
      <c r="JNI84" s="50"/>
      <c r="JNJ84" s="23"/>
      <c r="JNK84" s="50"/>
      <c r="JNL84" s="51"/>
      <c r="JNM84" s="50"/>
      <c r="JNN84" s="23"/>
      <c r="JNO84" s="50"/>
      <c r="JNP84" s="51"/>
      <c r="JNQ84" s="50"/>
      <c r="JNR84" s="23"/>
      <c r="JNS84" s="50"/>
      <c r="JNT84" s="51"/>
      <c r="JNU84" s="50"/>
      <c r="JNV84" s="23"/>
      <c r="JNW84" s="50"/>
      <c r="JNX84" s="51"/>
      <c r="JNY84" s="50"/>
      <c r="JNZ84" s="23"/>
      <c r="JOA84" s="50"/>
      <c r="JOB84" s="51"/>
      <c r="JOC84" s="50"/>
      <c r="JOD84" s="23"/>
      <c r="JOE84" s="50"/>
      <c r="JOF84" s="51"/>
      <c r="JOG84" s="50"/>
      <c r="JOH84" s="23"/>
      <c r="JOI84" s="50"/>
      <c r="JOJ84" s="51"/>
      <c r="JOK84" s="50"/>
      <c r="JOL84" s="23"/>
      <c r="JOM84" s="50"/>
      <c r="JON84" s="51"/>
      <c r="JOO84" s="50"/>
      <c r="JOP84" s="23"/>
      <c r="JOQ84" s="50"/>
      <c r="JOR84" s="51"/>
      <c r="JOS84" s="50"/>
      <c r="JOT84" s="23"/>
      <c r="JOU84" s="50"/>
      <c r="JOV84" s="51"/>
      <c r="JOW84" s="50"/>
      <c r="JOX84" s="23"/>
      <c r="JOY84" s="50"/>
      <c r="JOZ84" s="51"/>
      <c r="JPA84" s="50"/>
      <c r="JPB84" s="23"/>
      <c r="JPC84" s="50"/>
      <c r="JPD84" s="51"/>
      <c r="JPE84" s="50"/>
      <c r="JPF84" s="23"/>
      <c r="JPG84" s="50"/>
      <c r="JPH84" s="51"/>
      <c r="JPI84" s="50"/>
      <c r="JPJ84" s="23"/>
      <c r="JPK84" s="50"/>
      <c r="JPL84" s="51"/>
      <c r="JPM84" s="50"/>
      <c r="JPN84" s="23"/>
      <c r="JPO84" s="50"/>
      <c r="JPP84" s="51"/>
      <c r="JPQ84" s="50"/>
      <c r="JPR84" s="23"/>
      <c r="JPS84" s="50"/>
      <c r="JPT84" s="51"/>
      <c r="JPU84" s="50"/>
      <c r="JPV84" s="23"/>
      <c r="JPW84" s="50"/>
      <c r="JPX84" s="51"/>
      <c r="JPY84" s="50"/>
      <c r="JPZ84" s="23"/>
      <c r="JQA84" s="50"/>
      <c r="JQB84" s="51"/>
      <c r="JQC84" s="50"/>
      <c r="JQD84" s="23"/>
      <c r="JQE84" s="50"/>
      <c r="JQF84" s="51"/>
      <c r="JQG84" s="50"/>
      <c r="JQH84" s="23"/>
      <c r="JQI84" s="50"/>
      <c r="JQJ84" s="51"/>
      <c r="JQK84" s="50"/>
      <c r="JQL84" s="23"/>
      <c r="JQM84" s="50"/>
      <c r="JQN84" s="51"/>
      <c r="JQO84" s="50"/>
      <c r="JQP84" s="23"/>
      <c r="JQQ84" s="50"/>
      <c r="JQR84" s="51"/>
      <c r="JQS84" s="50"/>
      <c r="JQT84" s="23"/>
      <c r="JQU84" s="50"/>
      <c r="JQV84" s="51"/>
      <c r="JQW84" s="50"/>
      <c r="JQX84" s="23"/>
      <c r="JQY84" s="50"/>
      <c r="JQZ84" s="51"/>
      <c r="JRA84" s="50"/>
      <c r="JRB84" s="23"/>
      <c r="JRC84" s="50"/>
      <c r="JRD84" s="51"/>
      <c r="JRE84" s="50"/>
      <c r="JRF84" s="23"/>
      <c r="JRG84" s="50"/>
      <c r="JRH84" s="51"/>
      <c r="JRI84" s="50"/>
      <c r="JRJ84" s="23"/>
      <c r="JRK84" s="50"/>
      <c r="JRL84" s="51"/>
      <c r="JRM84" s="50"/>
      <c r="JRN84" s="23"/>
      <c r="JRO84" s="50"/>
      <c r="JRP84" s="51"/>
      <c r="JRQ84" s="50"/>
      <c r="JRR84" s="23"/>
      <c r="JRS84" s="50"/>
      <c r="JRT84" s="51"/>
      <c r="JRU84" s="50"/>
      <c r="JRV84" s="23"/>
      <c r="JRW84" s="50"/>
      <c r="JRX84" s="51"/>
      <c r="JRY84" s="50"/>
      <c r="JRZ84" s="23"/>
      <c r="JSA84" s="50"/>
      <c r="JSB84" s="51"/>
      <c r="JSC84" s="50"/>
      <c r="JSD84" s="23"/>
      <c r="JSE84" s="50"/>
      <c r="JSF84" s="51"/>
      <c r="JSG84" s="50"/>
      <c r="JSH84" s="23"/>
      <c r="JSI84" s="50"/>
      <c r="JSJ84" s="51"/>
      <c r="JSK84" s="50"/>
      <c r="JSL84" s="23"/>
      <c r="JSM84" s="50"/>
      <c r="JSN84" s="51"/>
      <c r="JSO84" s="50"/>
      <c r="JSP84" s="23"/>
      <c r="JSQ84" s="50"/>
      <c r="JSR84" s="51"/>
      <c r="JSS84" s="50"/>
      <c r="JST84" s="23"/>
      <c r="JSU84" s="50"/>
      <c r="JSV84" s="51"/>
      <c r="JSW84" s="50"/>
      <c r="JSX84" s="23"/>
      <c r="JSY84" s="50"/>
      <c r="JSZ84" s="51"/>
      <c r="JTA84" s="50"/>
      <c r="JTB84" s="23"/>
      <c r="JTC84" s="50"/>
      <c r="JTD84" s="51"/>
      <c r="JTE84" s="50"/>
      <c r="JTF84" s="23"/>
      <c r="JTG84" s="50"/>
      <c r="JTH84" s="51"/>
      <c r="JTI84" s="50"/>
      <c r="JTJ84" s="23"/>
      <c r="JTK84" s="50"/>
      <c r="JTL84" s="51"/>
      <c r="JTM84" s="50"/>
      <c r="JTN84" s="23"/>
      <c r="JTO84" s="50"/>
      <c r="JTP84" s="51"/>
      <c r="JTQ84" s="50"/>
      <c r="JTR84" s="23"/>
      <c r="JTS84" s="50"/>
      <c r="JTT84" s="51"/>
      <c r="JTU84" s="50"/>
      <c r="JTV84" s="23"/>
      <c r="JTW84" s="50"/>
      <c r="JTX84" s="51"/>
      <c r="JTY84" s="50"/>
      <c r="JTZ84" s="23"/>
      <c r="JUA84" s="50"/>
      <c r="JUB84" s="51"/>
      <c r="JUC84" s="50"/>
      <c r="JUD84" s="23"/>
      <c r="JUE84" s="50"/>
      <c r="JUF84" s="51"/>
      <c r="JUG84" s="50"/>
      <c r="JUH84" s="23"/>
      <c r="JUI84" s="50"/>
      <c r="JUJ84" s="51"/>
      <c r="JUK84" s="50"/>
      <c r="JUL84" s="23"/>
      <c r="JUM84" s="50"/>
      <c r="JUN84" s="51"/>
      <c r="JUO84" s="50"/>
      <c r="JUP84" s="23"/>
      <c r="JUQ84" s="50"/>
      <c r="JUR84" s="51"/>
      <c r="JUS84" s="50"/>
      <c r="JUT84" s="23"/>
      <c r="JUU84" s="50"/>
      <c r="JUV84" s="51"/>
      <c r="JUW84" s="50"/>
      <c r="JUX84" s="23"/>
      <c r="JUY84" s="50"/>
      <c r="JUZ84" s="51"/>
      <c r="JVA84" s="50"/>
      <c r="JVB84" s="23"/>
      <c r="JVC84" s="50"/>
      <c r="JVD84" s="51"/>
      <c r="JVE84" s="50"/>
      <c r="JVF84" s="23"/>
      <c r="JVG84" s="50"/>
      <c r="JVH84" s="51"/>
      <c r="JVI84" s="50"/>
      <c r="JVJ84" s="23"/>
      <c r="JVK84" s="50"/>
      <c r="JVL84" s="51"/>
      <c r="JVM84" s="50"/>
      <c r="JVN84" s="23"/>
      <c r="JVO84" s="50"/>
      <c r="JVP84" s="51"/>
      <c r="JVQ84" s="50"/>
      <c r="JVR84" s="23"/>
      <c r="JVS84" s="50"/>
      <c r="JVT84" s="51"/>
      <c r="JVU84" s="50"/>
      <c r="JVV84" s="23"/>
      <c r="JVW84" s="50"/>
      <c r="JVX84" s="51"/>
      <c r="JVY84" s="50"/>
      <c r="JVZ84" s="23"/>
      <c r="JWA84" s="50"/>
      <c r="JWB84" s="51"/>
      <c r="JWC84" s="50"/>
      <c r="JWD84" s="23"/>
      <c r="JWE84" s="50"/>
      <c r="JWF84" s="51"/>
      <c r="JWG84" s="50"/>
      <c r="JWH84" s="23"/>
      <c r="JWI84" s="50"/>
      <c r="JWJ84" s="51"/>
      <c r="JWK84" s="50"/>
      <c r="JWL84" s="23"/>
      <c r="JWM84" s="50"/>
      <c r="JWN84" s="51"/>
      <c r="JWO84" s="50"/>
      <c r="JWP84" s="23"/>
      <c r="JWQ84" s="50"/>
      <c r="JWR84" s="51"/>
      <c r="JWS84" s="50"/>
      <c r="JWT84" s="23"/>
      <c r="JWU84" s="50"/>
      <c r="JWV84" s="51"/>
      <c r="JWW84" s="50"/>
      <c r="JWX84" s="23"/>
      <c r="JWY84" s="50"/>
      <c r="JWZ84" s="51"/>
      <c r="JXA84" s="50"/>
      <c r="JXB84" s="23"/>
      <c r="JXC84" s="50"/>
      <c r="JXD84" s="51"/>
      <c r="JXE84" s="50"/>
      <c r="JXF84" s="23"/>
      <c r="JXG84" s="50"/>
      <c r="JXH84" s="51"/>
      <c r="JXI84" s="50"/>
      <c r="JXJ84" s="23"/>
      <c r="JXK84" s="50"/>
      <c r="JXL84" s="51"/>
      <c r="JXM84" s="50"/>
      <c r="JXN84" s="23"/>
      <c r="JXO84" s="50"/>
      <c r="JXP84" s="51"/>
      <c r="JXQ84" s="50"/>
      <c r="JXR84" s="23"/>
      <c r="JXS84" s="50"/>
      <c r="JXT84" s="51"/>
      <c r="JXU84" s="50"/>
      <c r="JXV84" s="23"/>
      <c r="JXW84" s="50"/>
      <c r="JXX84" s="51"/>
      <c r="JXY84" s="50"/>
      <c r="JXZ84" s="23"/>
      <c r="JYA84" s="50"/>
      <c r="JYB84" s="51"/>
      <c r="JYC84" s="50"/>
      <c r="JYD84" s="23"/>
      <c r="JYE84" s="50"/>
      <c r="JYF84" s="51"/>
      <c r="JYG84" s="50"/>
      <c r="JYH84" s="23"/>
      <c r="JYI84" s="50"/>
      <c r="JYJ84" s="51"/>
      <c r="JYK84" s="50"/>
      <c r="JYL84" s="23"/>
      <c r="JYM84" s="50"/>
      <c r="JYN84" s="51"/>
      <c r="JYO84" s="50"/>
      <c r="JYP84" s="23"/>
      <c r="JYQ84" s="50"/>
      <c r="JYR84" s="51"/>
      <c r="JYS84" s="50"/>
      <c r="JYT84" s="23"/>
      <c r="JYU84" s="50"/>
      <c r="JYV84" s="51"/>
      <c r="JYW84" s="50"/>
      <c r="JYX84" s="23"/>
      <c r="JYY84" s="50"/>
      <c r="JYZ84" s="51"/>
      <c r="JZA84" s="50"/>
      <c r="JZB84" s="23"/>
      <c r="JZC84" s="50"/>
      <c r="JZD84" s="51"/>
      <c r="JZE84" s="50"/>
      <c r="JZF84" s="23"/>
      <c r="JZG84" s="50"/>
      <c r="JZH84" s="51"/>
      <c r="JZI84" s="50"/>
      <c r="JZJ84" s="23"/>
      <c r="JZK84" s="50"/>
      <c r="JZL84" s="51"/>
      <c r="JZM84" s="50"/>
      <c r="JZN84" s="23"/>
      <c r="JZO84" s="50"/>
      <c r="JZP84" s="51"/>
      <c r="JZQ84" s="50"/>
      <c r="JZR84" s="23"/>
      <c r="JZS84" s="50"/>
      <c r="JZT84" s="51"/>
      <c r="JZU84" s="50"/>
      <c r="JZV84" s="23"/>
      <c r="JZW84" s="50"/>
      <c r="JZX84" s="51"/>
      <c r="JZY84" s="50"/>
      <c r="JZZ84" s="23"/>
      <c r="KAA84" s="50"/>
      <c r="KAB84" s="51"/>
      <c r="KAC84" s="50"/>
      <c r="KAD84" s="23"/>
      <c r="KAE84" s="50"/>
      <c r="KAF84" s="51"/>
      <c r="KAG84" s="50"/>
      <c r="KAH84" s="23"/>
      <c r="KAI84" s="50"/>
      <c r="KAJ84" s="51"/>
      <c r="KAK84" s="50"/>
      <c r="KAL84" s="23"/>
      <c r="KAM84" s="50"/>
      <c r="KAN84" s="51"/>
      <c r="KAO84" s="50"/>
      <c r="KAP84" s="23"/>
      <c r="KAQ84" s="50"/>
      <c r="KAR84" s="51"/>
      <c r="KAS84" s="50"/>
      <c r="KAT84" s="23"/>
      <c r="KAU84" s="50"/>
      <c r="KAV84" s="51"/>
      <c r="KAW84" s="50"/>
      <c r="KAX84" s="23"/>
      <c r="KAY84" s="50"/>
      <c r="KAZ84" s="51"/>
      <c r="KBA84" s="50"/>
      <c r="KBB84" s="23"/>
      <c r="KBC84" s="50"/>
      <c r="KBD84" s="51"/>
      <c r="KBE84" s="50"/>
      <c r="KBF84" s="23"/>
      <c r="KBG84" s="50"/>
      <c r="KBH84" s="51"/>
      <c r="KBI84" s="50"/>
      <c r="KBJ84" s="23"/>
      <c r="KBK84" s="50"/>
      <c r="KBL84" s="51"/>
      <c r="KBM84" s="50"/>
      <c r="KBN84" s="23"/>
      <c r="KBO84" s="50"/>
      <c r="KBP84" s="51"/>
      <c r="KBQ84" s="50"/>
      <c r="KBR84" s="23"/>
      <c r="KBS84" s="50"/>
      <c r="KBT84" s="51"/>
      <c r="KBU84" s="50"/>
      <c r="KBV84" s="23"/>
      <c r="KBW84" s="50"/>
      <c r="KBX84" s="51"/>
      <c r="KBY84" s="50"/>
      <c r="KBZ84" s="23"/>
      <c r="KCA84" s="50"/>
      <c r="KCB84" s="51"/>
      <c r="KCC84" s="50"/>
      <c r="KCD84" s="23"/>
      <c r="KCE84" s="50"/>
      <c r="KCF84" s="51"/>
      <c r="KCG84" s="50"/>
      <c r="KCH84" s="23"/>
      <c r="KCI84" s="50"/>
      <c r="KCJ84" s="51"/>
      <c r="KCK84" s="50"/>
      <c r="KCL84" s="23"/>
      <c r="KCM84" s="50"/>
      <c r="KCN84" s="51"/>
      <c r="KCO84" s="50"/>
      <c r="KCP84" s="23"/>
      <c r="KCQ84" s="50"/>
      <c r="KCR84" s="51"/>
      <c r="KCS84" s="50"/>
      <c r="KCT84" s="23"/>
      <c r="KCU84" s="50"/>
      <c r="KCV84" s="51"/>
      <c r="KCW84" s="50"/>
      <c r="KCX84" s="23"/>
      <c r="KCY84" s="50"/>
      <c r="KCZ84" s="51"/>
      <c r="KDA84" s="50"/>
      <c r="KDB84" s="23"/>
      <c r="KDC84" s="50"/>
      <c r="KDD84" s="51"/>
      <c r="KDE84" s="50"/>
      <c r="KDF84" s="23"/>
      <c r="KDG84" s="50"/>
      <c r="KDH84" s="51"/>
      <c r="KDI84" s="50"/>
      <c r="KDJ84" s="23"/>
      <c r="KDK84" s="50"/>
      <c r="KDL84" s="51"/>
      <c r="KDM84" s="50"/>
      <c r="KDN84" s="23"/>
      <c r="KDO84" s="50"/>
      <c r="KDP84" s="51"/>
      <c r="KDQ84" s="50"/>
      <c r="KDR84" s="23"/>
      <c r="KDS84" s="50"/>
      <c r="KDT84" s="51"/>
      <c r="KDU84" s="50"/>
      <c r="KDV84" s="23"/>
      <c r="KDW84" s="50"/>
      <c r="KDX84" s="51"/>
      <c r="KDY84" s="50"/>
      <c r="KDZ84" s="23"/>
      <c r="KEA84" s="50"/>
      <c r="KEB84" s="51"/>
      <c r="KEC84" s="50"/>
      <c r="KED84" s="23"/>
      <c r="KEE84" s="50"/>
      <c r="KEF84" s="51"/>
      <c r="KEG84" s="50"/>
      <c r="KEH84" s="23"/>
      <c r="KEI84" s="50"/>
      <c r="KEJ84" s="51"/>
      <c r="KEK84" s="50"/>
      <c r="KEL84" s="23"/>
      <c r="KEM84" s="50"/>
      <c r="KEN84" s="51"/>
      <c r="KEO84" s="50"/>
      <c r="KEP84" s="23"/>
      <c r="KEQ84" s="50"/>
      <c r="KER84" s="51"/>
      <c r="KES84" s="50"/>
      <c r="KET84" s="23"/>
      <c r="KEU84" s="50"/>
      <c r="KEV84" s="51"/>
      <c r="KEW84" s="50"/>
      <c r="KEX84" s="23"/>
      <c r="KEY84" s="50"/>
      <c r="KEZ84" s="51"/>
      <c r="KFA84" s="50"/>
      <c r="KFB84" s="23"/>
      <c r="KFC84" s="50"/>
      <c r="KFD84" s="51"/>
      <c r="KFE84" s="50"/>
      <c r="KFF84" s="23"/>
      <c r="KFG84" s="50"/>
      <c r="KFH84" s="51"/>
      <c r="KFI84" s="50"/>
      <c r="KFJ84" s="23"/>
      <c r="KFK84" s="50"/>
      <c r="KFL84" s="51"/>
      <c r="KFM84" s="50"/>
      <c r="KFN84" s="23"/>
      <c r="KFO84" s="50"/>
      <c r="KFP84" s="51"/>
      <c r="KFQ84" s="50"/>
      <c r="KFR84" s="23"/>
      <c r="KFS84" s="50"/>
      <c r="KFT84" s="51"/>
      <c r="KFU84" s="50"/>
      <c r="KFV84" s="23"/>
      <c r="KFW84" s="50"/>
      <c r="KFX84" s="51"/>
      <c r="KFY84" s="50"/>
      <c r="KFZ84" s="23"/>
      <c r="KGA84" s="50"/>
      <c r="KGB84" s="51"/>
      <c r="KGC84" s="50"/>
      <c r="KGD84" s="23"/>
      <c r="KGE84" s="50"/>
      <c r="KGF84" s="51"/>
      <c r="KGG84" s="50"/>
      <c r="KGH84" s="23"/>
      <c r="KGI84" s="50"/>
      <c r="KGJ84" s="51"/>
      <c r="KGK84" s="50"/>
      <c r="KGL84" s="23"/>
      <c r="KGM84" s="50"/>
      <c r="KGN84" s="51"/>
      <c r="KGO84" s="50"/>
      <c r="KGP84" s="23"/>
      <c r="KGQ84" s="50"/>
      <c r="KGR84" s="51"/>
      <c r="KGS84" s="50"/>
      <c r="KGT84" s="23"/>
      <c r="KGU84" s="50"/>
      <c r="KGV84" s="51"/>
      <c r="KGW84" s="50"/>
      <c r="KGX84" s="23"/>
      <c r="KGY84" s="50"/>
      <c r="KGZ84" s="51"/>
      <c r="KHA84" s="50"/>
      <c r="KHB84" s="23"/>
      <c r="KHC84" s="50"/>
      <c r="KHD84" s="51"/>
      <c r="KHE84" s="50"/>
      <c r="KHF84" s="23"/>
      <c r="KHG84" s="50"/>
      <c r="KHH84" s="51"/>
      <c r="KHI84" s="50"/>
      <c r="KHJ84" s="23"/>
      <c r="KHK84" s="50"/>
      <c r="KHL84" s="51"/>
      <c r="KHM84" s="50"/>
      <c r="KHN84" s="23"/>
      <c r="KHO84" s="50"/>
      <c r="KHP84" s="51"/>
      <c r="KHQ84" s="50"/>
      <c r="KHR84" s="23"/>
      <c r="KHS84" s="50"/>
      <c r="KHT84" s="51"/>
      <c r="KHU84" s="50"/>
      <c r="KHV84" s="23"/>
      <c r="KHW84" s="50"/>
      <c r="KHX84" s="51"/>
      <c r="KHY84" s="50"/>
      <c r="KHZ84" s="23"/>
      <c r="KIA84" s="50"/>
      <c r="KIB84" s="51"/>
      <c r="KIC84" s="50"/>
      <c r="KID84" s="23"/>
      <c r="KIE84" s="50"/>
      <c r="KIF84" s="51"/>
      <c r="KIG84" s="50"/>
      <c r="KIH84" s="23"/>
      <c r="KII84" s="50"/>
      <c r="KIJ84" s="51"/>
      <c r="KIK84" s="50"/>
      <c r="KIL84" s="23"/>
      <c r="KIM84" s="50"/>
      <c r="KIN84" s="51"/>
      <c r="KIO84" s="50"/>
      <c r="KIP84" s="23"/>
      <c r="KIQ84" s="50"/>
      <c r="KIR84" s="51"/>
      <c r="KIS84" s="50"/>
      <c r="KIT84" s="23"/>
      <c r="KIU84" s="50"/>
      <c r="KIV84" s="51"/>
      <c r="KIW84" s="50"/>
      <c r="KIX84" s="23"/>
      <c r="KIY84" s="50"/>
      <c r="KIZ84" s="51"/>
      <c r="KJA84" s="50"/>
      <c r="KJB84" s="23"/>
      <c r="KJC84" s="50"/>
      <c r="KJD84" s="51"/>
      <c r="KJE84" s="50"/>
      <c r="KJF84" s="23"/>
      <c r="KJG84" s="50"/>
      <c r="KJH84" s="51"/>
      <c r="KJI84" s="50"/>
      <c r="KJJ84" s="23"/>
      <c r="KJK84" s="50"/>
      <c r="KJL84" s="51"/>
      <c r="KJM84" s="50"/>
      <c r="KJN84" s="23"/>
      <c r="KJO84" s="50"/>
      <c r="KJP84" s="51"/>
      <c r="KJQ84" s="50"/>
      <c r="KJR84" s="23"/>
      <c r="KJS84" s="50"/>
      <c r="KJT84" s="51"/>
      <c r="KJU84" s="50"/>
      <c r="KJV84" s="23"/>
      <c r="KJW84" s="50"/>
      <c r="KJX84" s="51"/>
      <c r="KJY84" s="50"/>
      <c r="KJZ84" s="23"/>
      <c r="KKA84" s="50"/>
      <c r="KKB84" s="51"/>
      <c r="KKC84" s="50"/>
      <c r="KKD84" s="23"/>
      <c r="KKE84" s="50"/>
      <c r="KKF84" s="51"/>
      <c r="KKG84" s="50"/>
      <c r="KKH84" s="23"/>
      <c r="KKI84" s="50"/>
      <c r="KKJ84" s="51"/>
      <c r="KKK84" s="50"/>
      <c r="KKL84" s="23"/>
      <c r="KKM84" s="50"/>
      <c r="KKN84" s="51"/>
      <c r="KKO84" s="50"/>
      <c r="KKP84" s="23"/>
      <c r="KKQ84" s="50"/>
      <c r="KKR84" s="51"/>
      <c r="KKS84" s="50"/>
      <c r="KKT84" s="23"/>
      <c r="KKU84" s="50"/>
      <c r="KKV84" s="51"/>
      <c r="KKW84" s="50"/>
      <c r="KKX84" s="23"/>
      <c r="KKY84" s="50"/>
      <c r="KKZ84" s="51"/>
      <c r="KLA84" s="50"/>
      <c r="KLB84" s="23"/>
      <c r="KLC84" s="50"/>
      <c r="KLD84" s="51"/>
      <c r="KLE84" s="50"/>
      <c r="KLF84" s="23"/>
      <c r="KLG84" s="50"/>
      <c r="KLH84" s="51"/>
      <c r="KLI84" s="50"/>
      <c r="KLJ84" s="23"/>
      <c r="KLK84" s="50"/>
      <c r="KLL84" s="51"/>
      <c r="KLM84" s="50"/>
      <c r="KLN84" s="23"/>
      <c r="KLO84" s="50"/>
      <c r="KLP84" s="51"/>
      <c r="KLQ84" s="50"/>
      <c r="KLR84" s="23"/>
      <c r="KLS84" s="50"/>
      <c r="KLT84" s="51"/>
      <c r="KLU84" s="50"/>
      <c r="KLV84" s="23"/>
      <c r="KLW84" s="50"/>
      <c r="KLX84" s="51"/>
      <c r="KLY84" s="50"/>
      <c r="KLZ84" s="23"/>
      <c r="KMA84" s="50"/>
      <c r="KMB84" s="51"/>
      <c r="KMC84" s="50"/>
      <c r="KMD84" s="23"/>
      <c r="KME84" s="50"/>
      <c r="KMF84" s="51"/>
      <c r="KMG84" s="50"/>
      <c r="KMH84" s="23"/>
      <c r="KMI84" s="50"/>
      <c r="KMJ84" s="51"/>
      <c r="KMK84" s="50"/>
      <c r="KML84" s="23"/>
      <c r="KMM84" s="50"/>
      <c r="KMN84" s="51"/>
      <c r="KMO84" s="50"/>
      <c r="KMP84" s="23"/>
      <c r="KMQ84" s="50"/>
      <c r="KMR84" s="51"/>
      <c r="KMS84" s="50"/>
      <c r="KMT84" s="23"/>
      <c r="KMU84" s="50"/>
      <c r="KMV84" s="51"/>
      <c r="KMW84" s="50"/>
      <c r="KMX84" s="23"/>
      <c r="KMY84" s="50"/>
      <c r="KMZ84" s="51"/>
      <c r="KNA84" s="50"/>
      <c r="KNB84" s="23"/>
      <c r="KNC84" s="50"/>
      <c r="KND84" s="51"/>
      <c r="KNE84" s="50"/>
      <c r="KNF84" s="23"/>
      <c r="KNG84" s="50"/>
      <c r="KNH84" s="51"/>
      <c r="KNI84" s="50"/>
      <c r="KNJ84" s="23"/>
      <c r="KNK84" s="50"/>
      <c r="KNL84" s="51"/>
      <c r="KNM84" s="50"/>
      <c r="KNN84" s="23"/>
      <c r="KNO84" s="50"/>
      <c r="KNP84" s="51"/>
      <c r="KNQ84" s="50"/>
      <c r="KNR84" s="23"/>
      <c r="KNS84" s="50"/>
      <c r="KNT84" s="51"/>
      <c r="KNU84" s="50"/>
      <c r="KNV84" s="23"/>
      <c r="KNW84" s="50"/>
      <c r="KNX84" s="51"/>
      <c r="KNY84" s="50"/>
      <c r="KNZ84" s="23"/>
      <c r="KOA84" s="50"/>
      <c r="KOB84" s="51"/>
      <c r="KOC84" s="50"/>
      <c r="KOD84" s="23"/>
      <c r="KOE84" s="50"/>
      <c r="KOF84" s="51"/>
      <c r="KOG84" s="50"/>
      <c r="KOH84" s="23"/>
      <c r="KOI84" s="50"/>
      <c r="KOJ84" s="51"/>
      <c r="KOK84" s="50"/>
      <c r="KOL84" s="23"/>
      <c r="KOM84" s="50"/>
      <c r="KON84" s="51"/>
      <c r="KOO84" s="50"/>
      <c r="KOP84" s="23"/>
      <c r="KOQ84" s="50"/>
      <c r="KOR84" s="51"/>
      <c r="KOS84" s="50"/>
      <c r="KOT84" s="23"/>
      <c r="KOU84" s="50"/>
      <c r="KOV84" s="51"/>
      <c r="KOW84" s="50"/>
      <c r="KOX84" s="23"/>
      <c r="KOY84" s="50"/>
      <c r="KOZ84" s="51"/>
      <c r="KPA84" s="50"/>
      <c r="KPB84" s="23"/>
      <c r="KPC84" s="50"/>
      <c r="KPD84" s="51"/>
      <c r="KPE84" s="50"/>
      <c r="KPF84" s="23"/>
      <c r="KPG84" s="50"/>
      <c r="KPH84" s="51"/>
      <c r="KPI84" s="50"/>
      <c r="KPJ84" s="23"/>
      <c r="KPK84" s="50"/>
      <c r="KPL84" s="51"/>
      <c r="KPM84" s="50"/>
      <c r="KPN84" s="23"/>
      <c r="KPO84" s="50"/>
      <c r="KPP84" s="51"/>
      <c r="KPQ84" s="50"/>
      <c r="KPR84" s="23"/>
      <c r="KPS84" s="50"/>
      <c r="KPT84" s="51"/>
      <c r="KPU84" s="50"/>
      <c r="KPV84" s="23"/>
      <c r="KPW84" s="50"/>
      <c r="KPX84" s="51"/>
      <c r="KPY84" s="50"/>
      <c r="KPZ84" s="23"/>
      <c r="KQA84" s="50"/>
      <c r="KQB84" s="51"/>
      <c r="KQC84" s="50"/>
      <c r="KQD84" s="23"/>
      <c r="KQE84" s="50"/>
      <c r="KQF84" s="51"/>
      <c r="KQG84" s="50"/>
      <c r="KQH84" s="23"/>
      <c r="KQI84" s="50"/>
      <c r="KQJ84" s="51"/>
      <c r="KQK84" s="50"/>
      <c r="KQL84" s="23"/>
      <c r="KQM84" s="50"/>
      <c r="KQN84" s="51"/>
      <c r="KQO84" s="50"/>
      <c r="KQP84" s="23"/>
      <c r="KQQ84" s="50"/>
      <c r="KQR84" s="51"/>
      <c r="KQS84" s="50"/>
      <c r="KQT84" s="23"/>
      <c r="KQU84" s="50"/>
      <c r="KQV84" s="51"/>
      <c r="KQW84" s="50"/>
      <c r="KQX84" s="23"/>
      <c r="KQY84" s="50"/>
      <c r="KQZ84" s="51"/>
      <c r="KRA84" s="50"/>
      <c r="KRB84" s="23"/>
      <c r="KRC84" s="50"/>
      <c r="KRD84" s="51"/>
      <c r="KRE84" s="50"/>
      <c r="KRF84" s="23"/>
      <c r="KRG84" s="50"/>
      <c r="KRH84" s="51"/>
      <c r="KRI84" s="50"/>
      <c r="KRJ84" s="23"/>
      <c r="KRK84" s="50"/>
      <c r="KRL84" s="51"/>
      <c r="KRM84" s="50"/>
      <c r="KRN84" s="23"/>
      <c r="KRO84" s="50"/>
      <c r="KRP84" s="51"/>
      <c r="KRQ84" s="50"/>
      <c r="KRR84" s="23"/>
      <c r="KRS84" s="50"/>
      <c r="KRT84" s="51"/>
      <c r="KRU84" s="50"/>
      <c r="KRV84" s="23"/>
      <c r="KRW84" s="50"/>
      <c r="KRX84" s="51"/>
      <c r="KRY84" s="50"/>
      <c r="KRZ84" s="23"/>
      <c r="KSA84" s="50"/>
      <c r="KSB84" s="51"/>
      <c r="KSC84" s="50"/>
      <c r="KSD84" s="23"/>
      <c r="KSE84" s="50"/>
      <c r="KSF84" s="51"/>
      <c r="KSG84" s="50"/>
      <c r="KSH84" s="23"/>
      <c r="KSI84" s="50"/>
      <c r="KSJ84" s="51"/>
      <c r="KSK84" s="50"/>
      <c r="KSL84" s="23"/>
      <c r="KSM84" s="50"/>
      <c r="KSN84" s="51"/>
      <c r="KSO84" s="50"/>
      <c r="KSP84" s="23"/>
      <c r="KSQ84" s="50"/>
      <c r="KSR84" s="51"/>
      <c r="KSS84" s="50"/>
      <c r="KST84" s="23"/>
      <c r="KSU84" s="50"/>
      <c r="KSV84" s="51"/>
      <c r="KSW84" s="50"/>
      <c r="KSX84" s="23"/>
      <c r="KSY84" s="50"/>
      <c r="KSZ84" s="51"/>
      <c r="KTA84" s="50"/>
      <c r="KTB84" s="23"/>
      <c r="KTC84" s="50"/>
      <c r="KTD84" s="51"/>
      <c r="KTE84" s="50"/>
      <c r="KTF84" s="23"/>
      <c r="KTG84" s="50"/>
      <c r="KTH84" s="51"/>
      <c r="KTI84" s="50"/>
      <c r="KTJ84" s="23"/>
      <c r="KTK84" s="50"/>
      <c r="KTL84" s="51"/>
      <c r="KTM84" s="50"/>
      <c r="KTN84" s="23"/>
      <c r="KTO84" s="50"/>
      <c r="KTP84" s="51"/>
      <c r="KTQ84" s="50"/>
      <c r="KTR84" s="23"/>
      <c r="KTS84" s="50"/>
      <c r="KTT84" s="51"/>
      <c r="KTU84" s="50"/>
      <c r="KTV84" s="23"/>
      <c r="KTW84" s="50"/>
      <c r="KTX84" s="51"/>
      <c r="KTY84" s="50"/>
      <c r="KTZ84" s="23"/>
      <c r="KUA84" s="50"/>
      <c r="KUB84" s="51"/>
      <c r="KUC84" s="50"/>
      <c r="KUD84" s="23"/>
      <c r="KUE84" s="50"/>
      <c r="KUF84" s="51"/>
      <c r="KUG84" s="50"/>
      <c r="KUH84" s="23"/>
      <c r="KUI84" s="50"/>
      <c r="KUJ84" s="51"/>
      <c r="KUK84" s="50"/>
      <c r="KUL84" s="23"/>
      <c r="KUM84" s="50"/>
      <c r="KUN84" s="51"/>
      <c r="KUO84" s="50"/>
      <c r="KUP84" s="23"/>
      <c r="KUQ84" s="50"/>
      <c r="KUR84" s="51"/>
      <c r="KUS84" s="50"/>
      <c r="KUT84" s="23"/>
      <c r="KUU84" s="50"/>
      <c r="KUV84" s="51"/>
      <c r="KUW84" s="50"/>
      <c r="KUX84" s="23"/>
      <c r="KUY84" s="50"/>
      <c r="KUZ84" s="51"/>
      <c r="KVA84" s="50"/>
      <c r="KVB84" s="23"/>
      <c r="KVC84" s="50"/>
      <c r="KVD84" s="51"/>
      <c r="KVE84" s="50"/>
      <c r="KVF84" s="23"/>
      <c r="KVG84" s="50"/>
      <c r="KVH84" s="51"/>
      <c r="KVI84" s="50"/>
      <c r="KVJ84" s="23"/>
      <c r="KVK84" s="50"/>
      <c r="KVL84" s="51"/>
      <c r="KVM84" s="50"/>
      <c r="KVN84" s="23"/>
      <c r="KVO84" s="50"/>
      <c r="KVP84" s="51"/>
      <c r="KVQ84" s="50"/>
      <c r="KVR84" s="23"/>
      <c r="KVS84" s="50"/>
      <c r="KVT84" s="51"/>
      <c r="KVU84" s="50"/>
      <c r="KVV84" s="23"/>
      <c r="KVW84" s="50"/>
      <c r="KVX84" s="51"/>
      <c r="KVY84" s="50"/>
      <c r="KVZ84" s="23"/>
      <c r="KWA84" s="50"/>
      <c r="KWB84" s="51"/>
      <c r="KWC84" s="50"/>
      <c r="KWD84" s="23"/>
      <c r="KWE84" s="50"/>
      <c r="KWF84" s="51"/>
      <c r="KWG84" s="50"/>
      <c r="KWH84" s="23"/>
      <c r="KWI84" s="50"/>
      <c r="KWJ84" s="51"/>
      <c r="KWK84" s="50"/>
      <c r="KWL84" s="23"/>
      <c r="KWM84" s="50"/>
      <c r="KWN84" s="51"/>
      <c r="KWO84" s="50"/>
      <c r="KWP84" s="23"/>
      <c r="KWQ84" s="50"/>
      <c r="KWR84" s="51"/>
      <c r="KWS84" s="50"/>
      <c r="KWT84" s="23"/>
      <c r="KWU84" s="50"/>
      <c r="KWV84" s="51"/>
      <c r="KWW84" s="50"/>
      <c r="KWX84" s="23"/>
      <c r="KWY84" s="50"/>
      <c r="KWZ84" s="51"/>
      <c r="KXA84" s="50"/>
      <c r="KXB84" s="23"/>
      <c r="KXC84" s="50"/>
      <c r="KXD84" s="51"/>
      <c r="KXE84" s="50"/>
      <c r="KXF84" s="23"/>
      <c r="KXG84" s="50"/>
      <c r="KXH84" s="51"/>
      <c r="KXI84" s="50"/>
      <c r="KXJ84" s="23"/>
      <c r="KXK84" s="50"/>
      <c r="KXL84" s="51"/>
      <c r="KXM84" s="50"/>
      <c r="KXN84" s="23"/>
      <c r="KXO84" s="50"/>
      <c r="KXP84" s="51"/>
      <c r="KXQ84" s="50"/>
      <c r="KXR84" s="23"/>
      <c r="KXS84" s="50"/>
      <c r="KXT84" s="51"/>
      <c r="KXU84" s="50"/>
      <c r="KXV84" s="23"/>
      <c r="KXW84" s="50"/>
      <c r="KXX84" s="51"/>
      <c r="KXY84" s="50"/>
      <c r="KXZ84" s="23"/>
      <c r="KYA84" s="50"/>
      <c r="KYB84" s="51"/>
      <c r="KYC84" s="50"/>
      <c r="KYD84" s="23"/>
      <c r="KYE84" s="50"/>
      <c r="KYF84" s="51"/>
      <c r="KYG84" s="50"/>
      <c r="KYH84" s="23"/>
      <c r="KYI84" s="50"/>
      <c r="KYJ84" s="51"/>
      <c r="KYK84" s="50"/>
      <c r="KYL84" s="23"/>
      <c r="KYM84" s="50"/>
      <c r="KYN84" s="51"/>
      <c r="KYO84" s="50"/>
      <c r="KYP84" s="23"/>
      <c r="KYQ84" s="50"/>
      <c r="KYR84" s="51"/>
      <c r="KYS84" s="50"/>
      <c r="KYT84" s="23"/>
      <c r="KYU84" s="50"/>
      <c r="KYV84" s="51"/>
      <c r="KYW84" s="50"/>
      <c r="KYX84" s="23"/>
      <c r="KYY84" s="50"/>
      <c r="KYZ84" s="51"/>
      <c r="KZA84" s="50"/>
      <c r="KZB84" s="23"/>
      <c r="KZC84" s="50"/>
      <c r="KZD84" s="51"/>
      <c r="KZE84" s="50"/>
      <c r="KZF84" s="23"/>
      <c r="KZG84" s="50"/>
      <c r="KZH84" s="51"/>
      <c r="KZI84" s="50"/>
      <c r="KZJ84" s="23"/>
      <c r="KZK84" s="50"/>
      <c r="KZL84" s="51"/>
      <c r="KZM84" s="50"/>
      <c r="KZN84" s="23"/>
      <c r="KZO84" s="50"/>
      <c r="KZP84" s="51"/>
      <c r="KZQ84" s="50"/>
      <c r="KZR84" s="23"/>
      <c r="KZS84" s="50"/>
      <c r="KZT84" s="51"/>
      <c r="KZU84" s="50"/>
      <c r="KZV84" s="23"/>
      <c r="KZW84" s="50"/>
      <c r="KZX84" s="51"/>
      <c r="KZY84" s="50"/>
      <c r="KZZ84" s="23"/>
      <c r="LAA84" s="50"/>
      <c r="LAB84" s="51"/>
      <c r="LAC84" s="50"/>
      <c r="LAD84" s="23"/>
      <c r="LAE84" s="50"/>
      <c r="LAF84" s="51"/>
      <c r="LAG84" s="50"/>
      <c r="LAH84" s="23"/>
      <c r="LAI84" s="50"/>
      <c r="LAJ84" s="51"/>
      <c r="LAK84" s="50"/>
      <c r="LAL84" s="23"/>
      <c r="LAM84" s="50"/>
      <c r="LAN84" s="51"/>
      <c r="LAO84" s="50"/>
      <c r="LAP84" s="23"/>
      <c r="LAQ84" s="50"/>
      <c r="LAR84" s="51"/>
      <c r="LAS84" s="50"/>
      <c r="LAT84" s="23"/>
      <c r="LAU84" s="50"/>
      <c r="LAV84" s="51"/>
      <c r="LAW84" s="50"/>
      <c r="LAX84" s="23"/>
      <c r="LAY84" s="50"/>
      <c r="LAZ84" s="51"/>
      <c r="LBA84" s="50"/>
      <c r="LBB84" s="23"/>
      <c r="LBC84" s="50"/>
      <c r="LBD84" s="51"/>
      <c r="LBE84" s="50"/>
      <c r="LBF84" s="23"/>
      <c r="LBG84" s="50"/>
      <c r="LBH84" s="51"/>
      <c r="LBI84" s="50"/>
      <c r="LBJ84" s="23"/>
      <c r="LBK84" s="50"/>
      <c r="LBL84" s="51"/>
      <c r="LBM84" s="50"/>
      <c r="LBN84" s="23"/>
      <c r="LBO84" s="50"/>
      <c r="LBP84" s="51"/>
      <c r="LBQ84" s="50"/>
      <c r="LBR84" s="23"/>
      <c r="LBS84" s="50"/>
      <c r="LBT84" s="51"/>
      <c r="LBU84" s="50"/>
      <c r="LBV84" s="23"/>
      <c r="LBW84" s="50"/>
      <c r="LBX84" s="51"/>
      <c r="LBY84" s="50"/>
      <c r="LBZ84" s="23"/>
      <c r="LCA84" s="50"/>
      <c r="LCB84" s="51"/>
      <c r="LCC84" s="50"/>
      <c r="LCD84" s="23"/>
      <c r="LCE84" s="50"/>
      <c r="LCF84" s="51"/>
      <c r="LCG84" s="50"/>
      <c r="LCH84" s="23"/>
      <c r="LCI84" s="50"/>
      <c r="LCJ84" s="51"/>
      <c r="LCK84" s="50"/>
      <c r="LCL84" s="23"/>
      <c r="LCM84" s="50"/>
      <c r="LCN84" s="51"/>
      <c r="LCO84" s="50"/>
      <c r="LCP84" s="23"/>
      <c r="LCQ84" s="50"/>
      <c r="LCR84" s="51"/>
      <c r="LCS84" s="50"/>
      <c r="LCT84" s="23"/>
      <c r="LCU84" s="50"/>
      <c r="LCV84" s="51"/>
      <c r="LCW84" s="50"/>
      <c r="LCX84" s="23"/>
      <c r="LCY84" s="50"/>
      <c r="LCZ84" s="51"/>
      <c r="LDA84" s="50"/>
      <c r="LDB84" s="23"/>
      <c r="LDC84" s="50"/>
      <c r="LDD84" s="51"/>
      <c r="LDE84" s="50"/>
      <c r="LDF84" s="23"/>
      <c r="LDG84" s="50"/>
      <c r="LDH84" s="51"/>
      <c r="LDI84" s="50"/>
      <c r="LDJ84" s="23"/>
      <c r="LDK84" s="50"/>
      <c r="LDL84" s="51"/>
      <c r="LDM84" s="50"/>
      <c r="LDN84" s="23"/>
      <c r="LDO84" s="50"/>
      <c r="LDP84" s="51"/>
      <c r="LDQ84" s="50"/>
      <c r="LDR84" s="23"/>
      <c r="LDS84" s="50"/>
      <c r="LDT84" s="51"/>
      <c r="LDU84" s="50"/>
      <c r="LDV84" s="23"/>
      <c r="LDW84" s="50"/>
      <c r="LDX84" s="51"/>
      <c r="LDY84" s="50"/>
      <c r="LDZ84" s="23"/>
      <c r="LEA84" s="50"/>
      <c r="LEB84" s="51"/>
      <c r="LEC84" s="50"/>
      <c r="LED84" s="23"/>
      <c r="LEE84" s="50"/>
      <c r="LEF84" s="51"/>
      <c r="LEG84" s="50"/>
      <c r="LEH84" s="23"/>
      <c r="LEI84" s="50"/>
      <c r="LEJ84" s="51"/>
      <c r="LEK84" s="50"/>
      <c r="LEL84" s="23"/>
      <c r="LEM84" s="50"/>
      <c r="LEN84" s="51"/>
      <c r="LEO84" s="50"/>
      <c r="LEP84" s="23"/>
      <c r="LEQ84" s="50"/>
      <c r="LER84" s="51"/>
      <c r="LES84" s="50"/>
      <c r="LET84" s="23"/>
      <c r="LEU84" s="50"/>
      <c r="LEV84" s="51"/>
      <c r="LEW84" s="50"/>
      <c r="LEX84" s="23"/>
      <c r="LEY84" s="50"/>
      <c r="LEZ84" s="51"/>
      <c r="LFA84" s="50"/>
      <c r="LFB84" s="23"/>
      <c r="LFC84" s="50"/>
      <c r="LFD84" s="51"/>
      <c r="LFE84" s="50"/>
      <c r="LFF84" s="23"/>
      <c r="LFG84" s="50"/>
      <c r="LFH84" s="51"/>
      <c r="LFI84" s="50"/>
      <c r="LFJ84" s="23"/>
      <c r="LFK84" s="50"/>
      <c r="LFL84" s="51"/>
      <c r="LFM84" s="50"/>
      <c r="LFN84" s="23"/>
      <c r="LFO84" s="50"/>
      <c r="LFP84" s="51"/>
      <c r="LFQ84" s="50"/>
      <c r="LFR84" s="23"/>
      <c r="LFS84" s="50"/>
      <c r="LFT84" s="51"/>
      <c r="LFU84" s="50"/>
      <c r="LFV84" s="23"/>
      <c r="LFW84" s="50"/>
      <c r="LFX84" s="51"/>
      <c r="LFY84" s="50"/>
      <c r="LFZ84" s="23"/>
      <c r="LGA84" s="50"/>
      <c r="LGB84" s="51"/>
      <c r="LGC84" s="50"/>
      <c r="LGD84" s="23"/>
      <c r="LGE84" s="50"/>
      <c r="LGF84" s="51"/>
      <c r="LGG84" s="50"/>
      <c r="LGH84" s="23"/>
      <c r="LGI84" s="50"/>
      <c r="LGJ84" s="51"/>
      <c r="LGK84" s="50"/>
      <c r="LGL84" s="23"/>
      <c r="LGM84" s="50"/>
      <c r="LGN84" s="51"/>
      <c r="LGO84" s="50"/>
      <c r="LGP84" s="23"/>
      <c r="LGQ84" s="50"/>
      <c r="LGR84" s="51"/>
      <c r="LGS84" s="50"/>
      <c r="LGT84" s="23"/>
      <c r="LGU84" s="50"/>
      <c r="LGV84" s="51"/>
      <c r="LGW84" s="50"/>
      <c r="LGX84" s="23"/>
      <c r="LGY84" s="50"/>
      <c r="LGZ84" s="51"/>
      <c r="LHA84" s="50"/>
      <c r="LHB84" s="23"/>
      <c r="LHC84" s="50"/>
      <c r="LHD84" s="51"/>
      <c r="LHE84" s="50"/>
      <c r="LHF84" s="23"/>
      <c r="LHG84" s="50"/>
      <c r="LHH84" s="51"/>
      <c r="LHI84" s="50"/>
      <c r="LHJ84" s="23"/>
      <c r="LHK84" s="50"/>
      <c r="LHL84" s="51"/>
      <c r="LHM84" s="50"/>
      <c r="LHN84" s="23"/>
      <c r="LHO84" s="50"/>
      <c r="LHP84" s="51"/>
      <c r="LHQ84" s="50"/>
      <c r="LHR84" s="23"/>
      <c r="LHS84" s="50"/>
      <c r="LHT84" s="51"/>
      <c r="LHU84" s="50"/>
      <c r="LHV84" s="23"/>
      <c r="LHW84" s="50"/>
      <c r="LHX84" s="51"/>
      <c r="LHY84" s="50"/>
      <c r="LHZ84" s="23"/>
      <c r="LIA84" s="50"/>
      <c r="LIB84" s="51"/>
      <c r="LIC84" s="50"/>
      <c r="LID84" s="23"/>
      <c r="LIE84" s="50"/>
      <c r="LIF84" s="51"/>
      <c r="LIG84" s="50"/>
      <c r="LIH84" s="23"/>
      <c r="LII84" s="50"/>
      <c r="LIJ84" s="51"/>
      <c r="LIK84" s="50"/>
      <c r="LIL84" s="23"/>
      <c r="LIM84" s="50"/>
      <c r="LIN84" s="51"/>
      <c r="LIO84" s="50"/>
      <c r="LIP84" s="23"/>
      <c r="LIQ84" s="50"/>
      <c r="LIR84" s="51"/>
      <c r="LIS84" s="50"/>
      <c r="LIT84" s="23"/>
      <c r="LIU84" s="50"/>
      <c r="LIV84" s="51"/>
      <c r="LIW84" s="50"/>
      <c r="LIX84" s="23"/>
      <c r="LIY84" s="50"/>
      <c r="LIZ84" s="51"/>
      <c r="LJA84" s="50"/>
      <c r="LJB84" s="23"/>
      <c r="LJC84" s="50"/>
      <c r="LJD84" s="51"/>
      <c r="LJE84" s="50"/>
      <c r="LJF84" s="23"/>
      <c r="LJG84" s="50"/>
      <c r="LJH84" s="51"/>
      <c r="LJI84" s="50"/>
      <c r="LJJ84" s="23"/>
      <c r="LJK84" s="50"/>
      <c r="LJL84" s="51"/>
      <c r="LJM84" s="50"/>
      <c r="LJN84" s="23"/>
      <c r="LJO84" s="50"/>
      <c r="LJP84" s="51"/>
      <c r="LJQ84" s="50"/>
      <c r="LJR84" s="23"/>
      <c r="LJS84" s="50"/>
      <c r="LJT84" s="51"/>
      <c r="LJU84" s="50"/>
      <c r="LJV84" s="23"/>
      <c r="LJW84" s="50"/>
      <c r="LJX84" s="51"/>
      <c r="LJY84" s="50"/>
      <c r="LJZ84" s="23"/>
      <c r="LKA84" s="50"/>
      <c r="LKB84" s="51"/>
      <c r="LKC84" s="50"/>
      <c r="LKD84" s="23"/>
      <c r="LKE84" s="50"/>
      <c r="LKF84" s="51"/>
      <c r="LKG84" s="50"/>
      <c r="LKH84" s="23"/>
      <c r="LKI84" s="50"/>
      <c r="LKJ84" s="51"/>
      <c r="LKK84" s="50"/>
      <c r="LKL84" s="23"/>
      <c r="LKM84" s="50"/>
      <c r="LKN84" s="51"/>
      <c r="LKO84" s="50"/>
      <c r="LKP84" s="23"/>
      <c r="LKQ84" s="50"/>
      <c r="LKR84" s="51"/>
      <c r="LKS84" s="50"/>
      <c r="LKT84" s="23"/>
      <c r="LKU84" s="50"/>
      <c r="LKV84" s="51"/>
      <c r="LKW84" s="50"/>
      <c r="LKX84" s="23"/>
      <c r="LKY84" s="50"/>
      <c r="LKZ84" s="51"/>
      <c r="LLA84" s="50"/>
      <c r="LLB84" s="23"/>
      <c r="LLC84" s="50"/>
      <c r="LLD84" s="51"/>
      <c r="LLE84" s="50"/>
      <c r="LLF84" s="23"/>
      <c r="LLG84" s="50"/>
      <c r="LLH84" s="51"/>
      <c r="LLI84" s="50"/>
      <c r="LLJ84" s="23"/>
      <c r="LLK84" s="50"/>
      <c r="LLL84" s="51"/>
      <c r="LLM84" s="50"/>
      <c r="LLN84" s="23"/>
      <c r="LLO84" s="50"/>
      <c r="LLP84" s="51"/>
      <c r="LLQ84" s="50"/>
      <c r="LLR84" s="23"/>
      <c r="LLS84" s="50"/>
      <c r="LLT84" s="51"/>
      <c r="LLU84" s="50"/>
      <c r="LLV84" s="23"/>
      <c r="LLW84" s="50"/>
      <c r="LLX84" s="51"/>
      <c r="LLY84" s="50"/>
      <c r="LLZ84" s="23"/>
      <c r="LMA84" s="50"/>
      <c r="LMB84" s="51"/>
      <c r="LMC84" s="50"/>
      <c r="LMD84" s="23"/>
      <c r="LME84" s="50"/>
      <c r="LMF84" s="51"/>
      <c r="LMG84" s="50"/>
      <c r="LMH84" s="23"/>
      <c r="LMI84" s="50"/>
      <c r="LMJ84" s="51"/>
      <c r="LMK84" s="50"/>
      <c r="LML84" s="23"/>
      <c r="LMM84" s="50"/>
      <c r="LMN84" s="51"/>
      <c r="LMO84" s="50"/>
      <c r="LMP84" s="23"/>
      <c r="LMQ84" s="50"/>
      <c r="LMR84" s="51"/>
      <c r="LMS84" s="50"/>
      <c r="LMT84" s="23"/>
      <c r="LMU84" s="50"/>
      <c r="LMV84" s="51"/>
      <c r="LMW84" s="50"/>
      <c r="LMX84" s="23"/>
      <c r="LMY84" s="50"/>
      <c r="LMZ84" s="51"/>
      <c r="LNA84" s="50"/>
      <c r="LNB84" s="23"/>
      <c r="LNC84" s="50"/>
      <c r="LND84" s="51"/>
      <c r="LNE84" s="50"/>
      <c r="LNF84" s="23"/>
      <c r="LNG84" s="50"/>
      <c r="LNH84" s="51"/>
      <c r="LNI84" s="50"/>
      <c r="LNJ84" s="23"/>
      <c r="LNK84" s="50"/>
      <c r="LNL84" s="51"/>
      <c r="LNM84" s="50"/>
      <c r="LNN84" s="23"/>
      <c r="LNO84" s="50"/>
      <c r="LNP84" s="51"/>
      <c r="LNQ84" s="50"/>
      <c r="LNR84" s="23"/>
      <c r="LNS84" s="50"/>
      <c r="LNT84" s="51"/>
      <c r="LNU84" s="50"/>
      <c r="LNV84" s="23"/>
      <c r="LNW84" s="50"/>
      <c r="LNX84" s="51"/>
      <c r="LNY84" s="50"/>
      <c r="LNZ84" s="23"/>
      <c r="LOA84" s="50"/>
      <c r="LOB84" s="51"/>
      <c r="LOC84" s="50"/>
      <c r="LOD84" s="23"/>
      <c r="LOE84" s="50"/>
      <c r="LOF84" s="51"/>
      <c r="LOG84" s="50"/>
      <c r="LOH84" s="23"/>
      <c r="LOI84" s="50"/>
      <c r="LOJ84" s="51"/>
      <c r="LOK84" s="50"/>
      <c r="LOL84" s="23"/>
      <c r="LOM84" s="50"/>
      <c r="LON84" s="51"/>
      <c r="LOO84" s="50"/>
      <c r="LOP84" s="23"/>
      <c r="LOQ84" s="50"/>
      <c r="LOR84" s="51"/>
      <c r="LOS84" s="50"/>
      <c r="LOT84" s="23"/>
      <c r="LOU84" s="50"/>
      <c r="LOV84" s="51"/>
      <c r="LOW84" s="50"/>
      <c r="LOX84" s="23"/>
      <c r="LOY84" s="50"/>
      <c r="LOZ84" s="51"/>
      <c r="LPA84" s="50"/>
      <c r="LPB84" s="23"/>
      <c r="LPC84" s="50"/>
      <c r="LPD84" s="51"/>
      <c r="LPE84" s="50"/>
      <c r="LPF84" s="23"/>
      <c r="LPG84" s="50"/>
      <c r="LPH84" s="51"/>
      <c r="LPI84" s="50"/>
      <c r="LPJ84" s="23"/>
      <c r="LPK84" s="50"/>
      <c r="LPL84" s="51"/>
      <c r="LPM84" s="50"/>
      <c r="LPN84" s="23"/>
      <c r="LPO84" s="50"/>
      <c r="LPP84" s="51"/>
      <c r="LPQ84" s="50"/>
      <c r="LPR84" s="23"/>
      <c r="LPS84" s="50"/>
      <c r="LPT84" s="51"/>
      <c r="LPU84" s="50"/>
      <c r="LPV84" s="23"/>
      <c r="LPW84" s="50"/>
      <c r="LPX84" s="51"/>
      <c r="LPY84" s="50"/>
      <c r="LPZ84" s="23"/>
      <c r="LQA84" s="50"/>
      <c r="LQB84" s="51"/>
      <c r="LQC84" s="50"/>
      <c r="LQD84" s="23"/>
      <c r="LQE84" s="50"/>
      <c r="LQF84" s="51"/>
      <c r="LQG84" s="50"/>
      <c r="LQH84" s="23"/>
      <c r="LQI84" s="50"/>
      <c r="LQJ84" s="51"/>
      <c r="LQK84" s="50"/>
      <c r="LQL84" s="23"/>
      <c r="LQM84" s="50"/>
      <c r="LQN84" s="51"/>
      <c r="LQO84" s="50"/>
      <c r="LQP84" s="23"/>
      <c r="LQQ84" s="50"/>
      <c r="LQR84" s="51"/>
      <c r="LQS84" s="50"/>
      <c r="LQT84" s="23"/>
      <c r="LQU84" s="50"/>
      <c r="LQV84" s="51"/>
      <c r="LQW84" s="50"/>
      <c r="LQX84" s="23"/>
      <c r="LQY84" s="50"/>
      <c r="LQZ84" s="51"/>
      <c r="LRA84" s="50"/>
      <c r="LRB84" s="23"/>
      <c r="LRC84" s="50"/>
      <c r="LRD84" s="51"/>
      <c r="LRE84" s="50"/>
      <c r="LRF84" s="23"/>
      <c r="LRG84" s="50"/>
      <c r="LRH84" s="51"/>
      <c r="LRI84" s="50"/>
      <c r="LRJ84" s="23"/>
      <c r="LRK84" s="50"/>
      <c r="LRL84" s="51"/>
      <c r="LRM84" s="50"/>
      <c r="LRN84" s="23"/>
      <c r="LRO84" s="50"/>
      <c r="LRP84" s="51"/>
      <c r="LRQ84" s="50"/>
      <c r="LRR84" s="23"/>
      <c r="LRS84" s="50"/>
      <c r="LRT84" s="51"/>
      <c r="LRU84" s="50"/>
      <c r="LRV84" s="23"/>
      <c r="LRW84" s="50"/>
      <c r="LRX84" s="51"/>
      <c r="LRY84" s="50"/>
      <c r="LRZ84" s="23"/>
      <c r="LSA84" s="50"/>
      <c r="LSB84" s="51"/>
      <c r="LSC84" s="50"/>
      <c r="LSD84" s="23"/>
      <c r="LSE84" s="50"/>
      <c r="LSF84" s="51"/>
      <c r="LSG84" s="50"/>
      <c r="LSH84" s="23"/>
      <c r="LSI84" s="50"/>
      <c r="LSJ84" s="51"/>
      <c r="LSK84" s="50"/>
      <c r="LSL84" s="23"/>
      <c r="LSM84" s="50"/>
      <c r="LSN84" s="51"/>
      <c r="LSO84" s="50"/>
      <c r="LSP84" s="23"/>
      <c r="LSQ84" s="50"/>
      <c r="LSR84" s="51"/>
      <c r="LSS84" s="50"/>
      <c r="LST84" s="23"/>
      <c r="LSU84" s="50"/>
      <c r="LSV84" s="51"/>
      <c r="LSW84" s="50"/>
      <c r="LSX84" s="23"/>
      <c r="LSY84" s="50"/>
      <c r="LSZ84" s="51"/>
      <c r="LTA84" s="50"/>
      <c r="LTB84" s="23"/>
      <c r="LTC84" s="50"/>
      <c r="LTD84" s="51"/>
      <c r="LTE84" s="50"/>
      <c r="LTF84" s="23"/>
      <c r="LTG84" s="50"/>
      <c r="LTH84" s="51"/>
      <c r="LTI84" s="50"/>
      <c r="LTJ84" s="23"/>
      <c r="LTK84" s="50"/>
      <c r="LTL84" s="51"/>
      <c r="LTM84" s="50"/>
      <c r="LTN84" s="23"/>
      <c r="LTO84" s="50"/>
      <c r="LTP84" s="51"/>
      <c r="LTQ84" s="50"/>
      <c r="LTR84" s="23"/>
      <c r="LTS84" s="50"/>
      <c r="LTT84" s="51"/>
      <c r="LTU84" s="50"/>
      <c r="LTV84" s="23"/>
      <c r="LTW84" s="50"/>
      <c r="LTX84" s="51"/>
      <c r="LTY84" s="50"/>
      <c r="LTZ84" s="23"/>
      <c r="LUA84" s="50"/>
      <c r="LUB84" s="51"/>
      <c r="LUC84" s="50"/>
      <c r="LUD84" s="23"/>
      <c r="LUE84" s="50"/>
      <c r="LUF84" s="51"/>
      <c r="LUG84" s="50"/>
      <c r="LUH84" s="23"/>
      <c r="LUI84" s="50"/>
      <c r="LUJ84" s="51"/>
      <c r="LUK84" s="50"/>
      <c r="LUL84" s="23"/>
      <c r="LUM84" s="50"/>
      <c r="LUN84" s="51"/>
      <c r="LUO84" s="50"/>
      <c r="LUP84" s="23"/>
      <c r="LUQ84" s="50"/>
      <c r="LUR84" s="51"/>
      <c r="LUS84" s="50"/>
      <c r="LUT84" s="23"/>
      <c r="LUU84" s="50"/>
      <c r="LUV84" s="51"/>
      <c r="LUW84" s="50"/>
      <c r="LUX84" s="23"/>
      <c r="LUY84" s="50"/>
      <c r="LUZ84" s="51"/>
      <c r="LVA84" s="50"/>
      <c r="LVB84" s="23"/>
      <c r="LVC84" s="50"/>
      <c r="LVD84" s="51"/>
      <c r="LVE84" s="50"/>
      <c r="LVF84" s="23"/>
      <c r="LVG84" s="50"/>
      <c r="LVH84" s="51"/>
      <c r="LVI84" s="50"/>
      <c r="LVJ84" s="23"/>
      <c r="LVK84" s="50"/>
      <c r="LVL84" s="51"/>
      <c r="LVM84" s="50"/>
      <c r="LVN84" s="23"/>
      <c r="LVO84" s="50"/>
      <c r="LVP84" s="51"/>
      <c r="LVQ84" s="50"/>
      <c r="LVR84" s="23"/>
      <c r="LVS84" s="50"/>
      <c r="LVT84" s="51"/>
      <c r="LVU84" s="50"/>
      <c r="LVV84" s="23"/>
      <c r="LVW84" s="50"/>
      <c r="LVX84" s="51"/>
      <c r="LVY84" s="50"/>
      <c r="LVZ84" s="23"/>
      <c r="LWA84" s="50"/>
      <c r="LWB84" s="51"/>
      <c r="LWC84" s="50"/>
      <c r="LWD84" s="23"/>
      <c r="LWE84" s="50"/>
      <c r="LWF84" s="51"/>
      <c r="LWG84" s="50"/>
      <c r="LWH84" s="23"/>
      <c r="LWI84" s="50"/>
      <c r="LWJ84" s="51"/>
      <c r="LWK84" s="50"/>
      <c r="LWL84" s="23"/>
      <c r="LWM84" s="50"/>
      <c r="LWN84" s="51"/>
      <c r="LWO84" s="50"/>
      <c r="LWP84" s="23"/>
      <c r="LWQ84" s="50"/>
      <c r="LWR84" s="51"/>
      <c r="LWS84" s="50"/>
      <c r="LWT84" s="23"/>
      <c r="LWU84" s="50"/>
      <c r="LWV84" s="51"/>
      <c r="LWW84" s="50"/>
      <c r="LWX84" s="23"/>
      <c r="LWY84" s="50"/>
      <c r="LWZ84" s="51"/>
      <c r="LXA84" s="50"/>
      <c r="LXB84" s="23"/>
      <c r="LXC84" s="50"/>
      <c r="LXD84" s="51"/>
      <c r="LXE84" s="50"/>
      <c r="LXF84" s="23"/>
      <c r="LXG84" s="50"/>
      <c r="LXH84" s="51"/>
      <c r="LXI84" s="50"/>
      <c r="LXJ84" s="23"/>
      <c r="LXK84" s="50"/>
      <c r="LXL84" s="51"/>
      <c r="LXM84" s="50"/>
      <c r="LXN84" s="23"/>
      <c r="LXO84" s="50"/>
      <c r="LXP84" s="51"/>
      <c r="LXQ84" s="50"/>
      <c r="LXR84" s="23"/>
      <c r="LXS84" s="50"/>
      <c r="LXT84" s="51"/>
      <c r="LXU84" s="50"/>
      <c r="LXV84" s="23"/>
      <c r="LXW84" s="50"/>
      <c r="LXX84" s="51"/>
      <c r="LXY84" s="50"/>
      <c r="LXZ84" s="23"/>
      <c r="LYA84" s="50"/>
      <c r="LYB84" s="51"/>
      <c r="LYC84" s="50"/>
      <c r="LYD84" s="23"/>
      <c r="LYE84" s="50"/>
      <c r="LYF84" s="51"/>
      <c r="LYG84" s="50"/>
      <c r="LYH84" s="23"/>
      <c r="LYI84" s="50"/>
      <c r="LYJ84" s="51"/>
      <c r="LYK84" s="50"/>
      <c r="LYL84" s="23"/>
      <c r="LYM84" s="50"/>
      <c r="LYN84" s="51"/>
      <c r="LYO84" s="50"/>
      <c r="LYP84" s="23"/>
      <c r="LYQ84" s="50"/>
      <c r="LYR84" s="51"/>
      <c r="LYS84" s="50"/>
      <c r="LYT84" s="23"/>
      <c r="LYU84" s="50"/>
      <c r="LYV84" s="51"/>
      <c r="LYW84" s="50"/>
      <c r="LYX84" s="23"/>
      <c r="LYY84" s="50"/>
      <c r="LYZ84" s="51"/>
      <c r="LZA84" s="50"/>
      <c r="LZB84" s="23"/>
      <c r="LZC84" s="50"/>
      <c r="LZD84" s="51"/>
      <c r="LZE84" s="50"/>
      <c r="LZF84" s="23"/>
      <c r="LZG84" s="50"/>
      <c r="LZH84" s="51"/>
      <c r="LZI84" s="50"/>
      <c r="LZJ84" s="23"/>
      <c r="LZK84" s="50"/>
      <c r="LZL84" s="51"/>
      <c r="LZM84" s="50"/>
      <c r="LZN84" s="23"/>
      <c r="LZO84" s="50"/>
      <c r="LZP84" s="51"/>
      <c r="LZQ84" s="50"/>
      <c r="LZR84" s="23"/>
      <c r="LZS84" s="50"/>
      <c r="LZT84" s="51"/>
      <c r="LZU84" s="50"/>
      <c r="LZV84" s="23"/>
      <c r="LZW84" s="50"/>
      <c r="LZX84" s="51"/>
      <c r="LZY84" s="50"/>
      <c r="LZZ84" s="23"/>
      <c r="MAA84" s="50"/>
      <c r="MAB84" s="51"/>
      <c r="MAC84" s="50"/>
      <c r="MAD84" s="23"/>
      <c r="MAE84" s="50"/>
      <c r="MAF84" s="51"/>
      <c r="MAG84" s="50"/>
      <c r="MAH84" s="23"/>
      <c r="MAI84" s="50"/>
      <c r="MAJ84" s="51"/>
      <c r="MAK84" s="50"/>
      <c r="MAL84" s="23"/>
      <c r="MAM84" s="50"/>
      <c r="MAN84" s="51"/>
      <c r="MAO84" s="50"/>
      <c r="MAP84" s="23"/>
      <c r="MAQ84" s="50"/>
      <c r="MAR84" s="51"/>
      <c r="MAS84" s="50"/>
      <c r="MAT84" s="23"/>
      <c r="MAU84" s="50"/>
      <c r="MAV84" s="51"/>
      <c r="MAW84" s="50"/>
      <c r="MAX84" s="23"/>
      <c r="MAY84" s="50"/>
      <c r="MAZ84" s="51"/>
      <c r="MBA84" s="50"/>
      <c r="MBB84" s="23"/>
      <c r="MBC84" s="50"/>
      <c r="MBD84" s="51"/>
      <c r="MBE84" s="50"/>
      <c r="MBF84" s="23"/>
      <c r="MBG84" s="50"/>
      <c r="MBH84" s="51"/>
      <c r="MBI84" s="50"/>
      <c r="MBJ84" s="23"/>
      <c r="MBK84" s="50"/>
      <c r="MBL84" s="51"/>
      <c r="MBM84" s="50"/>
      <c r="MBN84" s="23"/>
      <c r="MBO84" s="50"/>
      <c r="MBP84" s="51"/>
      <c r="MBQ84" s="50"/>
      <c r="MBR84" s="23"/>
      <c r="MBS84" s="50"/>
      <c r="MBT84" s="51"/>
      <c r="MBU84" s="50"/>
      <c r="MBV84" s="23"/>
      <c r="MBW84" s="50"/>
      <c r="MBX84" s="51"/>
      <c r="MBY84" s="50"/>
      <c r="MBZ84" s="23"/>
      <c r="MCA84" s="50"/>
      <c r="MCB84" s="51"/>
      <c r="MCC84" s="50"/>
      <c r="MCD84" s="23"/>
      <c r="MCE84" s="50"/>
      <c r="MCF84" s="51"/>
      <c r="MCG84" s="50"/>
      <c r="MCH84" s="23"/>
      <c r="MCI84" s="50"/>
      <c r="MCJ84" s="51"/>
      <c r="MCK84" s="50"/>
      <c r="MCL84" s="23"/>
      <c r="MCM84" s="50"/>
      <c r="MCN84" s="51"/>
      <c r="MCO84" s="50"/>
      <c r="MCP84" s="23"/>
      <c r="MCQ84" s="50"/>
      <c r="MCR84" s="51"/>
      <c r="MCS84" s="50"/>
      <c r="MCT84" s="23"/>
      <c r="MCU84" s="50"/>
      <c r="MCV84" s="51"/>
      <c r="MCW84" s="50"/>
      <c r="MCX84" s="23"/>
      <c r="MCY84" s="50"/>
      <c r="MCZ84" s="51"/>
      <c r="MDA84" s="50"/>
      <c r="MDB84" s="23"/>
      <c r="MDC84" s="50"/>
      <c r="MDD84" s="51"/>
      <c r="MDE84" s="50"/>
      <c r="MDF84" s="23"/>
      <c r="MDG84" s="50"/>
      <c r="MDH84" s="51"/>
      <c r="MDI84" s="50"/>
      <c r="MDJ84" s="23"/>
      <c r="MDK84" s="50"/>
      <c r="MDL84" s="51"/>
      <c r="MDM84" s="50"/>
      <c r="MDN84" s="23"/>
      <c r="MDO84" s="50"/>
      <c r="MDP84" s="51"/>
      <c r="MDQ84" s="50"/>
      <c r="MDR84" s="23"/>
      <c r="MDS84" s="50"/>
      <c r="MDT84" s="51"/>
      <c r="MDU84" s="50"/>
      <c r="MDV84" s="23"/>
      <c r="MDW84" s="50"/>
      <c r="MDX84" s="51"/>
      <c r="MDY84" s="50"/>
      <c r="MDZ84" s="23"/>
      <c r="MEA84" s="50"/>
      <c r="MEB84" s="51"/>
      <c r="MEC84" s="50"/>
      <c r="MED84" s="23"/>
      <c r="MEE84" s="50"/>
      <c r="MEF84" s="51"/>
      <c r="MEG84" s="50"/>
      <c r="MEH84" s="23"/>
      <c r="MEI84" s="50"/>
      <c r="MEJ84" s="51"/>
      <c r="MEK84" s="50"/>
      <c r="MEL84" s="23"/>
      <c r="MEM84" s="50"/>
      <c r="MEN84" s="51"/>
      <c r="MEO84" s="50"/>
      <c r="MEP84" s="23"/>
      <c r="MEQ84" s="50"/>
      <c r="MER84" s="51"/>
      <c r="MES84" s="50"/>
      <c r="MET84" s="23"/>
      <c r="MEU84" s="50"/>
      <c r="MEV84" s="51"/>
      <c r="MEW84" s="50"/>
      <c r="MEX84" s="23"/>
      <c r="MEY84" s="50"/>
      <c r="MEZ84" s="51"/>
      <c r="MFA84" s="50"/>
      <c r="MFB84" s="23"/>
      <c r="MFC84" s="50"/>
      <c r="MFD84" s="51"/>
      <c r="MFE84" s="50"/>
      <c r="MFF84" s="23"/>
      <c r="MFG84" s="50"/>
      <c r="MFH84" s="51"/>
      <c r="MFI84" s="50"/>
      <c r="MFJ84" s="23"/>
      <c r="MFK84" s="50"/>
      <c r="MFL84" s="51"/>
      <c r="MFM84" s="50"/>
      <c r="MFN84" s="23"/>
      <c r="MFO84" s="50"/>
      <c r="MFP84" s="51"/>
      <c r="MFQ84" s="50"/>
      <c r="MFR84" s="23"/>
      <c r="MFS84" s="50"/>
      <c r="MFT84" s="51"/>
      <c r="MFU84" s="50"/>
      <c r="MFV84" s="23"/>
      <c r="MFW84" s="50"/>
      <c r="MFX84" s="51"/>
      <c r="MFY84" s="50"/>
      <c r="MFZ84" s="23"/>
      <c r="MGA84" s="50"/>
      <c r="MGB84" s="51"/>
      <c r="MGC84" s="50"/>
      <c r="MGD84" s="23"/>
      <c r="MGE84" s="50"/>
      <c r="MGF84" s="51"/>
      <c r="MGG84" s="50"/>
      <c r="MGH84" s="23"/>
      <c r="MGI84" s="50"/>
      <c r="MGJ84" s="51"/>
      <c r="MGK84" s="50"/>
      <c r="MGL84" s="23"/>
      <c r="MGM84" s="50"/>
      <c r="MGN84" s="51"/>
      <c r="MGO84" s="50"/>
      <c r="MGP84" s="23"/>
      <c r="MGQ84" s="50"/>
      <c r="MGR84" s="51"/>
      <c r="MGS84" s="50"/>
      <c r="MGT84" s="23"/>
      <c r="MGU84" s="50"/>
      <c r="MGV84" s="51"/>
      <c r="MGW84" s="50"/>
      <c r="MGX84" s="23"/>
      <c r="MGY84" s="50"/>
      <c r="MGZ84" s="51"/>
      <c r="MHA84" s="50"/>
      <c r="MHB84" s="23"/>
      <c r="MHC84" s="50"/>
      <c r="MHD84" s="51"/>
      <c r="MHE84" s="50"/>
      <c r="MHF84" s="23"/>
      <c r="MHG84" s="50"/>
      <c r="MHH84" s="51"/>
      <c r="MHI84" s="50"/>
      <c r="MHJ84" s="23"/>
      <c r="MHK84" s="50"/>
      <c r="MHL84" s="51"/>
      <c r="MHM84" s="50"/>
      <c r="MHN84" s="23"/>
      <c r="MHO84" s="50"/>
      <c r="MHP84" s="51"/>
      <c r="MHQ84" s="50"/>
      <c r="MHR84" s="23"/>
      <c r="MHS84" s="50"/>
      <c r="MHT84" s="51"/>
      <c r="MHU84" s="50"/>
      <c r="MHV84" s="23"/>
      <c r="MHW84" s="50"/>
      <c r="MHX84" s="51"/>
      <c r="MHY84" s="50"/>
      <c r="MHZ84" s="23"/>
      <c r="MIA84" s="50"/>
      <c r="MIB84" s="51"/>
      <c r="MIC84" s="50"/>
      <c r="MID84" s="23"/>
      <c r="MIE84" s="50"/>
      <c r="MIF84" s="51"/>
      <c r="MIG84" s="50"/>
      <c r="MIH84" s="23"/>
      <c r="MII84" s="50"/>
      <c r="MIJ84" s="51"/>
      <c r="MIK84" s="50"/>
      <c r="MIL84" s="23"/>
      <c r="MIM84" s="50"/>
      <c r="MIN84" s="51"/>
      <c r="MIO84" s="50"/>
      <c r="MIP84" s="23"/>
      <c r="MIQ84" s="50"/>
      <c r="MIR84" s="51"/>
      <c r="MIS84" s="50"/>
      <c r="MIT84" s="23"/>
      <c r="MIU84" s="50"/>
      <c r="MIV84" s="51"/>
      <c r="MIW84" s="50"/>
      <c r="MIX84" s="23"/>
      <c r="MIY84" s="50"/>
      <c r="MIZ84" s="51"/>
      <c r="MJA84" s="50"/>
      <c r="MJB84" s="23"/>
      <c r="MJC84" s="50"/>
      <c r="MJD84" s="51"/>
      <c r="MJE84" s="50"/>
      <c r="MJF84" s="23"/>
      <c r="MJG84" s="50"/>
      <c r="MJH84" s="51"/>
      <c r="MJI84" s="50"/>
      <c r="MJJ84" s="23"/>
      <c r="MJK84" s="50"/>
      <c r="MJL84" s="51"/>
      <c r="MJM84" s="50"/>
      <c r="MJN84" s="23"/>
      <c r="MJO84" s="50"/>
      <c r="MJP84" s="51"/>
      <c r="MJQ84" s="50"/>
      <c r="MJR84" s="23"/>
      <c r="MJS84" s="50"/>
      <c r="MJT84" s="51"/>
      <c r="MJU84" s="50"/>
      <c r="MJV84" s="23"/>
      <c r="MJW84" s="50"/>
      <c r="MJX84" s="51"/>
      <c r="MJY84" s="50"/>
      <c r="MJZ84" s="23"/>
      <c r="MKA84" s="50"/>
      <c r="MKB84" s="51"/>
      <c r="MKC84" s="50"/>
      <c r="MKD84" s="23"/>
      <c r="MKE84" s="50"/>
      <c r="MKF84" s="51"/>
      <c r="MKG84" s="50"/>
      <c r="MKH84" s="23"/>
      <c r="MKI84" s="50"/>
      <c r="MKJ84" s="51"/>
      <c r="MKK84" s="50"/>
      <c r="MKL84" s="23"/>
      <c r="MKM84" s="50"/>
      <c r="MKN84" s="51"/>
      <c r="MKO84" s="50"/>
      <c r="MKP84" s="23"/>
      <c r="MKQ84" s="50"/>
      <c r="MKR84" s="51"/>
      <c r="MKS84" s="50"/>
      <c r="MKT84" s="23"/>
      <c r="MKU84" s="50"/>
      <c r="MKV84" s="51"/>
      <c r="MKW84" s="50"/>
      <c r="MKX84" s="23"/>
      <c r="MKY84" s="50"/>
      <c r="MKZ84" s="51"/>
      <c r="MLA84" s="50"/>
      <c r="MLB84" s="23"/>
      <c r="MLC84" s="50"/>
      <c r="MLD84" s="51"/>
      <c r="MLE84" s="50"/>
      <c r="MLF84" s="23"/>
      <c r="MLG84" s="50"/>
      <c r="MLH84" s="51"/>
      <c r="MLI84" s="50"/>
      <c r="MLJ84" s="23"/>
      <c r="MLK84" s="50"/>
      <c r="MLL84" s="51"/>
      <c r="MLM84" s="50"/>
      <c r="MLN84" s="23"/>
      <c r="MLO84" s="50"/>
      <c r="MLP84" s="51"/>
      <c r="MLQ84" s="50"/>
      <c r="MLR84" s="23"/>
      <c r="MLS84" s="50"/>
      <c r="MLT84" s="51"/>
      <c r="MLU84" s="50"/>
      <c r="MLV84" s="23"/>
      <c r="MLW84" s="50"/>
      <c r="MLX84" s="51"/>
      <c r="MLY84" s="50"/>
      <c r="MLZ84" s="23"/>
      <c r="MMA84" s="50"/>
      <c r="MMB84" s="51"/>
      <c r="MMC84" s="50"/>
      <c r="MMD84" s="23"/>
      <c r="MME84" s="50"/>
      <c r="MMF84" s="51"/>
      <c r="MMG84" s="50"/>
      <c r="MMH84" s="23"/>
      <c r="MMI84" s="50"/>
      <c r="MMJ84" s="51"/>
      <c r="MMK84" s="50"/>
      <c r="MML84" s="23"/>
      <c r="MMM84" s="50"/>
      <c r="MMN84" s="51"/>
      <c r="MMO84" s="50"/>
      <c r="MMP84" s="23"/>
      <c r="MMQ84" s="50"/>
      <c r="MMR84" s="51"/>
      <c r="MMS84" s="50"/>
      <c r="MMT84" s="23"/>
      <c r="MMU84" s="50"/>
      <c r="MMV84" s="51"/>
      <c r="MMW84" s="50"/>
      <c r="MMX84" s="23"/>
      <c r="MMY84" s="50"/>
      <c r="MMZ84" s="51"/>
      <c r="MNA84" s="50"/>
      <c r="MNB84" s="23"/>
      <c r="MNC84" s="50"/>
      <c r="MND84" s="51"/>
      <c r="MNE84" s="50"/>
      <c r="MNF84" s="23"/>
      <c r="MNG84" s="50"/>
      <c r="MNH84" s="51"/>
      <c r="MNI84" s="50"/>
      <c r="MNJ84" s="23"/>
      <c r="MNK84" s="50"/>
      <c r="MNL84" s="51"/>
      <c r="MNM84" s="50"/>
      <c r="MNN84" s="23"/>
      <c r="MNO84" s="50"/>
      <c r="MNP84" s="51"/>
      <c r="MNQ84" s="50"/>
      <c r="MNR84" s="23"/>
      <c r="MNS84" s="50"/>
      <c r="MNT84" s="51"/>
      <c r="MNU84" s="50"/>
      <c r="MNV84" s="23"/>
      <c r="MNW84" s="50"/>
      <c r="MNX84" s="51"/>
      <c r="MNY84" s="50"/>
      <c r="MNZ84" s="23"/>
      <c r="MOA84" s="50"/>
      <c r="MOB84" s="51"/>
      <c r="MOC84" s="50"/>
      <c r="MOD84" s="23"/>
      <c r="MOE84" s="50"/>
      <c r="MOF84" s="51"/>
      <c r="MOG84" s="50"/>
      <c r="MOH84" s="23"/>
      <c r="MOI84" s="50"/>
      <c r="MOJ84" s="51"/>
      <c r="MOK84" s="50"/>
      <c r="MOL84" s="23"/>
      <c r="MOM84" s="50"/>
      <c r="MON84" s="51"/>
      <c r="MOO84" s="50"/>
      <c r="MOP84" s="23"/>
      <c r="MOQ84" s="50"/>
      <c r="MOR84" s="51"/>
      <c r="MOS84" s="50"/>
      <c r="MOT84" s="23"/>
      <c r="MOU84" s="50"/>
      <c r="MOV84" s="51"/>
      <c r="MOW84" s="50"/>
      <c r="MOX84" s="23"/>
      <c r="MOY84" s="50"/>
      <c r="MOZ84" s="51"/>
      <c r="MPA84" s="50"/>
      <c r="MPB84" s="23"/>
      <c r="MPC84" s="50"/>
      <c r="MPD84" s="51"/>
      <c r="MPE84" s="50"/>
      <c r="MPF84" s="23"/>
      <c r="MPG84" s="50"/>
      <c r="MPH84" s="51"/>
      <c r="MPI84" s="50"/>
      <c r="MPJ84" s="23"/>
      <c r="MPK84" s="50"/>
      <c r="MPL84" s="51"/>
      <c r="MPM84" s="50"/>
      <c r="MPN84" s="23"/>
      <c r="MPO84" s="50"/>
      <c r="MPP84" s="51"/>
      <c r="MPQ84" s="50"/>
      <c r="MPR84" s="23"/>
      <c r="MPS84" s="50"/>
      <c r="MPT84" s="51"/>
      <c r="MPU84" s="50"/>
      <c r="MPV84" s="23"/>
      <c r="MPW84" s="50"/>
      <c r="MPX84" s="51"/>
      <c r="MPY84" s="50"/>
      <c r="MPZ84" s="23"/>
      <c r="MQA84" s="50"/>
      <c r="MQB84" s="51"/>
      <c r="MQC84" s="50"/>
      <c r="MQD84" s="23"/>
      <c r="MQE84" s="50"/>
      <c r="MQF84" s="51"/>
      <c r="MQG84" s="50"/>
      <c r="MQH84" s="23"/>
      <c r="MQI84" s="50"/>
      <c r="MQJ84" s="51"/>
      <c r="MQK84" s="50"/>
      <c r="MQL84" s="23"/>
      <c r="MQM84" s="50"/>
      <c r="MQN84" s="51"/>
      <c r="MQO84" s="50"/>
      <c r="MQP84" s="23"/>
      <c r="MQQ84" s="50"/>
      <c r="MQR84" s="51"/>
      <c r="MQS84" s="50"/>
      <c r="MQT84" s="23"/>
      <c r="MQU84" s="50"/>
      <c r="MQV84" s="51"/>
      <c r="MQW84" s="50"/>
      <c r="MQX84" s="23"/>
      <c r="MQY84" s="50"/>
      <c r="MQZ84" s="51"/>
      <c r="MRA84" s="50"/>
      <c r="MRB84" s="23"/>
      <c r="MRC84" s="50"/>
      <c r="MRD84" s="51"/>
      <c r="MRE84" s="50"/>
      <c r="MRF84" s="23"/>
      <c r="MRG84" s="50"/>
      <c r="MRH84" s="51"/>
      <c r="MRI84" s="50"/>
      <c r="MRJ84" s="23"/>
      <c r="MRK84" s="50"/>
      <c r="MRL84" s="51"/>
      <c r="MRM84" s="50"/>
      <c r="MRN84" s="23"/>
      <c r="MRO84" s="50"/>
      <c r="MRP84" s="51"/>
      <c r="MRQ84" s="50"/>
      <c r="MRR84" s="23"/>
      <c r="MRS84" s="50"/>
      <c r="MRT84" s="51"/>
      <c r="MRU84" s="50"/>
      <c r="MRV84" s="23"/>
      <c r="MRW84" s="50"/>
      <c r="MRX84" s="51"/>
      <c r="MRY84" s="50"/>
      <c r="MRZ84" s="23"/>
      <c r="MSA84" s="50"/>
      <c r="MSB84" s="51"/>
      <c r="MSC84" s="50"/>
      <c r="MSD84" s="23"/>
      <c r="MSE84" s="50"/>
      <c r="MSF84" s="51"/>
      <c r="MSG84" s="50"/>
      <c r="MSH84" s="23"/>
      <c r="MSI84" s="50"/>
      <c r="MSJ84" s="51"/>
      <c r="MSK84" s="50"/>
      <c r="MSL84" s="23"/>
      <c r="MSM84" s="50"/>
      <c r="MSN84" s="51"/>
      <c r="MSO84" s="50"/>
      <c r="MSP84" s="23"/>
      <c r="MSQ84" s="50"/>
      <c r="MSR84" s="51"/>
      <c r="MSS84" s="50"/>
      <c r="MST84" s="23"/>
      <c r="MSU84" s="50"/>
      <c r="MSV84" s="51"/>
      <c r="MSW84" s="50"/>
      <c r="MSX84" s="23"/>
      <c r="MSY84" s="50"/>
      <c r="MSZ84" s="51"/>
      <c r="MTA84" s="50"/>
      <c r="MTB84" s="23"/>
      <c r="MTC84" s="50"/>
      <c r="MTD84" s="51"/>
      <c r="MTE84" s="50"/>
      <c r="MTF84" s="23"/>
      <c r="MTG84" s="50"/>
      <c r="MTH84" s="51"/>
      <c r="MTI84" s="50"/>
      <c r="MTJ84" s="23"/>
      <c r="MTK84" s="50"/>
      <c r="MTL84" s="51"/>
      <c r="MTM84" s="50"/>
      <c r="MTN84" s="23"/>
      <c r="MTO84" s="50"/>
      <c r="MTP84" s="51"/>
      <c r="MTQ84" s="50"/>
      <c r="MTR84" s="23"/>
      <c r="MTS84" s="50"/>
      <c r="MTT84" s="51"/>
      <c r="MTU84" s="50"/>
      <c r="MTV84" s="23"/>
      <c r="MTW84" s="50"/>
      <c r="MTX84" s="51"/>
      <c r="MTY84" s="50"/>
      <c r="MTZ84" s="23"/>
      <c r="MUA84" s="50"/>
      <c r="MUB84" s="51"/>
      <c r="MUC84" s="50"/>
      <c r="MUD84" s="23"/>
      <c r="MUE84" s="50"/>
      <c r="MUF84" s="51"/>
      <c r="MUG84" s="50"/>
      <c r="MUH84" s="23"/>
      <c r="MUI84" s="50"/>
      <c r="MUJ84" s="51"/>
      <c r="MUK84" s="50"/>
      <c r="MUL84" s="23"/>
      <c r="MUM84" s="50"/>
      <c r="MUN84" s="51"/>
      <c r="MUO84" s="50"/>
      <c r="MUP84" s="23"/>
      <c r="MUQ84" s="50"/>
      <c r="MUR84" s="51"/>
      <c r="MUS84" s="50"/>
      <c r="MUT84" s="23"/>
      <c r="MUU84" s="50"/>
      <c r="MUV84" s="51"/>
      <c r="MUW84" s="50"/>
      <c r="MUX84" s="23"/>
      <c r="MUY84" s="50"/>
      <c r="MUZ84" s="51"/>
      <c r="MVA84" s="50"/>
      <c r="MVB84" s="23"/>
      <c r="MVC84" s="50"/>
      <c r="MVD84" s="51"/>
      <c r="MVE84" s="50"/>
      <c r="MVF84" s="23"/>
      <c r="MVG84" s="50"/>
      <c r="MVH84" s="51"/>
      <c r="MVI84" s="50"/>
      <c r="MVJ84" s="23"/>
      <c r="MVK84" s="50"/>
      <c r="MVL84" s="51"/>
      <c r="MVM84" s="50"/>
      <c r="MVN84" s="23"/>
      <c r="MVO84" s="50"/>
      <c r="MVP84" s="51"/>
      <c r="MVQ84" s="50"/>
      <c r="MVR84" s="23"/>
      <c r="MVS84" s="50"/>
      <c r="MVT84" s="51"/>
      <c r="MVU84" s="50"/>
      <c r="MVV84" s="23"/>
      <c r="MVW84" s="50"/>
      <c r="MVX84" s="51"/>
      <c r="MVY84" s="50"/>
      <c r="MVZ84" s="23"/>
      <c r="MWA84" s="50"/>
      <c r="MWB84" s="51"/>
      <c r="MWC84" s="50"/>
      <c r="MWD84" s="23"/>
      <c r="MWE84" s="50"/>
      <c r="MWF84" s="51"/>
      <c r="MWG84" s="50"/>
      <c r="MWH84" s="23"/>
      <c r="MWI84" s="50"/>
      <c r="MWJ84" s="51"/>
      <c r="MWK84" s="50"/>
      <c r="MWL84" s="23"/>
      <c r="MWM84" s="50"/>
      <c r="MWN84" s="51"/>
      <c r="MWO84" s="50"/>
      <c r="MWP84" s="23"/>
      <c r="MWQ84" s="50"/>
      <c r="MWR84" s="51"/>
      <c r="MWS84" s="50"/>
      <c r="MWT84" s="23"/>
      <c r="MWU84" s="50"/>
      <c r="MWV84" s="51"/>
      <c r="MWW84" s="50"/>
      <c r="MWX84" s="23"/>
      <c r="MWY84" s="50"/>
      <c r="MWZ84" s="51"/>
      <c r="MXA84" s="50"/>
      <c r="MXB84" s="23"/>
      <c r="MXC84" s="50"/>
      <c r="MXD84" s="51"/>
      <c r="MXE84" s="50"/>
      <c r="MXF84" s="23"/>
      <c r="MXG84" s="50"/>
      <c r="MXH84" s="51"/>
      <c r="MXI84" s="50"/>
      <c r="MXJ84" s="23"/>
      <c r="MXK84" s="50"/>
      <c r="MXL84" s="51"/>
      <c r="MXM84" s="50"/>
      <c r="MXN84" s="23"/>
      <c r="MXO84" s="50"/>
      <c r="MXP84" s="51"/>
      <c r="MXQ84" s="50"/>
      <c r="MXR84" s="23"/>
      <c r="MXS84" s="50"/>
      <c r="MXT84" s="51"/>
      <c r="MXU84" s="50"/>
      <c r="MXV84" s="23"/>
      <c r="MXW84" s="50"/>
      <c r="MXX84" s="51"/>
      <c r="MXY84" s="50"/>
      <c r="MXZ84" s="23"/>
      <c r="MYA84" s="50"/>
      <c r="MYB84" s="51"/>
      <c r="MYC84" s="50"/>
      <c r="MYD84" s="23"/>
      <c r="MYE84" s="50"/>
      <c r="MYF84" s="51"/>
      <c r="MYG84" s="50"/>
      <c r="MYH84" s="23"/>
      <c r="MYI84" s="50"/>
      <c r="MYJ84" s="51"/>
      <c r="MYK84" s="50"/>
      <c r="MYL84" s="23"/>
      <c r="MYM84" s="50"/>
      <c r="MYN84" s="51"/>
      <c r="MYO84" s="50"/>
      <c r="MYP84" s="23"/>
      <c r="MYQ84" s="50"/>
      <c r="MYR84" s="51"/>
      <c r="MYS84" s="50"/>
      <c r="MYT84" s="23"/>
      <c r="MYU84" s="50"/>
      <c r="MYV84" s="51"/>
      <c r="MYW84" s="50"/>
      <c r="MYX84" s="23"/>
      <c r="MYY84" s="50"/>
      <c r="MYZ84" s="51"/>
      <c r="MZA84" s="50"/>
      <c r="MZB84" s="23"/>
      <c r="MZC84" s="50"/>
      <c r="MZD84" s="51"/>
      <c r="MZE84" s="50"/>
      <c r="MZF84" s="23"/>
      <c r="MZG84" s="50"/>
      <c r="MZH84" s="51"/>
      <c r="MZI84" s="50"/>
      <c r="MZJ84" s="23"/>
      <c r="MZK84" s="50"/>
      <c r="MZL84" s="51"/>
      <c r="MZM84" s="50"/>
      <c r="MZN84" s="23"/>
      <c r="MZO84" s="50"/>
      <c r="MZP84" s="51"/>
      <c r="MZQ84" s="50"/>
      <c r="MZR84" s="23"/>
      <c r="MZS84" s="50"/>
      <c r="MZT84" s="51"/>
      <c r="MZU84" s="50"/>
      <c r="MZV84" s="23"/>
      <c r="MZW84" s="50"/>
      <c r="MZX84" s="51"/>
      <c r="MZY84" s="50"/>
      <c r="MZZ84" s="23"/>
      <c r="NAA84" s="50"/>
      <c r="NAB84" s="51"/>
      <c r="NAC84" s="50"/>
      <c r="NAD84" s="23"/>
      <c r="NAE84" s="50"/>
      <c r="NAF84" s="51"/>
      <c r="NAG84" s="50"/>
      <c r="NAH84" s="23"/>
      <c r="NAI84" s="50"/>
      <c r="NAJ84" s="51"/>
      <c r="NAK84" s="50"/>
      <c r="NAL84" s="23"/>
      <c r="NAM84" s="50"/>
      <c r="NAN84" s="51"/>
      <c r="NAO84" s="50"/>
      <c r="NAP84" s="23"/>
      <c r="NAQ84" s="50"/>
      <c r="NAR84" s="51"/>
      <c r="NAS84" s="50"/>
      <c r="NAT84" s="23"/>
      <c r="NAU84" s="50"/>
      <c r="NAV84" s="51"/>
      <c r="NAW84" s="50"/>
      <c r="NAX84" s="23"/>
      <c r="NAY84" s="50"/>
      <c r="NAZ84" s="51"/>
      <c r="NBA84" s="50"/>
      <c r="NBB84" s="23"/>
      <c r="NBC84" s="50"/>
      <c r="NBD84" s="51"/>
      <c r="NBE84" s="50"/>
      <c r="NBF84" s="23"/>
      <c r="NBG84" s="50"/>
      <c r="NBH84" s="51"/>
      <c r="NBI84" s="50"/>
      <c r="NBJ84" s="23"/>
      <c r="NBK84" s="50"/>
      <c r="NBL84" s="51"/>
      <c r="NBM84" s="50"/>
      <c r="NBN84" s="23"/>
      <c r="NBO84" s="50"/>
      <c r="NBP84" s="51"/>
      <c r="NBQ84" s="50"/>
      <c r="NBR84" s="23"/>
      <c r="NBS84" s="50"/>
      <c r="NBT84" s="51"/>
      <c r="NBU84" s="50"/>
      <c r="NBV84" s="23"/>
      <c r="NBW84" s="50"/>
      <c r="NBX84" s="51"/>
      <c r="NBY84" s="50"/>
      <c r="NBZ84" s="23"/>
      <c r="NCA84" s="50"/>
      <c r="NCB84" s="51"/>
      <c r="NCC84" s="50"/>
      <c r="NCD84" s="23"/>
      <c r="NCE84" s="50"/>
      <c r="NCF84" s="51"/>
      <c r="NCG84" s="50"/>
      <c r="NCH84" s="23"/>
      <c r="NCI84" s="50"/>
      <c r="NCJ84" s="51"/>
      <c r="NCK84" s="50"/>
      <c r="NCL84" s="23"/>
      <c r="NCM84" s="50"/>
      <c r="NCN84" s="51"/>
      <c r="NCO84" s="50"/>
      <c r="NCP84" s="23"/>
      <c r="NCQ84" s="50"/>
      <c r="NCR84" s="51"/>
      <c r="NCS84" s="50"/>
      <c r="NCT84" s="23"/>
      <c r="NCU84" s="50"/>
      <c r="NCV84" s="51"/>
      <c r="NCW84" s="50"/>
      <c r="NCX84" s="23"/>
      <c r="NCY84" s="50"/>
      <c r="NCZ84" s="51"/>
      <c r="NDA84" s="50"/>
      <c r="NDB84" s="23"/>
      <c r="NDC84" s="50"/>
      <c r="NDD84" s="51"/>
      <c r="NDE84" s="50"/>
      <c r="NDF84" s="23"/>
      <c r="NDG84" s="50"/>
      <c r="NDH84" s="51"/>
      <c r="NDI84" s="50"/>
      <c r="NDJ84" s="23"/>
      <c r="NDK84" s="50"/>
      <c r="NDL84" s="51"/>
      <c r="NDM84" s="50"/>
      <c r="NDN84" s="23"/>
      <c r="NDO84" s="50"/>
      <c r="NDP84" s="51"/>
      <c r="NDQ84" s="50"/>
      <c r="NDR84" s="23"/>
      <c r="NDS84" s="50"/>
      <c r="NDT84" s="51"/>
      <c r="NDU84" s="50"/>
      <c r="NDV84" s="23"/>
      <c r="NDW84" s="50"/>
      <c r="NDX84" s="51"/>
      <c r="NDY84" s="50"/>
      <c r="NDZ84" s="23"/>
      <c r="NEA84" s="50"/>
      <c r="NEB84" s="51"/>
      <c r="NEC84" s="50"/>
      <c r="NED84" s="23"/>
      <c r="NEE84" s="50"/>
      <c r="NEF84" s="51"/>
      <c r="NEG84" s="50"/>
      <c r="NEH84" s="23"/>
      <c r="NEI84" s="50"/>
      <c r="NEJ84" s="51"/>
      <c r="NEK84" s="50"/>
      <c r="NEL84" s="23"/>
      <c r="NEM84" s="50"/>
      <c r="NEN84" s="51"/>
      <c r="NEO84" s="50"/>
      <c r="NEP84" s="23"/>
      <c r="NEQ84" s="50"/>
      <c r="NER84" s="51"/>
      <c r="NES84" s="50"/>
      <c r="NET84" s="23"/>
      <c r="NEU84" s="50"/>
      <c r="NEV84" s="51"/>
      <c r="NEW84" s="50"/>
      <c r="NEX84" s="23"/>
      <c r="NEY84" s="50"/>
      <c r="NEZ84" s="51"/>
      <c r="NFA84" s="50"/>
      <c r="NFB84" s="23"/>
      <c r="NFC84" s="50"/>
      <c r="NFD84" s="51"/>
      <c r="NFE84" s="50"/>
      <c r="NFF84" s="23"/>
      <c r="NFG84" s="50"/>
      <c r="NFH84" s="51"/>
      <c r="NFI84" s="50"/>
      <c r="NFJ84" s="23"/>
      <c r="NFK84" s="50"/>
      <c r="NFL84" s="51"/>
      <c r="NFM84" s="50"/>
      <c r="NFN84" s="23"/>
      <c r="NFO84" s="50"/>
      <c r="NFP84" s="51"/>
      <c r="NFQ84" s="50"/>
      <c r="NFR84" s="23"/>
      <c r="NFS84" s="50"/>
      <c r="NFT84" s="51"/>
      <c r="NFU84" s="50"/>
      <c r="NFV84" s="23"/>
      <c r="NFW84" s="50"/>
      <c r="NFX84" s="51"/>
      <c r="NFY84" s="50"/>
      <c r="NFZ84" s="23"/>
      <c r="NGA84" s="50"/>
      <c r="NGB84" s="51"/>
      <c r="NGC84" s="50"/>
      <c r="NGD84" s="23"/>
      <c r="NGE84" s="50"/>
      <c r="NGF84" s="51"/>
      <c r="NGG84" s="50"/>
      <c r="NGH84" s="23"/>
      <c r="NGI84" s="50"/>
      <c r="NGJ84" s="51"/>
      <c r="NGK84" s="50"/>
      <c r="NGL84" s="23"/>
      <c r="NGM84" s="50"/>
      <c r="NGN84" s="51"/>
      <c r="NGO84" s="50"/>
      <c r="NGP84" s="23"/>
      <c r="NGQ84" s="50"/>
      <c r="NGR84" s="51"/>
      <c r="NGS84" s="50"/>
      <c r="NGT84" s="23"/>
      <c r="NGU84" s="50"/>
      <c r="NGV84" s="51"/>
      <c r="NGW84" s="50"/>
      <c r="NGX84" s="23"/>
      <c r="NGY84" s="50"/>
      <c r="NGZ84" s="51"/>
      <c r="NHA84" s="50"/>
      <c r="NHB84" s="23"/>
      <c r="NHC84" s="50"/>
      <c r="NHD84" s="51"/>
      <c r="NHE84" s="50"/>
      <c r="NHF84" s="23"/>
      <c r="NHG84" s="50"/>
      <c r="NHH84" s="51"/>
      <c r="NHI84" s="50"/>
      <c r="NHJ84" s="23"/>
      <c r="NHK84" s="50"/>
      <c r="NHL84" s="51"/>
      <c r="NHM84" s="50"/>
      <c r="NHN84" s="23"/>
      <c r="NHO84" s="50"/>
      <c r="NHP84" s="51"/>
      <c r="NHQ84" s="50"/>
      <c r="NHR84" s="23"/>
      <c r="NHS84" s="50"/>
      <c r="NHT84" s="51"/>
      <c r="NHU84" s="50"/>
      <c r="NHV84" s="23"/>
      <c r="NHW84" s="50"/>
      <c r="NHX84" s="51"/>
      <c r="NHY84" s="50"/>
      <c r="NHZ84" s="23"/>
      <c r="NIA84" s="50"/>
      <c r="NIB84" s="51"/>
      <c r="NIC84" s="50"/>
      <c r="NID84" s="23"/>
      <c r="NIE84" s="50"/>
      <c r="NIF84" s="51"/>
      <c r="NIG84" s="50"/>
      <c r="NIH84" s="23"/>
      <c r="NII84" s="50"/>
      <c r="NIJ84" s="51"/>
      <c r="NIK84" s="50"/>
      <c r="NIL84" s="23"/>
      <c r="NIM84" s="50"/>
      <c r="NIN84" s="51"/>
      <c r="NIO84" s="50"/>
      <c r="NIP84" s="23"/>
      <c r="NIQ84" s="50"/>
      <c r="NIR84" s="51"/>
      <c r="NIS84" s="50"/>
      <c r="NIT84" s="23"/>
      <c r="NIU84" s="50"/>
      <c r="NIV84" s="51"/>
      <c r="NIW84" s="50"/>
      <c r="NIX84" s="23"/>
      <c r="NIY84" s="50"/>
      <c r="NIZ84" s="51"/>
      <c r="NJA84" s="50"/>
      <c r="NJB84" s="23"/>
      <c r="NJC84" s="50"/>
      <c r="NJD84" s="51"/>
      <c r="NJE84" s="50"/>
      <c r="NJF84" s="23"/>
      <c r="NJG84" s="50"/>
      <c r="NJH84" s="51"/>
      <c r="NJI84" s="50"/>
      <c r="NJJ84" s="23"/>
      <c r="NJK84" s="50"/>
      <c r="NJL84" s="51"/>
      <c r="NJM84" s="50"/>
      <c r="NJN84" s="23"/>
      <c r="NJO84" s="50"/>
      <c r="NJP84" s="51"/>
      <c r="NJQ84" s="50"/>
      <c r="NJR84" s="23"/>
      <c r="NJS84" s="50"/>
      <c r="NJT84" s="51"/>
      <c r="NJU84" s="50"/>
      <c r="NJV84" s="23"/>
      <c r="NJW84" s="50"/>
      <c r="NJX84" s="51"/>
      <c r="NJY84" s="50"/>
      <c r="NJZ84" s="23"/>
      <c r="NKA84" s="50"/>
      <c r="NKB84" s="51"/>
      <c r="NKC84" s="50"/>
      <c r="NKD84" s="23"/>
      <c r="NKE84" s="50"/>
      <c r="NKF84" s="51"/>
      <c r="NKG84" s="50"/>
      <c r="NKH84" s="23"/>
      <c r="NKI84" s="50"/>
      <c r="NKJ84" s="51"/>
      <c r="NKK84" s="50"/>
      <c r="NKL84" s="23"/>
      <c r="NKM84" s="50"/>
      <c r="NKN84" s="51"/>
      <c r="NKO84" s="50"/>
      <c r="NKP84" s="23"/>
      <c r="NKQ84" s="50"/>
      <c r="NKR84" s="51"/>
      <c r="NKS84" s="50"/>
      <c r="NKT84" s="23"/>
      <c r="NKU84" s="50"/>
      <c r="NKV84" s="51"/>
      <c r="NKW84" s="50"/>
      <c r="NKX84" s="23"/>
      <c r="NKY84" s="50"/>
      <c r="NKZ84" s="51"/>
      <c r="NLA84" s="50"/>
      <c r="NLB84" s="23"/>
      <c r="NLC84" s="50"/>
      <c r="NLD84" s="51"/>
      <c r="NLE84" s="50"/>
      <c r="NLF84" s="23"/>
      <c r="NLG84" s="50"/>
      <c r="NLH84" s="51"/>
      <c r="NLI84" s="50"/>
      <c r="NLJ84" s="23"/>
      <c r="NLK84" s="50"/>
      <c r="NLL84" s="51"/>
      <c r="NLM84" s="50"/>
      <c r="NLN84" s="23"/>
      <c r="NLO84" s="50"/>
      <c r="NLP84" s="51"/>
      <c r="NLQ84" s="50"/>
      <c r="NLR84" s="23"/>
      <c r="NLS84" s="50"/>
      <c r="NLT84" s="51"/>
      <c r="NLU84" s="50"/>
      <c r="NLV84" s="23"/>
      <c r="NLW84" s="50"/>
      <c r="NLX84" s="51"/>
      <c r="NLY84" s="50"/>
      <c r="NLZ84" s="23"/>
      <c r="NMA84" s="50"/>
      <c r="NMB84" s="51"/>
      <c r="NMC84" s="50"/>
      <c r="NMD84" s="23"/>
      <c r="NME84" s="50"/>
      <c r="NMF84" s="51"/>
      <c r="NMG84" s="50"/>
      <c r="NMH84" s="23"/>
      <c r="NMI84" s="50"/>
      <c r="NMJ84" s="51"/>
      <c r="NMK84" s="50"/>
      <c r="NML84" s="23"/>
      <c r="NMM84" s="50"/>
      <c r="NMN84" s="51"/>
      <c r="NMO84" s="50"/>
      <c r="NMP84" s="23"/>
      <c r="NMQ84" s="50"/>
      <c r="NMR84" s="51"/>
      <c r="NMS84" s="50"/>
      <c r="NMT84" s="23"/>
      <c r="NMU84" s="50"/>
      <c r="NMV84" s="51"/>
      <c r="NMW84" s="50"/>
      <c r="NMX84" s="23"/>
      <c r="NMY84" s="50"/>
      <c r="NMZ84" s="51"/>
      <c r="NNA84" s="50"/>
      <c r="NNB84" s="23"/>
      <c r="NNC84" s="50"/>
      <c r="NND84" s="51"/>
      <c r="NNE84" s="50"/>
      <c r="NNF84" s="23"/>
      <c r="NNG84" s="50"/>
      <c r="NNH84" s="51"/>
      <c r="NNI84" s="50"/>
      <c r="NNJ84" s="23"/>
      <c r="NNK84" s="50"/>
      <c r="NNL84" s="51"/>
      <c r="NNM84" s="50"/>
      <c r="NNN84" s="23"/>
      <c r="NNO84" s="50"/>
      <c r="NNP84" s="51"/>
      <c r="NNQ84" s="50"/>
      <c r="NNR84" s="23"/>
      <c r="NNS84" s="50"/>
      <c r="NNT84" s="51"/>
      <c r="NNU84" s="50"/>
      <c r="NNV84" s="23"/>
      <c r="NNW84" s="50"/>
      <c r="NNX84" s="51"/>
      <c r="NNY84" s="50"/>
      <c r="NNZ84" s="23"/>
      <c r="NOA84" s="50"/>
      <c r="NOB84" s="51"/>
      <c r="NOC84" s="50"/>
      <c r="NOD84" s="23"/>
      <c r="NOE84" s="50"/>
      <c r="NOF84" s="51"/>
      <c r="NOG84" s="50"/>
      <c r="NOH84" s="23"/>
      <c r="NOI84" s="50"/>
      <c r="NOJ84" s="51"/>
      <c r="NOK84" s="50"/>
      <c r="NOL84" s="23"/>
      <c r="NOM84" s="50"/>
      <c r="NON84" s="51"/>
      <c r="NOO84" s="50"/>
      <c r="NOP84" s="23"/>
      <c r="NOQ84" s="50"/>
      <c r="NOR84" s="51"/>
      <c r="NOS84" s="50"/>
      <c r="NOT84" s="23"/>
      <c r="NOU84" s="50"/>
      <c r="NOV84" s="51"/>
      <c r="NOW84" s="50"/>
      <c r="NOX84" s="23"/>
      <c r="NOY84" s="50"/>
      <c r="NOZ84" s="51"/>
      <c r="NPA84" s="50"/>
      <c r="NPB84" s="23"/>
      <c r="NPC84" s="50"/>
      <c r="NPD84" s="51"/>
      <c r="NPE84" s="50"/>
      <c r="NPF84" s="23"/>
      <c r="NPG84" s="50"/>
      <c r="NPH84" s="51"/>
      <c r="NPI84" s="50"/>
      <c r="NPJ84" s="23"/>
      <c r="NPK84" s="50"/>
      <c r="NPL84" s="51"/>
      <c r="NPM84" s="50"/>
      <c r="NPN84" s="23"/>
      <c r="NPO84" s="50"/>
      <c r="NPP84" s="51"/>
      <c r="NPQ84" s="50"/>
      <c r="NPR84" s="23"/>
      <c r="NPS84" s="50"/>
      <c r="NPT84" s="51"/>
      <c r="NPU84" s="50"/>
      <c r="NPV84" s="23"/>
      <c r="NPW84" s="50"/>
      <c r="NPX84" s="51"/>
      <c r="NPY84" s="50"/>
      <c r="NPZ84" s="23"/>
      <c r="NQA84" s="50"/>
      <c r="NQB84" s="51"/>
      <c r="NQC84" s="50"/>
      <c r="NQD84" s="23"/>
      <c r="NQE84" s="50"/>
      <c r="NQF84" s="51"/>
      <c r="NQG84" s="50"/>
      <c r="NQH84" s="23"/>
      <c r="NQI84" s="50"/>
      <c r="NQJ84" s="51"/>
      <c r="NQK84" s="50"/>
      <c r="NQL84" s="23"/>
      <c r="NQM84" s="50"/>
      <c r="NQN84" s="51"/>
      <c r="NQO84" s="50"/>
      <c r="NQP84" s="23"/>
      <c r="NQQ84" s="50"/>
      <c r="NQR84" s="51"/>
      <c r="NQS84" s="50"/>
      <c r="NQT84" s="23"/>
      <c r="NQU84" s="50"/>
      <c r="NQV84" s="51"/>
      <c r="NQW84" s="50"/>
      <c r="NQX84" s="23"/>
      <c r="NQY84" s="50"/>
      <c r="NQZ84" s="51"/>
      <c r="NRA84" s="50"/>
      <c r="NRB84" s="23"/>
      <c r="NRC84" s="50"/>
      <c r="NRD84" s="51"/>
      <c r="NRE84" s="50"/>
      <c r="NRF84" s="23"/>
      <c r="NRG84" s="50"/>
      <c r="NRH84" s="51"/>
      <c r="NRI84" s="50"/>
      <c r="NRJ84" s="23"/>
      <c r="NRK84" s="50"/>
      <c r="NRL84" s="51"/>
      <c r="NRM84" s="50"/>
      <c r="NRN84" s="23"/>
      <c r="NRO84" s="50"/>
      <c r="NRP84" s="51"/>
      <c r="NRQ84" s="50"/>
      <c r="NRR84" s="23"/>
      <c r="NRS84" s="50"/>
      <c r="NRT84" s="51"/>
      <c r="NRU84" s="50"/>
      <c r="NRV84" s="23"/>
      <c r="NRW84" s="50"/>
      <c r="NRX84" s="51"/>
      <c r="NRY84" s="50"/>
      <c r="NRZ84" s="23"/>
      <c r="NSA84" s="50"/>
      <c r="NSB84" s="51"/>
      <c r="NSC84" s="50"/>
      <c r="NSD84" s="23"/>
      <c r="NSE84" s="50"/>
      <c r="NSF84" s="51"/>
      <c r="NSG84" s="50"/>
      <c r="NSH84" s="23"/>
      <c r="NSI84" s="50"/>
      <c r="NSJ84" s="51"/>
      <c r="NSK84" s="50"/>
      <c r="NSL84" s="23"/>
      <c r="NSM84" s="50"/>
      <c r="NSN84" s="51"/>
      <c r="NSO84" s="50"/>
      <c r="NSP84" s="23"/>
      <c r="NSQ84" s="50"/>
      <c r="NSR84" s="51"/>
      <c r="NSS84" s="50"/>
      <c r="NST84" s="23"/>
      <c r="NSU84" s="50"/>
      <c r="NSV84" s="51"/>
      <c r="NSW84" s="50"/>
      <c r="NSX84" s="23"/>
      <c r="NSY84" s="50"/>
      <c r="NSZ84" s="51"/>
      <c r="NTA84" s="50"/>
      <c r="NTB84" s="23"/>
      <c r="NTC84" s="50"/>
      <c r="NTD84" s="51"/>
      <c r="NTE84" s="50"/>
      <c r="NTF84" s="23"/>
      <c r="NTG84" s="50"/>
      <c r="NTH84" s="51"/>
      <c r="NTI84" s="50"/>
      <c r="NTJ84" s="23"/>
      <c r="NTK84" s="50"/>
      <c r="NTL84" s="51"/>
      <c r="NTM84" s="50"/>
      <c r="NTN84" s="23"/>
      <c r="NTO84" s="50"/>
      <c r="NTP84" s="51"/>
      <c r="NTQ84" s="50"/>
      <c r="NTR84" s="23"/>
      <c r="NTS84" s="50"/>
      <c r="NTT84" s="51"/>
      <c r="NTU84" s="50"/>
      <c r="NTV84" s="23"/>
      <c r="NTW84" s="50"/>
      <c r="NTX84" s="51"/>
      <c r="NTY84" s="50"/>
      <c r="NTZ84" s="23"/>
      <c r="NUA84" s="50"/>
      <c r="NUB84" s="51"/>
      <c r="NUC84" s="50"/>
      <c r="NUD84" s="23"/>
      <c r="NUE84" s="50"/>
      <c r="NUF84" s="51"/>
      <c r="NUG84" s="50"/>
      <c r="NUH84" s="23"/>
      <c r="NUI84" s="50"/>
      <c r="NUJ84" s="51"/>
      <c r="NUK84" s="50"/>
      <c r="NUL84" s="23"/>
      <c r="NUM84" s="50"/>
      <c r="NUN84" s="51"/>
      <c r="NUO84" s="50"/>
      <c r="NUP84" s="23"/>
      <c r="NUQ84" s="50"/>
      <c r="NUR84" s="51"/>
      <c r="NUS84" s="50"/>
      <c r="NUT84" s="23"/>
      <c r="NUU84" s="50"/>
      <c r="NUV84" s="51"/>
      <c r="NUW84" s="50"/>
      <c r="NUX84" s="23"/>
      <c r="NUY84" s="50"/>
      <c r="NUZ84" s="51"/>
      <c r="NVA84" s="50"/>
      <c r="NVB84" s="23"/>
      <c r="NVC84" s="50"/>
      <c r="NVD84" s="51"/>
      <c r="NVE84" s="50"/>
      <c r="NVF84" s="23"/>
      <c r="NVG84" s="50"/>
      <c r="NVH84" s="51"/>
      <c r="NVI84" s="50"/>
      <c r="NVJ84" s="23"/>
      <c r="NVK84" s="50"/>
      <c r="NVL84" s="51"/>
      <c r="NVM84" s="50"/>
      <c r="NVN84" s="23"/>
      <c r="NVO84" s="50"/>
      <c r="NVP84" s="51"/>
      <c r="NVQ84" s="50"/>
      <c r="NVR84" s="23"/>
      <c r="NVS84" s="50"/>
      <c r="NVT84" s="51"/>
      <c r="NVU84" s="50"/>
      <c r="NVV84" s="23"/>
      <c r="NVW84" s="50"/>
      <c r="NVX84" s="51"/>
      <c r="NVY84" s="50"/>
      <c r="NVZ84" s="23"/>
      <c r="NWA84" s="50"/>
      <c r="NWB84" s="51"/>
      <c r="NWC84" s="50"/>
      <c r="NWD84" s="23"/>
      <c r="NWE84" s="50"/>
      <c r="NWF84" s="51"/>
      <c r="NWG84" s="50"/>
      <c r="NWH84" s="23"/>
      <c r="NWI84" s="50"/>
      <c r="NWJ84" s="51"/>
      <c r="NWK84" s="50"/>
      <c r="NWL84" s="23"/>
      <c r="NWM84" s="50"/>
      <c r="NWN84" s="51"/>
      <c r="NWO84" s="50"/>
      <c r="NWP84" s="23"/>
      <c r="NWQ84" s="50"/>
      <c r="NWR84" s="51"/>
      <c r="NWS84" s="50"/>
      <c r="NWT84" s="23"/>
      <c r="NWU84" s="50"/>
      <c r="NWV84" s="51"/>
      <c r="NWW84" s="50"/>
      <c r="NWX84" s="23"/>
      <c r="NWY84" s="50"/>
      <c r="NWZ84" s="51"/>
      <c r="NXA84" s="50"/>
      <c r="NXB84" s="23"/>
      <c r="NXC84" s="50"/>
      <c r="NXD84" s="51"/>
      <c r="NXE84" s="50"/>
      <c r="NXF84" s="23"/>
      <c r="NXG84" s="50"/>
      <c r="NXH84" s="51"/>
      <c r="NXI84" s="50"/>
      <c r="NXJ84" s="23"/>
      <c r="NXK84" s="50"/>
      <c r="NXL84" s="51"/>
      <c r="NXM84" s="50"/>
      <c r="NXN84" s="23"/>
      <c r="NXO84" s="50"/>
      <c r="NXP84" s="51"/>
      <c r="NXQ84" s="50"/>
      <c r="NXR84" s="23"/>
      <c r="NXS84" s="50"/>
      <c r="NXT84" s="51"/>
      <c r="NXU84" s="50"/>
      <c r="NXV84" s="23"/>
      <c r="NXW84" s="50"/>
      <c r="NXX84" s="51"/>
      <c r="NXY84" s="50"/>
      <c r="NXZ84" s="23"/>
      <c r="NYA84" s="50"/>
      <c r="NYB84" s="51"/>
      <c r="NYC84" s="50"/>
      <c r="NYD84" s="23"/>
      <c r="NYE84" s="50"/>
      <c r="NYF84" s="51"/>
      <c r="NYG84" s="50"/>
      <c r="NYH84" s="23"/>
      <c r="NYI84" s="50"/>
      <c r="NYJ84" s="51"/>
      <c r="NYK84" s="50"/>
      <c r="NYL84" s="23"/>
      <c r="NYM84" s="50"/>
      <c r="NYN84" s="51"/>
      <c r="NYO84" s="50"/>
      <c r="NYP84" s="23"/>
      <c r="NYQ84" s="50"/>
      <c r="NYR84" s="51"/>
      <c r="NYS84" s="50"/>
      <c r="NYT84" s="23"/>
      <c r="NYU84" s="50"/>
      <c r="NYV84" s="51"/>
      <c r="NYW84" s="50"/>
      <c r="NYX84" s="23"/>
      <c r="NYY84" s="50"/>
      <c r="NYZ84" s="51"/>
      <c r="NZA84" s="50"/>
      <c r="NZB84" s="23"/>
      <c r="NZC84" s="50"/>
      <c r="NZD84" s="51"/>
      <c r="NZE84" s="50"/>
      <c r="NZF84" s="23"/>
      <c r="NZG84" s="50"/>
      <c r="NZH84" s="51"/>
      <c r="NZI84" s="50"/>
      <c r="NZJ84" s="23"/>
      <c r="NZK84" s="50"/>
      <c r="NZL84" s="51"/>
      <c r="NZM84" s="50"/>
      <c r="NZN84" s="23"/>
      <c r="NZO84" s="50"/>
      <c r="NZP84" s="51"/>
      <c r="NZQ84" s="50"/>
      <c r="NZR84" s="23"/>
      <c r="NZS84" s="50"/>
      <c r="NZT84" s="51"/>
      <c r="NZU84" s="50"/>
      <c r="NZV84" s="23"/>
      <c r="NZW84" s="50"/>
      <c r="NZX84" s="51"/>
      <c r="NZY84" s="50"/>
      <c r="NZZ84" s="23"/>
      <c r="OAA84" s="50"/>
      <c r="OAB84" s="51"/>
      <c r="OAC84" s="50"/>
      <c r="OAD84" s="23"/>
      <c r="OAE84" s="50"/>
      <c r="OAF84" s="51"/>
      <c r="OAG84" s="50"/>
      <c r="OAH84" s="23"/>
      <c r="OAI84" s="50"/>
      <c r="OAJ84" s="51"/>
      <c r="OAK84" s="50"/>
      <c r="OAL84" s="23"/>
      <c r="OAM84" s="50"/>
      <c r="OAN84" s="51"/>
      <c r="OAO84" s="50"/>
      <c r="OAP84" s="23"/>
      <c r="OAQ84" s="50"/>
      <c r="OAR84" s="51"/>
      <c r="OAS84" s="50"/>
      <c r="OAT84" s="23"/>
      <c r="OAU84" s="50"/>
      <c r="OAV84" s="51"/>
      <c r="OAW84" s="50"/>
      <c r="OAX84" s="23"/>
      <c r="OAY84" s="50"/>
      <c r="OAZ84" s="51"/>
      <c r="OBA84" s="50"/>
      <c r="OBB84" s="23"/>
      <c r="OBC84" s="50"/>
      <c r="OBD84" s="51"/>
      <c r="OBE84" s="50"/>
      <c r="OBF84" s="23"/>
      <c r="OBG84" s="50"/>
      <c r="OBH84" s="51"/>
      <c r="OBI84" s="50"/>
      <c r="OBJ84" s="23"/>
      <c r="OBK84" s="50"/>
      <c r="OBL84" s="51"/>
      <c r="OBM84" s="50"/>
      <c r="OBN84" s="23"/>
      <c r="OBO84" s="50"/>
      <c r="OBP84" s="51"/>
      <c r="OBQ84" s="50"/>
      <c r="OBR84" s="23"/>
      <c r="OBS84" s="50"/>
      <c r="OBT84" s="51"/>
      <c r="OBU84" s="50"/>
      <c r="OBV84" s="23"/>
      <c r="OBW84" s="50"/>
      <c r="OBX84" s="51"/>
      <c r="OBY84" s="50"/>
      <c r="OBZ84" s="23"/>
      <c r="OCA84" s="50"/>
      <c r="OCB84" s="51"/>
      <c r="OCC84" s="50"/>
      <c r="OCD84" s="23"/>
      <c r="OCE84" s="50"/>
      <c r="OCF84" s="51"/>
      <c r="OCG84" s="50"/>
      <c r="OCH84" s="23"/>
      <c r="OCI84" s="50"/>
      <c r="OCJ84" s="51"/>
      <c r="OCK84" s="50"/>
      <c r="OCL84" s="23"/>
      <c r="OCM84" s="50"/>
      <c r="OCN84" s="51"/>
      <c r="OCO84" s="50"/>
      <c r="OCP84" s="23"/>
      <c r="OCQ84" s="50"/>
      <c r="OCR84" s="51"/>
      <c r="OCS84" s="50"/>
      <c r="OCT84" s="23"/>
      <c r="OCU84" s="50"/>
      <c r="OCV84" s="51"/>
      <c r="OCW84" s="50"/>
      <c r="OCX84" s="23"/>
      <c r="OCY84" s="50"/>
      <c r="OCZ84" s="51"/>
      <c r="ODA84" s="50"/>
      <c r="ODB84" s="23"/>
      <c r="ODC84" s="50"/>
      <c r="ODD84" s="51"/>
      <c r="ODE84" s="50"/>
      <c r="ODF84" s="23"/>
      <c r="ODG84" s="50"/>
      <c r="ODH84" s="51"/>
      <c r="ODI84" s="50"/>
      <c r="ODJ84" s="23"/>
      <c r="ODK84" s="50"/>
      <c r="ODL84" s="51"/>
      <c r="ODM84" s="50"/>
      <c r="ODN84" s="23"/>
      <c r="ODO84" s="50"/>
      <c r="ODP84" s="51"/>
      <c r="ODQ84" s="50"/>
      <c r="ODR84" s="23"/>
      <c r="ODS84" s="50"/>
      <c r="ODT84" s="51"/>
      <c r="ODU84" s="50"/>
      <c r="ODV84" s="23"/>
      <c r="ODW84" s="50"/>
      <c r="ODX84" s="51"/>
      <c r="ODY84" s="50"/>
      <c r="ODZ84" s="23"/>
      <c r="OEA84" s="50"/>
      <c r="OEB84" s="51"/>
      <c r="OEC84" s="50"/>
      <c r="OED84" s="23"/>
      <c r="OEE84" s="50"/>
      <c r="OEF84" s="51"/>
      <c r="OEG84" s="50"/>
      <c r="OEH84" s="23"/>
      <c r="OEI84" s="50"/>
      <c r="OEJ84" s="51"/>
      <c r="OEK84" s="50"/>
      <c r="OEL84" s="23"/>
      <c r="OEM84" s="50"/>
      <c r="OEN84" s="51"/>
      <c r="OEO84" s="50"/>
      <c r="OEP84" s="23"/>
      <c r="OEQ84" s="50"/>
      <c r="OER84" s="51"/>
      <c r="OES84" s="50"/>
      <c r="OET84" s="23"/>
      <c r="OEU84" s="50"/>
      <c r="OEV84" s="51"/>
      <c r="OEW84" s="50"/>
      <c r="OEX84" s="23"/>
      <c r="OEY84" s="50"/>
      <c r="OEZ84" s="51"/>
      <c r="OFA84" s="50"/>
      <c r="OFB84" s="23"/>
      <c r="OFC84" s="50"/>
      <c r="OFD84" s="51"/>
      <c r="OFE84" s="50"/>
      <c r="OFF84" s="23"/>
      <c r="OFG84" s="50"/>
      <c r="OFH84" s="51"/>
      <c r="OFI84" s="50"/>
      <c r="OFJ84" s="23"/>
      <c r="OFK84" s="50"/>
      <c r="OFL84" s="51"/>
      <c r="OFM84" s="50"/>
      <c r="OFN84" s="23"/>
      <c r="OFO84" s="50"/>
      <c r="OFP84" s="51"/>
      <c r="OFQ84" s="50"/>
      <c r="OFR84" s="23"/>
      <c r="OFS84" s="50"/>
      <c r="OFT84" s="51"/>
      <c r="OFU84" s="50"/>
      <c r="OFV84" s="23"/>
      <c r="OFW84" s="50"/>
      <c r="OFX84" s="51"/>
      <c r="OFY84" s="50"/>
      <c r="OFZ84" s="23"/>
      <c r="OGA84" s="50"/>
      <c r="OGB84" s="51"/>
      <c r="OGC84" s="50"/>
      <c r="OGD84" s="23"/>
      <c r="OGE84" s="50"/>
      <c r="OGF84" s="51"/>
      <c r="OGG84" s="50"/>
      <c r="OGH84" s="23"/>
      <c r="OGI84" s="50"/>
      <c r="OGJ84" s="51"/>
      <c r="OGK84" s="50"/>
      <c r="OGL84" s="23"/>
      <c r="OGM84" s="50"/>
      <c r="OGN84" s="51"/>
      <c r="OGO84" s="50"/>
      <c r="OGP84" s="23"/>
      <c r="OGQ84" s="50"/>
      <c r="OGR84" s="51"/>
      <c r="OGS84" s="50"/>
      <c r="OGT84" s="23"/>
      <c r="OGU84" s="50"/>
      <c r="OGV84" s="51"/>
      <c r="OGW84" s="50"/>
      <c r="OGX84" s="23"/>
      <c r="OGY84" s="50"/>
      <c r="OGZ84" s="51"/>
      <c r="OHA84" s="50"/>
      <c r="OHB84" s="23"/>
      <c r="OHC84" s="50"/>
      <c r="OHD84" s="51"/>
      <c r="OHE84" s="50"/>
      <c r="OHF84" s="23"/>
      <c r="OHG84" s="50"/>
      <c r="OHH84" s="51"/>
      <c r="OHI84" s="50"/>
      <c r="OHJ84" s="23"/>
      <c r="OHK84" s="50"/>
      <c r="OHL84" s="51"/>
      <c r="OHM84" s="50"/>
      <c r="OHN84" s="23"/>
      <c r="OHO84" s="50"/>
      <c r="OHP84" s="51"/>
      <c r="OHQ84" s="50"/>
      <c r="OHR84" s="23"/>
      <c r="OHS84" s="50"/>
      <c r="OHT84" s="51"/>
      <c r="OHU84" s="50"/>
      <c r="OHV84" s="23"/>
      <c r="OHW84" s="50"/>
      <c r="OHX84" s="51"/>
      <c r="OHY84" s="50"/>
      <c r="OHZ84" s="23"/>
      <c r="OIA84" s="50"/>
      <c r="OIB84" s="51"/>
      <c r="OIC84" s="50"/>
      <c r="OID84" s="23"/>
      <c r="OIE84" s="50"/>
      <c r="OIF84" s="51"/>
      <c r="OIG84" s="50"/>
      <c r="OIH84" s="23"/>
      <c r="OII84" s="50"/>
      <c r="OIJ84" s="51"/>
      <c r="OIK84" s="50"/>
      <c r="OIL84" s="23"/>
      <c r="OIM84" s="50"/>
      <c r="OIN84" s="51"/>
      <c r="OIO84" s="50"/>
      <c r="OIP84" s="23"/>
      <c r="OIQ84" s="50"/>
      <c r="OIR84" s="51"/>
      <c r="OIS84" s="50"/>
      <c r="OIT84" s="23"/>
      <c r="OIU84" s="50"/>
      <c r="OIV84" s="51"/>
      <c r="OIW84" s="50"/>
      <c r="OIX84" s="23"/>
      <c r="OIY84" s="50"/>
      <c r="OIZ84" s="51"/>
      <c r="OJA84" s="50"/>
      <c r="OJB84" s="23"/>
      <c r="OJC84" s="50"/>
      <c r="OJD84" s="51"/>
      <c r="OJE84" s="50"/>
      <c r="OJF84" s="23"/>
      <c r="OJG84" s="50"/>
      <c r="OJH84" s="51"/>
      <c r="OJI84" s="50"/>
      <c r="OJJ84" s="23"/>
      <c r="OJK84" s="50"/>
      <c r="OJL84" s="51"/>
      <c r="OJM84" s="50"/>
      <c r="OJN84" s="23"/>
      <c r="OJO84" s="50"/>
      <c r="OJP84" s="51"/>
      <c r="OJQ84" s="50"/>
      <c r="OJR84" s="23"/>
      <c r="OJS84" s="50"/>
      <c r="OJT84" s="51"/>
      <c r="OJU84" s="50"/>
      <c r="OJV84" s="23"/>
      <c r="OJW84" s="50"/>
      <c r="OJX84" s="51"/>
      <c r="OJY84" s="50"/>
      <c r="OJZ84" s="23"/>
      <c r="OKA84" s="50"/>
      <c r="OKB84" s="51"/>
      <c r="OKC84" s="50"/>
      <c r="OKD84" s="23"/>
      <c r="OKE84" s="50"/>
      <c r="OKF84" s="51"/>
      <c r="OKG84" s="50"/>
      <c r="OKH84" s="23"/>
      <c r="OKI84" s="50"/>
      <c r="OKJ84" s="51"/>
      <c r="OKK84" s="50"/>
      <c r="OKL84" s="23"/>
      <c r="OKM84" s="50"/>
      <c r="OKN84" s="51"/>
      <c r="OKO84" s="50"/>
      <c r="OKP84" s="23"/>
      <c r="OKQ84" s="50"/>
      <c r="OKR84" s="51"/>
      <c r="OKS84" s="50"/>
      <c r="OKT84" s="23"/>
      <c r="OKU84" s="50"/>
      <c r="OKV84" s="51"/>
      <c r="OKW84" s="50"/>
      <c r="OKX84" s="23"/>
      <c r="OKY84" s="50"/>
      <c r="OKZ84" s="51"/>
      <c r="OLA84" s="50"/>
      <c r="OLB84" s="23"/>
      <c r="OLC84" s="50"/>
      <c r="OLD84" s="51"/>
      <c r="OLE84" s="50"/>
      <c r="OLF84" s="23"/>
      <c r="OLG84" s="50"/>
      <c r="OLH84" s="51"/>
      <c r="OLI84" s="50"/>
      <c r="OLJ84" s="23"/>
      <c r="OLK84" s="50"/>
      <c r="OLL84" s="51"/>
      <c r="OLM84" s="50"/>
      <c r="OLN84" s="23"/>
      <c r="OLO84" s="50"/>
      <c r="OLP84" s="51"/>
      <c r="OLQ84" s="50"/>
      <c r="OLR84" s="23"/>
      <c r="OLS84" s="50"/>
      <c r="OLT84" s="51"/>
      <c r="OLU84" s="50"/>
      <c r="OLV84" s="23"/>
      <c r="OLW84" s="50"/>
      <c r="OLX84" s="51"/>
      <c r="OLY84" s="50"/>
      <c r="OLZ84" s="23"/>
      <c r="OMA84" s="50"/>
      <c r="OMB84" s="51"/>
      <c r="OMC84" s="50"/>
      <c r="OMD84" s="23"/>
      <c r="OME84" s="50"/>
      <c r="OMF84" s="51"/>
      <c r="OMG84" s="50"/>
      <c r="OMH84" s="23"/>
      <c r="OMI84" s="50"/>
      <c r="OMJ84" s="51"/>
      <c r="OMK84" s="50"/>
      <c r="OML84" s="23"/>
      <c r="OMM84" s="50"/>
      <c r="OMN84" s="51"/>
      <c r="OMO84" s="50"/>
      <c r="OMP84" s="23"/>
      <c r="OMQ84" s="50"/>
      <c r="OMR84" s="51"/>
      <c r="OMS84" s="50"/>
      <c r="OMT84" s="23"/>
      <c r="OMU84" s="50"/>
      <c r="OMV84" s="51"/>
      <c r="OMW84" s="50"/>
      <c r="OMX84" s="23"/>
      <c r="OMY84" s="50"/>
      <c r="OMZ84" s="51"/>
      <c r="ONA84" s="50"/>
      <c r="ONB84" s="23"/>
      <c r="ONC84" s="50"/>
      <c r="OND84" s="51"/>
      <c r="ONE84" s="50"/>
      <c r="ONF84" s="23"/>
      <c r="ONG84" s="50"/>
      <c r="ONH84" s="51"/>
      <c r="ONI84" s="50"/>
      <c r="ONJ84" s="23"/>
      <c r="ONK84" s="50"/>
      <c r="ONL84" s="51"/>
      <c r="ONM84" s="50"/>
      <c r="ONN84" s="23"/>
      <c r="ONO84" s="50"/>
      <c r="ONP84" s="51"/>
      <c r="ONQ84" s="50"/>
      <c r="ONR84" s="23"/>
      <c r="ONS84" s="50"/>
      <c r="ONT84" s="51"/>
      <c r="ONU84" s="50"/>
      <c r="ONV84" s="23"/>
      <c r="ONW84" s="50"/>
      <c r="ONX84" s="51"/>
      <c r="ONY84" s="50"/>
      <c r="ONZ84" s="23"/>
      <c r="OOA84" s="50"/>
      <c r="OOB84" s="51"/>
      <c r="OOC84" s="50"/>
      <c r="OOD84" s="23"/>
      <c r="OOE84" s="50"/>
      <c r="OOF84" s="51"/>
      <c r="OOG84" s="50"/>
      <c r="OOH84" s="23"/>
      <c r="OOI84" s="50"/>
      <c r="OOJ84" s="51"/>
      <c r="OOK84" s="50"/>
      <c r="OOL84" s="23"/>
      <c r="OOM84" s="50"/>
      <c r="OON84" s="51"/>
      <c r="OOO84" s="50"/>
      <c r="OOP84" s="23"/>
      <c r="OOQ84" s="50"/>
      <c r="OOR84" s="51"/>
      <c r="OOS84" s="50"/>
      <c r="OOT84" s="23"/>
      <c r="OOU84" s="50"/>
      <c r="OOV84" s="51"/>
      <c r="OOW84" s="50"/>
      <c r="OOX84" s="23"/>
      <c r="OOY84" s="50"/>
      <c r="OOZ84" s="51"/>
      <c r="OPA84" s="50"/>
      <c r="OPB84" s="23"/>
      <c r="OPC84" s="50"/>
      <c r="OPD84" s="51"/>
      <c r="OPE84" s="50"/>
      <c r="OPF84" s="23"/>
      <c r="OPG84" s="50"/>
      <c r="OPH84" s="51"/>
      <c r="OPI84" s="50"/>
      <c r="OPJ84" s="23"/>
      <c r="OPK84" s="50"/>
      <c r="OPL84" s="51"/>
      <c r="OPM84" s="50"/>
      <c r="OPN84" s="23"/>
      <c r="OPO84" s="50"/>
      <c r="OPP84" s="51"/>
      <c r="OPQ84" s="50"/>
      <c r="OPR84" s="23"/>
      <c r="OPS84" s="50"/>
      <c r="OPT84" s="51"/>
      <c r="OPU84" s="50"/>
      <c r="OPV84" s="23"/>
      <c r="OPW84" s="50"/>
      <c r="OPX84" s="51"/>
      <c r="OPY84" s="50"/>
      <c r="OPZ84" s="23"/>
      <c r="OQA84" s="50"/>
      <c r="OQB84" s="51"/>
      <c r="OQC84" s="50"/>
      <c r="OQD84" s="23"/>
      <c r="OQE84" s="50"/>
      <c r="OQF84" s="51"/>
      <c r="OQG84" s="50"/>
      <c r="OQH84" s="23"/>
      <c r="OQI84" s="50"/>
      <c r="OQJ84" s="51"/>
      <c r="OQK84" s="50"/>
      <c r="OQL84" s="23"/>
      <c r="OQM84" s="50"/>
      <c r="OQN84" s="51"/>
      <c r="OQO84" s="50"/>
      <c r="OQP84" s="23"/>
      <c r="OQQ84" s="50"/>
      <c r="OQR84" s="51"/>
      <c r="OQS84" s="50"/>
      <c r="OQT84" s="23"/>
      <c r="OQU84" s="50"/>
      <c r="OQV84" s="51"/>
      <c r="OQW84" s="50"/>
      <c r="OQX84" s="23"/>
      <c r="OQY84" s="50"/>
      <c r="OQZ84" s="51"/>
      <c r="ORA84" s="50"/>
      <c r="ORB84" s="23"/>
      <c r="ORC84" s="50"/>
      <c r="ORD84" s="51"/>
      <c r="ORE84" s="50"/>
      <c r="ORF84" s="23"/>
      <c r="ORG84" s="50"/>
      <c r="ORH84" s="51"/>
      <c r="ORI84" s="50"/>
      <c r="ORJ84" s="23"/>
      <c r="ORK84" s="50"/>
      <c r="ORL84" s="51"/>
      <c r="ORM84" s="50"/>
      <c r="ORN84" s="23"/>
      <c r="ORO84" s="50"/>
      <c r="ORP84" s="51"/>
      <c r="ORQ84" s="50"/>
      <c r="ORR84" s="23"/>
      <c r="ORS84" s="50"/>
      <c r="ORT84" s="51"/>
      <c r="ORU84" s="50"/>
      <c r="ORV84" s="23"/>
      <c r="ORW84" s="50"/>
      <c r="ORX84" s="51"/>
      <c r="ORY84" s="50"/>
      <c r="ORZ84" s="23"/>
      <c r="OSA84" s="50"/>
      <c r="OSB84" s="51"/>
      <c r="OSC84" s="50"/>
      <c r="OSD84" s="23"/>
      <c r="OSE84" s="50"/>
      <c r="OSF84" s="51"/>
      <c r="OSG84" s="50"/>
      <c r="OSH84" s="23"/>
      <c r="OSI84" s="50"/>
      <c r="OSJ84" s="51"/>
      <c r="OSK84" s="50"/>
      <c r="OSL84" s="23"/>
      <c r="OSM84" s="50"/>
      <c r="OSN84" s="51"/>
      <c r="OSO84" s="50"/>
      <c r="OSP84" s="23"/>
      <c r="OSQ84" s="50"/>
      <c r="OSR84" s="51"/>
      <c r="OSS84" s="50"/>
      <c r="OST84" s="23"/>
      <c r="OSU84" s="50"/>
      <c r="OSV84" s="51"/>
      <c r="OSW84" s="50"/>
      <c r="OSX84" s="23"/>
      <c r="OSY84" s="50"/>
      <c r="OSZ84" s="51"/>
      <c r="OTA84" s="50"/>
      <c r="OTB84" s="23"/>
      <c r="OTC84" s="50"/>
      <c r="OTD84" s="51"/>
      <c r="OTE84" s="50"/>
      <c r="OTF84" s="23"/>
      <c r="OTG84" s="50"/>
      <c r="OTH84" s="51"/>
      <c r="OTI84" s="50"/>
      <c r="OTJ84" s="23"/>
      <c r="OTK84" s="50"/>
      <c r="OTL84" s="51"/>
      <c r="OTM84" s="50"/>
      <c r="OTN84" s="23"/>
      <c r="OTO84" s="50"/>
      <c r="OTP84" s="51"/>
      <c r="OTQ84" s="50"/>
      <c r="OTR84" s="23"/>
      <c r="OTS84" s="50"/>
      <c r="OTT84" s="51"/>
      <c r="OTU84" s="50"/>
      <c r="OTV84" s="23"/>
      <c r="OTW84" s="50"/>
      <c r="OTX84" s="51"/>
      <c r="OTY84" s="50"/>
      <c r="OTZ84" s="23"/>
      <c r="OUA84" s="50"/>
      <c r="OUB84" s="51"/>
      <c r="OUC84" s="50"/>
      <c r="OUD84" s="23"/>
      <c r="OUE84" s="50"/>
      <c r="OUF84" s="51"/>
      <c r="OUG84" s="50"/>
      <c r="OUH84" s="23"/>
      <c r="OUI84" s="50"/>
      <c r="OUJ84" s="51"/>
      <c r="OUK84" s="50"/>
      <c r="OUL84" s="23"/>
      <c r="OUM84" s="50"/>
      <c r="OUN84" s="51"/>
      <c r="OUO84" s="50"/>
      <c r="OUP84" s="23"/>
      <c r="OUQ84" s="50"/>
      <c r="OUR84" s="51"/>
      <c r="OUS84" s="50"/>
      <c r="OUT84" s="23"/>
      <c r="OUU84" s="50"/>
      <c r="OUV84" s="51"/>
      <c r="OUW84" s="50"/>
      <c r="OUX84" s="23"/>
      <c r="OUY84" s="50"/>
      <c r="OUZ84" s="51"/>
      <c r="OVA84" s="50"/>
      <c r="OVB84" s="23"/>
      <c r="OVC84" s="50"/>
      <c r="OVD84" s="51"/>
      <c r="OVE84" s="50"/>
      <c r="OVF84" s="23"/>
      <c r="OVG84" s="50"/>
      <c r="OVH84" s="51"/>
      <c r="OVI84" s="50"/>
      <c r="OVJ84" s="23"/>
      <c r="OVK84" s="50"/>
      <c r="OVL84" s="51"/>
      <c r="OVM84" s="50"/>
      <c r="OVN84" s="23"/>
      <c r="OVO84" s="50"/>
      <c r="OVP84" s="51"/>
      <c r="OVQ84" s="50"/>
      <c r="OVR84" s="23"/>
      <c r="OVS84" s="50"/>
      <c r="OVT84" s="51"/>
      <c r="OVU84" s="50"/>
      <c r="OVV84" s="23"/>
      <c r="OVW84" s="50"/>
      <c r="OVX84" s="51"/>
      <c r="OVY84" s="50"/>
      <c r="OVZ84" s="23"/>
      <c r="OWA84" s="50"/>
      <c r="OWB84" s="51"/>
      <c r="OWC84" s="50"/>
      <c r="OWD84" s="23"/>
      <c r="OWE84" s="50"/>
      <c r="OWF84" s="51"/>
      <c r="OWG84" s="50"/>
      <c r="OWH84" s="23"/>
      <c r="OWI84" s="50"/>
      <c r="OWJ84" s="51"/>
      <c r="OWK84" s="50"/>
      <c r="OWL84" s="23"/>
      <c r="OWM84" s="50"/>
      <c r="OWN84" s="51"/>
      <c r="OWO84" s="50"/>
      <c r="OWP84" s="23"/>
      <c r="OWQ84" s="50"/>
      <c r="OWR84" s="51"/>
      <c r="OWS84" s="50"/>
      <c r="OWT84" s="23"/>
      <c r="OWU84" s="50"/>
      <c r="OWV84" s="51"/>
      <c r="OWW84" s="50"/>
      <c r="OWX84" s="23"/>
      <c r="OWY84" s="50"/>
      <c r="OWZ84" s="51"/>
      <c r="OXA84" s="50"/>
      <c r="OXB84" s="23"/>
      <c r="OXC84" s="50"/>
      <c r="OXD84" s="51"/>
      <c r="OXE84" s="50"/>
      <c r="OXF84" s="23"/>
      <c r="OXG84" s="50"/>
      <c r="OXH84" s="51"/>
      <c r="OXI84" s="50"/>
      <c r="OXJ84" s="23"/>
      <c r="OXK84" s="50"/>
      <c r="OXL84" s="51"/>
      <c r="OXM84" s="50"/>
      <c r="OXN84" s="23"/>
      <c r="OXO84" s="50"/>
      <c r="OXP84" s="51"/>
      <c r="OXQ84" s="50"/>
      <c r="OXR84" s="23"/>
      <c r="OXS84" s="50"/>
      <c r="OXT84" s="51"/>
      <c r="OXU84" s="50"/>
      <c r="OXV84" s="23"/>
      <c r="OXW84" s="50"/>
      <c r="OXX84" s="51"/>
      <c r="OXY84" s="50"/>
      <c r="OXZ84" s="23"/>
      <c r="OYA84" s="50"/>
      <c r="OYB84" s="51"/>
      <c r="OYC84" s="50"/>
      <c r="OYD84" s="23"/>
      <c r="OYE84" s="50"/>
      <c r="OYF84" s="51"/>
      <c r="OYG84" s="50"/>
      <c r="OYH84" s="23"/>
      <c r="OYI84" s="50"/>
      <c r="OYJ84" s="51"/>
      <c r="OYK84" s="50"/>
      <c r="OYL84" s="23"/>
      <c r="OYM84" s="50"/>
      <c r="OYN84" s="51"/>
      <c r="OYO84" s="50"/>
      <c r="OYP84" s="23"/>
      <c r="OYQ84" s="50"/>
      <c r="OYR84" s="51"/>
      <c r="OYS84" s="50"/>
      <c r="OYT84" s="23"/>
      <c r="OYU84" s="50"/>
      <c r="OYV84" s="51"/>
      <c r="OYW84" s="50"/>
      <c r="OYX84" s="23"/>
      <c r="OYY84" s="50"/>
      <c r="OYZ84" s="51"/>
      <c r="OZA84" s="50"/>
      <c r="OZB84" s="23"/>
      <c r="OZC84" s="50"/>
      <c r="OZD84" s="51"/>
      <c r="OZE84" s="50"/>
      <c r="OZF84" s="23"/>
      <c r="OZG84" s="50"/>
      <c r="OZH84" s="51"/>
      <c r="OZI84" s="50"/>
      <c r="OZJ84" s="23"/>
      <c r="OZK84" s="50"/>
      <c r="OZL84" s="51"/>
      <c r="OZM84" s="50"/>
      <c r="OZN84" s="23"/>
      <c r="OZO84" s="50"/>
      <c r="OZP84" s="51"/>
      <c r="OZQ84" s="50"/>
      <c r="OZR84" s="23"/>
      <c r="OZS84" s="50"/>
      <c r="OZT84" s="51"/>
      <c r="OZU84" s="50"/>
      <c r="OZV84" s="23"/>
      <c r="OZW84" s="50"/>
      <c r="OZX84" s="51"/>
      <c r="OZY84" s="50"/>
      <c r="OZZ84" s="23"/>
      <c r="PAA84" s="50"/>
      <c r="PAB84" s="51"/>
      <c r="PAC84" s="50"/>
      <c r="PAD84" s="23"/>
      <c r="PAE84" s="50"/>
      <c r="PAF84" s="51"/>
      <c r="PAG84" s="50"/>
      <c r="PAH84" s="23"/>
      <c r="PAI84" s="50"/>
      <c r="PAJ84" s="51"/>
      <c r="PAK84" s="50"/>
      <c r="PAL84" s="23"/>
      <c r="PAM84" s="50"/>
      <c r="PAN84" s="51"/>
      <c r="PAO84" s="50"/>
      <c r="PAP84" s="23"/>
      <c r="PAQ84" s="50"/>
      <c r="PAR84" s="51"/>
      <c r="PAS84" s="50"/>
      <c r="PAT84" s="23"/>
      <c r="PAU84" s="50"/>
      <c r="PAV84" s="51"/>
      <c r="PAW84" s="50"/>
      <c r="PAX84" s="23"/>
      <c r="PAY84" s="50"/>
      <c r="PAZ84" s="51"/>
      <c r="PBA84" s="50"/>
      <c r="PBB84" s="23"/>
      <c r="PBC84" s="50"/>
      <c r="PBD84" s="51"/>
      <c r="PBE84" s="50"/>
      <c r="PBF84" s="23"/>
      <c r="PBG84" s="50"/>
      <c r="PBH84" s="51"/>
      <c r="PBI84" s="50"/>
      <c r="PBJ84" s="23"/>
      <c r="PBK84" s="50"/>
      <c r="PBL84" s="51"/>
      <c r="PBM84" s="50"/>
      <c r="PBN84" s="23"/>
      <c r="PBO84" s="50"/>
      <c r="PBP84" s="51"/>
      <c r="PBQ84" s="50"/>
      <c r="PBR84" s="23"/>
      <c r="PBS84" s="50"/>
      <c r="PBT84" s="51"/>
      <c r="PBU84" s="50"/>
      <c r="PBV84" s="23"/>
      <c r="PBW84" s="50"/>
      <c r="PBX84" s="51"/>
      <c r="PBY84" s="50"/>
      <c r="PBZ84" s="23"/>
      <c r="PCA84" s="50"/>
      <c r="PCB84" s="51"/>
      <c r="PCC84" s="50"/>
      <c r="PCD84" s="23"/>
      <c r="PCE84" s="50"/>
      <c r="PCF84" s="51"/>
      <c r="PCG84" s="50"/>
      <c r="PCH84" s="23"/>
      <c r="PCI84" s="50"/>
      <c r="PCJ84" s="51"/>
      <c r="PCK84" s="50"/>
      <c r="PCL84" s="23"/>
      <c r="PCM84" s="50"/>
      <c r="PCN84" s="51"/>
      <c r="PCO84" s="50"/>
      <c r="PCP84" s="23"/>
      <c r="PCQ84" s="50"/>
      <c r="PCR84" s="51"/>
      <c r="PCS84" s="50"/>
      <c r="PCT84" s="23"/>
      <c r="PCU84" s="50"/>
      <c r="PCV84" s="51"/>
      <c r="PCW84" s="50"/>
      <c r="PCX84" s="23"/>
      <c r="PCY84" s="50"/>
      <c r="PCZ84" s="51"/>
      <c r="PDA84" s="50"/>
      <c r="PDB84" s="23"/>
      <c r="PDC84" s="50"/>
      <c r="PDD84" s="51"/>
      <c r="PDE84" s="50"/>
      <c r="PDF84" s="23"/>
      <c r="PDG84" s="50"/>
      <c r="PDH84" s="51"/>
      <c r="PDI84" s="50"/>
      <c r="PDJ84" s="23"/>
      <c r="PDK84" s="50"/>
      <c r="PDL84" s="51"/>
      <c r="PDM84" s="50"/>
      <c r="PDN84" s="23"/>
      <c r="PDO84" s="50"/>
      <c r="PDP84" s="51"/>
      <c r="PDQ84" s="50"/>
      <c r="PDR84" s="23"/>
      <c r="PDS84" s="50"/>
      <c r="PDT84" s="51"/>
      <c r="PDU84" s="50"/>
      <c r="PDV84" s="23"/>
      <c r="PDW84" s="50"/>
      <c r="PDX84" s="51"/>
      <c r="PDY84" s="50"/>
      <c r="PDZ84" s="23"/>
      <c r="PEA84" s="50"/>
      <c r="PEB84" s="51"/>
      <c r="PEC84" s="50"/>
      <c r="PED84" s="23"/>
      <c r="PEE84" s="50"/>
      <c r="PEF84" s="51"/>
      <c r="PEG84" s="50"/>
      <c r="PEH84" s="23"/>
      <c r="PEI84" s="50"/>
      <c r="PEJ84" s="51"/>
      <c r="PEK84" s="50"/>
      <c r="PEL84" s="23"/>
      <c r="PEM84" s="50"/>
      <c r="PEN84" s="51"/>
      <c r="PEO84" s="50"/>
      <c r="PEP84" s="23"/>
      <c r="PEQ84" s="50"/>
      <c r="PER84" s="51"/>
      <c r="PES84" s="50"/>
      <c r="PET84" s="23"/>
      <c r="PEU84" s="50"/>
      <c r="PEV84" s="51"/>
      <c r="PEW84" s="50"/>
      <c r="PEX84" s="23"/>
      <c r="PEY84" s="50"/>
      <c r="PEZ84" s="51"/>
      <c r="PFA84" s="50"/>
      <c r="PFB84" s="23"/>
      <c r="PFC84" s="50"/>
      <c r="PFD84" s="51"/>
      <c r="PFE84" s="50"/>
      <c r="PFF84" s="23"/>
      <c r="PFG84" s="50"/>
      <c r="PFH84" s="51"/>
      <c r="PFI84" s="50"/>
      <c r="PFJ84" s="23"/>
      <c r="PFK84" s="50"/>
      <c r="PFL84" s="51"/>
      <c r="PFM84" s="50"/>
      <c r="PFN84" s="23"/>
      <c r="PFO84" s="50"/>
      <c r="PFP84" s="51"/>
      <c r="PFQ84" s="50"/>
      <c r="PFR84" s="23"/>
      <c r="PFS84" s="50"/>
      <c r="PFT84" s="51"/>
      <c r="PFU84" s="50"/>
      <c r="PFV84" s="23"/>
      <c r="PFW84" s="50"/>
      <c r="PFX84" s="51"/>
      <c r="PFY84" s="50"/>
      <c r="PFZ84" s="23"/>
      <c r="PGA84" s="50"/>
      <c r="PGB84" s="51"/>
      <c r="PGC84" s="50"/>
      <c r="PGD84" s="23"/>
      <c r="PGE84" s="50"/>
      <c r="PGF84" s="51"/>
      <c r="PGG84" s="50"/>
      <c r="PGH84" s="23"/>
      <c r="PGI84" s="50"/>
      <c r="PGJ84" s="51"/>
      <c r="PGK84" s="50"/>
      <c r="PGL84" s="23"/>
      <c r="PGM84" s="50"/>
      <c r="PGN84" s="51"/>
      <c r="PGO84" s="50"/>
      <c r="PGP84" s="23"/>
      <c r="PGQ84" s="50"/>
      <c r="PGR84" s="51"/>
      <c r="PGS84" s="50"/>
      <c r="PGT84" s="23"/>
      <c r="PGU84" s="50"/>
      <c r="PGV84" s="51"/>
      <c r="PGW84" s="50"/>
      <c r="PGX84" s="23"/>
      <c r="PGY84" s="50"/>
      <c r="PGZ84" s="51"/>
      <c r="PHA84" s="50"/>
      <c r="PHB84" s="23"/>
      <c r="PHC84" s="50"/>
      <c r="PHD84" s="51"/>
      <c r="PHE84" s="50"/>
      <c r="PHF84" s="23"/>
      <c r="PHG84" s="50"/>
      <c r="PHH84" s="51"/>
      <c r="PHI84" s="50"/>
      <c r="PHJ84" s="23"/>
      <c r="PHK84" s="50"/>
      <c r="PHL84" s="51"/>
      <c r="PHM84" s="50"/>
      <c r="PHN84" s="23"/>
      <c r="PHO84" s="50"/>
      <c r="PHP84" s="51"/>
      <c r="PHQ84" s="50"/>
      <c r="PHR84" s="23"/>
      <c r="PHS84" s="50"/>
      <c r="PHT84" s="51"/>
      <c r="PHU84" s="50"/>
      <c r="PHV84" s="23"/>
      <c r="PHW84" s="50"/>
      <c r="PHX84" s="51"/>
      <c r="PHY84" s="50"/>
      <c r="PHZ84" s="23"/>
      <c r="PIA84" s="50"/>
      <c r="PIB84" s="51"/>
      <c r="PIC84" s="50"/>
      <c r="PID84" s="23"/>
      <c r="PIE84" s="50"/>
      <c r="PIF84" s="51"/>
      <c r="PIG84" s="50"/>
      <c r="PIH84" s="23"/>
      <c r="PII84" s="50"/>
      <c r="PIJ84" s="51"/>
      <c r="PIK84" s="50"/>
      <c r="PIL84" s="23"/>
      <c r="PIM84" s="50"/>
      <c r="PIN84" s="51"/>
      <c r="PIO84" s="50"/>
      <c r="PIP84" s="23"/>
      <c r="PIQ84" s="50"/>
      <c r="PIR84" s="51"/>
      <c r="PIS84" s="50"/>
      <c r="PIT84" s="23"/>
      <c r="PIU84" s="50"/>
      <c r="PIV84" s="51"/>
      <c r="PIW84" s="50"/>
      <c r="PIX84" s="23"/>
      <c r="PIY84" s="50"/>
      <c r="PIZ84" s="51"/>
      <c r="PJA84" s="50"/>
      <c r="PJB84" s="23"/>
      <c r="PJC84" s="50"/>
      <c r="PJD84" s="51"/>
      <c r="PJE84" s="50"/>
      <c r="PJF84" s="23"/>
      <c r="PJG84" s="50"/>
      <c r="PJH84" s="51"/>
      <c r="PJI84" s="50"/>
      <c r="PJJ84" s="23"/>
      <c r="PJK84" s="50"/>
      <c r="PJL84" s="51"/>
      <c r="PJM84" s="50"/>
      <c r="PJN84" s="23"/>
      <c r="PJO84" s="50"/>
      <c r="PJP84" s="51"/>
      <c r="PJQ84" s="50"/>
      <c r="PJR84" s="23"/>
      <c r="PJS84" s="50"/>
      <c r="PJT84" s="51"/>
      <c r="PJU84" s="50"/>
      <c r="PJV84" s="23"/>
      <c r="PJW84" s="50"/>
      <c r="PJX84" s="51"/>
      <c r="PJY84" s="50"/>
      <c r="PJZ84" s="23"/>
      <c r="PKA84" s="50"/>
      <c r="PKB84" s="51"/>
      <c r="PKC84" s="50"/>
      <c r="PKD84" s="23"/>
      <c r="PKE84" s="50"/>
      <c r="PKF84" s="51"/>
      <c r="PKG84" s="50"/>
      <c r="PKH84" s="23"/>
      <c r="PKI84" s="50"/>
      <c r="PKJ84" s="51"/>
      <c r="PKK84" s="50"/>
      <c r="PKL84" s="23"/>
      <c r="PKM84" s="50"/>
      <c r="PKN84" s="51"/>
      <c r="PKO84" s="50"/>
      <c r="PKP84" s="23"/>
      <c r="PKQ84" s="50"/>
      <c r="PKR84" s="51"/>
      <c r="PKS84" s="50"/>
      <c r="PKT84" s="23"/>
      <c r="PKU84" s="50"/>
      <c r="PKV84" s="51"/>
      <c r="PKW84" s="50"/>
      <c r="PKX84" s="23"/>
      <c r="PKY84" s="50"/>
      <c r="PKZ84" s="51"/>
      <c r="PLA84" s="50"/>
      <c r="PLB84" s="23"/>
      <c r="PLC84" s="50"/>
      <c r="PLD84" s="51"/>
      <c r="PLE84" s="50"/>
      <c r="PLF84" s="23"/>
      <c r="PLG84" s="50"/>
      <c r="PLH84" s="51"/>
      <c r="PLI84" s="50"/>
      <c r="PLJ84" s="23"/>
      <c r="PLK84" s="50"/>
      <c r="PLL84" s="51"/>
      <c r="PLM84" s="50"/>
      <c r="PLN84" s="23"/>
      <c r="PLO84" s="50"/>
      <c r="PLP84" s="51"/>
      <c r="PLQ84" s="50"/>
      <c r="PLR84" s="23"/>
      <c r="PLS84" s="50"/>
      <c r="PLT84" s="51"/>
      <c r="PLU84" s="50"/>
      <c r="PLV84" s="23"/>
      <c r="PLW84" s="50"/>
      <c r="PLX84" s="51"/>
      <c r="PLY84" s="50"/>
      <c r="PLZ84" s="23"/>
      <c r="PMA84" s="50"/>
      <c r="PMB84" s="51"/>
      <c r="PMC84" s="50"/>
      <c r="PMD84" s="23"/>
      <c r="PME84" s="50"/>
      <c r="PMF84" s="51"/>
      <c r="PMG84" s="50"/>
      <c r="PMH84" s="23"/>
      <c r="PMI84" s="50"/>
      <c r="PMJ84" s="51"/>
      <c r="PMK84" s="50"/>
      <c r="PML84" s="23"/>
      <c r="PMM84" s="50"/>
      <c r="PMN84" s="51"/>
      <c r="PMO84" s="50"/>
      <c r="PMP84" s="23"/>
      <c r="PMQ84" s="50"/>
      <c r="PMR84" s="51"/>
      <c r="PMS84" s="50"/>
      <c r="PMT84" s="23"/>
      <c r="PMU84" s="50"/>
      <c r="PMV84" s="51"/>
      <c r="PMW84" s="50"/>
      <c r="PMX84" s="23"/>
      <c r="PMY84" s="50"/>
      <c r="PMZ84" s="51"/>
      <c r="PNA84" s="50"/>
      <c r="PNB84" s="23"/>
      <c r="PNC84" s="50"/>
      <c r="PND84" s="51"/>
      <c r="PNE84" s="50"/>
      <c r="PNF84" s="23"/>
      <c r="PNG84" s="50"/>
      <c r="PNH84" s="51"/>
      <c r="PNI84" s="50"/>
      <c r="PNJ84" s="23"/>
      <c r="PNK84" s="50"/>
      <c r="PNL84" s="51"/>
      <c r="PNM84" s="50"/>
      <c r="PNN84" s="23"/>
      <c r="PNO84" s="50"/>
      <c r="PNP84" s="51"/>
      <c r="PNQ84" s="50"/>
      <c r="PNR84" s="23"/>
      <c r="PNS84" s="50"/>
      <c r="PNT84" s="51"/>
      <c r="PNU84" s="50"/>
      <c r="PNV84" s="23"/>
      <c r="PNW84" s="50"/>
      <c r="PNX84" s="51"/>
      <c r="PNY84" s="50"/>
      <c r="PNZ84" s="23"/>
      <c r="POA84" s="50"/>
      <c r="POB84" s="51"/>
      <c r="POC84" s="50"/>
      <c r="POD84" s="23"/>
      <c r="POE84" s="50"/>
      <c r="POF84" s="51"/>
      <c r="POG84" s="50"/>
      <c r="POH84" s="23"/>
      <c r="POI84" s="50"/>
      <c r="POJ84" s="51"/>
      <c r="POK84" s="50"/>
      <c r="POL84" s="23"/>
      <c r="POM84" s="50"/>
      <c r="PON84" s="51"/>
      <c r="POO84" s="50"/>
      <c r="POP84" s="23"/>
      <c r="POQ84" s="50"/>
      <c r="POR84" s="51"/>
      <c r="POS84" s="50"/>
      <c r="POT84" s="23"/>
      <c r="POU84" s="50"/>
      <c r="POV84" s="51"/>
      <c r="POW84" s="50"/>
      <c r="POX84" s="23"/>
      <c r="POY84" s="50"/>
      <c r="POZ84" s="51"/>
      <c r="PPA84" s="50"/>
      <c r="PPB84" s="23"/>
      <c r="PPC84" s="50"/>
      <c r="PPD84" s="51"/>
      <c r="PPE84" s="50"/>
      <c r="PPF84" s="23"/>
      <c r="PPG84" s="50"/>
      <c r="PPH84" s="51"/>
      <c r="PPI84" s="50"/>
      <c r="PPJ84" s="23"/>
      <c r="PPK84" s="50"/>
      <c r="PPL84" s="51"/>
      <c r="PPM84" s="50"/>
      <c r="PPN84" s="23"/>
      <c r="PPO84" s="50"/>
      <c r="PPP84" s="51"/>
      <c r="PPQ84" s="50"/>
      <c r="PPR84" s="23"/>
      <c r="PPS84" s="50"/>
      <c r="PPT84" s="51"/>
      <c r="PPU84" s="50"/>
      <c r="PPV84" s="23"/>
      <c r="PPW84" s="50"/>
      <c r="PPX84" s="51"/>
      <c r="PPY84" s="50"/>
      <c r="PPZ84" s="23"/>
      <c r="PQA84" s="50"/>
      <c r="PQB84" s="51"/>
      <c r="PQC84" s="50"/>
      <c r="PQD84" s="23"/>
      <c r="PQE84" s="50"/>
      <c r="PQF84" s="51"/>
      <c r="PQG84" s="50"/>
      <c r="PQH84" s="23"/>
      <c r="PQI84" s="50"/>
      <c r="PQJ84" s="51"/>
      <c r="PQK84" s="50"/>
      <c r="PQL84" s="23"/>
      <c r="PQM84" s="50"/>
      <c r="PQN84" s="51"/>
      <c r="PQO84" s="50"/>
      <c r="PQP84" s="23"/>
      <c r="PQQ84" s="50"/>
      <c r="PQR84" s="51"/>
      <c r="PQS84" s="50"/>
      <c r="PQT84" s="23"/>
      <c r="PQU84" s="50"/>
      <c r="PQV84" s="51"/>
      <c r="PQW84" s="50"/>
      <c r="PQX84" s="23"/>
      <c r="PQY84" s="50"/>
      <c r="PQZ84" s="51"/>
      <c r="PRA84" s="50"/>
      <c r="PRB84" s="23"/>
      <c r="PRC84" s="50"/>
      <c r="PRD84" s="51"/>
      <c r="PRE84" s="50"/>
      <c r="PRF84" s="23"/>
      <c r="PRG84" s="50"/>
      <c r="PRH84" s="51"/>
      <c r="PRI84" s="50"/>
      <c r="PRJ84" s="23"/>
      <c r="PRK84" s="50"/>
      <c r="PRL84" s="51"/>
      <c r="PRM84" s="50"/>
      <c r="PRN84" s="23"/>
      <c r="PRO84" s="50"/>
      <c r="PRP84" s="51"/>
      <c r="PRQ84" s="50"/>
      <c r="PRR84" s="23"/>
      <c r="PRS84" s="50"/>
      <c r="PRT84" s="51"/>
      <c r="PRU84" s="50"/>
      <c r="PRV84" s="23"/>
      <c r="PRW84" s="50"/>
      <c r="PRX84" s="51"/>
      <c r="PRY84" s="50"/>
      <c r="PRZ84" s="23"/>
      <c r="PSA84" s="50"/>
      <c r="PSB84" s="51"/>
      <c r="PSC84" s="50"/>
      <c r="PSD84" s="23"/>
      <c r="PSE84" s="50"/>
      <c r="PSF84" s="51"/>
      <c r="PSG84" s="50"/>
      <c r="PSH84" s="23"/>
      <c r="PSI84" s="50"/>
      <c r="PSJ84" s="51"/>
      <c r="PSK84" s="50"/>
      <c r="PSL84" s="23"/>
      <c r="PSM84" s="50"/>
      <c r="PSN84" s="51"/>
      <c r="PSO84" s="50"/>
      <c r="PSP84" s="23"/>
      <c r="PSQ84" s="50"/>
      <c r="PSR84" s="51"/>
      <c r="PSS84" s="50"/>
      <c r="PST84" s="23"/>
      <c r="PSU84" s="50"/>
      <c r="PSV84" s="51"/>
      <c r="PSW84" s="50"/>
      <c r="PSX84" s="23"/>
      <c r="PSY84" s="50"/>
      <c r="PSZ84" s="51"/>
      <c r="PTA84" s="50"/>
      <c r="PTB84" s="23"/>
      <c r="PTC84" s="50"/>
      <c r="PTD84" s="51"/>
      <c r="PTE84" s="50"/>
      <c r="PTF84" s="23"/>
      <c r="PTG84" s="50"/>
      <c r="PTH84" s="51"/>
      <c r="PTI84" s="50"/>
      <c r="PTJ84" s="23"/>
      <c r="PTK84" s="50"/>
      <c r="PTL84" s="51"/>
      <c r="PTM84" s="50"/>
      <c r="PTN84" s="23"/>
      <c r="PTO84" s="50"/>
      <c r="PTP84" s="51"/>
      <c r="PTQ84" s="50"/>
      <c r="PTR84" s="23"/>
      <c r="PTS84" s="50"/>
      <c r="PTT84" s="51"/>
      <c r="PTU84" s="50"/>
      <c r="PTV84" s="23"/>
      <c r="PTW84" s="50"/>
      <c r="PTX84" s="51"/>
      <c r="PTY84" s="50"/>
      <c r="PTZ84" s="23"/>
      <c r="PUA84" s="50"/>
      <c r="PUB84" s="51"/>
      <c r="PUC84" s="50"/>
      <c r="PUD84" s="23"/>
      <c r="PUE84" s="50"/>
      <c r="PUF84" s="51"/>
      <c r="PUG84" s="50"/>
      <c r="PUH84" s="23"/>
      <c r="PUI84" s="50"/>
      <c r="PUJ84" s="51"/>
      <c r="PUK84" s="50"/>
      <c r="PUL84" s="23"/>
      <c r="PUM84" s="50"/>
      <c r="PUN84" s="51"/>
      <c r="PUO84" s="50"/>
      <c r="PUP84" s="23"/>
      <c r="PUQ84" s="50"/>
      <c r="PUR84" s="51"/>
      <c r="PUS84" s="50"/>
      <c r="PUT84" s="23"/>
      <c r="PUU84" s="50"/>
      <c r="PUV84" s="51"/>
      <c r="PUW84" s="50"/>
      <c r="PUX84" s="23"/>
      <c r="PUY84" s="50"/>
      <c r="PUZ84" s="51"/>
      <c r="PVA84" s="50"/>
      <c r="PVB84" s="23"/>
      <c r="PVC84" s="50"/>
      <c r="PVD84" s="51"/>
      <c r="PVE84" s="50"/>
      <c r="PVF84" s="23"/>
      <c r="PVG84" s="50"/>
      <c r="PVH84" s="51"/>
      <c r="PVI84" s="50"/>
      <c r="PVJ84" s="23"/>
      <c r="PVK84" s="50"/>
      <c r="PVL84" s="51"/>
      <c r="PVM84" s="50"/>
      <c r="PVN84" s="23"/>
      <c r="PVO84" s="50"/>
      <c r="PVP84" s="51"/>
      <c r="PVQ84" s="50"/>
      <c r="PVR84" s="23"/>
      <c r="PVS84" s="50"/>
      <c r="PVT84" s="51"/>
      <c r="PVU84" s="50"/>
      <c r="PVV84" s="23"/>
      <c r="PVW84" s="50"/>
      <c r="PVX84" s="51"/>
      <c r="PVY84" s="50"/>
      <c r="PVZ84" s="23"/>
      <c r="PWA84" s="50"/>
      <c r="PWB84" s="51"/>
      <c r="PWC84" s="50"/>
      <c r="PWD84" s="23"/>
      <c r="PWE84" s="50"/>
      <c r="PWF84" s="51"/>
      <c r="PWG84" s="50"/>
      <c r="PWH84" s="23"/>
      <c r="PWI84" s="50"/>
      <c r="PWJ84" s="51"/>
      <c r="PWK84" s="50"/>
      <c r="PWL84" s="23"/>
      <c r="PWM84" s="50"/>
      <c r="PWN84" s="51"/>
      <c r="PWO84" s="50"/>
      <c r="PWP84" s="23"/>
      <c r="PWQ84" s="50"/>
      <c r="PWR84" s="51"/>
      <c r="PWS84" s="50"/>
      <c r="PWT84" s="23"/>
      <c r="PWU84" s="50"/>
      <c r="PWV84" s="51"/>
      <c r="PWW84" s="50"/>
      <c r="PWX84" s="23"/>
      <c r="PWY84" s="50"/>
      <c r="PWZ84" s="51"/>
      <c r="PXA84" s="50"/>
      <c r="PXB84" s="23"/>
      <c r="PXC84" s="50"/>
      <c r="PXD84" s="51"/>
      <c r="PXE84" s="50"/>
      <c r="PXF84" s="23"/>
      <c r="PXG84" s="50"/>
      <c r="PXH84" s="51"/>
      <c r="PXI84" s="50"/>
      <c r="PXJ84" s="23"/>
      <c r="PXK84" s="50"/>
      <c r="PXL84" s="51"/>
      <c r="PXM84" s="50"/>
      <c r="PXN84" s="23"/>
      <c r="PXO84" s="50"/>
      <c r="PXP84" s="51"/>
      <c r="PXQ84" s="50"/>
      <c r="PXR84" s="23"/>
      <c r="PXS84" s="50"/>
      <c r="PXT84" s="51"/>
      <c r="PXU84" s="50"/>
      <c r="PXV84" s="23"/>
      <c r="PXW84" s="50"/>
      <c r="PXX84" s="51"/>
      <c r="PXY84" s="50"/>
      <c r="PXZ84" s="23"/>
      <c r="PYA84" s="50"/>
      <c r="PYB84" s="51"/>
      <c r="PYC84" s="50"/>
      <c r="PYD84" s="23"/>
      <c r="PYE84" s="50"/>
      <c r="PYF84" s="51"/>
      <c r="PYG84" s="50"/>
      <c r="PYH84" s="23"/>
      <c r="PYI84" s="50"/>
      <c r="PYJ84" s="51"/>
      <c r="PYK84" s="50"/>
      <c r="PYL84" s="23"/>
      <c r="PYM84" s="50"/>
      <c r="PYN84" s="51"/>
      <c r="PYO84" s="50"/>
      <c r="PYP84" s="23"/>
      <c r="PYQ84" s="50"/>
      <c r="PYR84" s="51"/>
      <c r="PYS84" s="50"/>
      <c r="PYT84" s="23"/>
      <c r="PYU84" s="50"/>
      <c r="PYV84" s="51"/>
      <c r="PYW84" s="50"/>
      <c r="PYX84" s="23"/>
      <c r="PYY84" s="50"/>
      <c r="PYZ84" s="51"/>
      <c r="PZA84" s="50"/>
      <c r="PZB84" s="23"/>
      <c r="PZC84" s="50"/>
      <c r="PZD84" s="51"/>
      <c r="PZE84" s="50"/>
      <c r="PZF84" s="23"/>
      <c r="PZG84" s="50"/>
      <c r="PZH84" s="51"/>
      <c r="PZI84" s="50"/>
      <c r="PZJ84" s="23"/>
      <c r="PZK84" s="50"/>
      <c r="PZL84" s="51"/>
      <c r="PZM84" s="50"/>
      <c r="PZN84" s="23"/>
      <c r="PZO84" s="50"/>
      <c r="PZP84" s="51"/>
      <c r="PZQ84" s="50"/>
      <c r="PZR84" s="23"/>
      <c r="PZS84" s="50"/>
      <c r="PZT84" s="51"/>
      <c r="PZU84" s="50"/>
      <c r="PZV84" s="23"/>
      <c r="PZW84" s="50"/>
      <c r="PZX84" s="51"/>
      <c r="PZY84" s="50"/>
      <c r="PZZ84" s="23"/>
      <c r="QAA84" s="50"/>
      <c r="QAB84" s="51"/>
      <c r="QAC84" s="50"/>
      <c r="QAD84" s="23"/>
      <c r="QAE84" s="50"/>
      <c r="QAF84" s="51"/>
      <c r="QAG84" s="50"/>
      <c r="QAH84" s="23"/>
      <c r="QAI84" s="50"/>
      <c r="QAJ84" s="51"/>
      <c r="QAK84" s="50"/>
      <c r="QAL84" s="23"/>
      <c r="QAM84" s="50"/>
      <c r="QAN84" s="51"/>
      <c r="QAO84" s="50"/>
      <c r="QAP84" s="23"/>
      <c r="QAQ84" s="50"/>
      <c r="QAR84" s="51"/>
      <c r="QAS84" s="50"/>
      <c r="QAT84" s="23"/>
      <c r="QAU84" s="50"/>
      <c r="QAV84" s="51"/>
      <c r="QAW84" s="50"/>
      <c r="QAX84" s="23"/>
      <c r="QAY84" s="50"/>
      <c r="QAZ84" s="51"/>
      <c r="QBA84" s="50"/>
      <c r="QBB84" s="23"/>
      <c r="QBC84" s="50"/>
      <c r="QBD84" s="51"/>
      <c r="QBE84" s="50"/>
      <c r="QBF84" s="23"/>
      <c r="QBG84" s="50"/>
      <c r="QBH84" s="51"/>
      <c r="QBI84" s="50"/>
      <c r="QBJ84" s="23"/>
      <c r="QBK84" s="50"/>
      <c r="QBL84" s="51"/>
      <c r="QBM84" s="50"/>
      <c r="QBN84" s="23"/>
      <c r="QBO84" s="50"/>
      <c r="QBP84" s="51"/>
      <c r="QBQ84" s="50"/>
      <c r="QBR84" s="23"/>
      <c r="QBS84" s="50"/>
      <c r="QBT84" s="51"/>
      <c r="QBU84" s="50"/>
      <c r="QBV84" s="23"/>
      <c r="QBW84" s="50"/>
      <c r="QBX84" s="51"/>
      <c r="QBY84" s="50"/>
      <c r="QBZ84" s="23"/>
      <c r="QCA84" s="50"/>
      <c r="QCB84" s="51"/>
      <c r="QCC84" s="50"/>
      <c r="QCD84" s="23"/>
      <c r="QCE84" s="50"/>
      <c r="QCF84" s="51"/>
      <c r="QCG84" s="50"/>
      <c r="QCH84" s="23"/>
      <c r="QCI84" s="50"/>
      <c r="QCJ84" s="51"/>
      <c r="QCK84" s="50"/>
      <c r="QCL84" s="23"/>
      <c r="QCM84" s="50"/>
      <c r="QCN84" s="51"/>
      <c r="QCO84" s="50"/>
      <c r="QCP84" s="23"/>
      <c r="QCQ84" s="50"/>
      <c r="QCR84" s="51"/>
      <c r="QCS84" s="50"/>
      <c r="QCT84" s="23"/>
      <c r="QCU84" s="50"/>
      <c r="QCV84" s="51"/>
      <c r="QCW84" s="50"/>
      <c r="QCX84" s="23"/>
      <c r="QCY84" s="50"/>
      <c r="QCZ84" s="51"/>
      <c r="QDA84" s="50"/>
      <c r="QDB84" s="23"/>
      <c r="QDC84" s="50"/>
      <c r="QDD84" s="51"/>
      <c r="QDE84" s="50"/>
      <c r="QDF84" s="23"/>
      <c r="QDG84" s="50"/>
      <c r="QDH84" s="51"/>
      <c r="QDI84" s="50"/>
      <c r="QDJ84" s="23"/>
      <c r="QDK84" s="50"/>
      <c r="QDL84" s="51"/>
      <c r="QDM84" s="50"/>
      <c r="QDN84" s="23"/>
      <c r="QDO84" s="50"/>
      <c r="QDP84" s="51"/>
      <c r="QDQ84" s="50"/>
      <c r="QDR84" s="23"/>
      <c r="QDS84" s="50"/>
      <c r="QDT84" s="51"/>
      <c r="QDU84" s="50"/>
      <c r="QDV84" s="23"/>
      <c r="QDW84" s="50"/>
      <c r="QDX84" s="51"/>
      <c r="QDY84" s="50"/>
      <c r="QDZ84" s="23"/>
      <c r="QEA84" s="50"/>
      <c r="QEB84" s="51"/>
      <c r="QEC84" s="50"/>
      <c r="QED84" s="23"/>
      <c r="QEE84" s="50"/>
      <c r="QEF84" s="51"/>
      <c r="QEG84" s="50"/>
      <c r="QEH84" s="23"/>
      <c r="QEI84" s="50"/>
      <c r="QEJ84" s="51"/>
      <c r="QEK84" s="50"/>
      <c r="QEL84" s="23"/>
      <c r="QEM84" s="50"/>
      <c r="QEN84" s="51"/>
      <c r="QEO84" s="50"/>
      <c r="QEP84" s="23"/>
      <c r="QEQ84" s="50"/>
      <c r="QER84" s="51"/>
      <c r="QES84" s="50"/>
      <c r="QET84" s="23"/>
      <c r="QEU84" s="50"/>
      <c r="QEV84" s="51"/>
      <c r="QEW84" s="50"/>
      <c r="QEX84" s="23"/>
      <c r="QEY84" s="50"/>
      <c r="QEZ84" s="51"/>
      <c r="QFA84" s="50"/>
      <c r="QFB84" s="23"/>
      <c r="QFC84" s="50"/>
      <c r="QFD84" s="51"/>
      <c r="QFE84" s="50"/>
      <c r="QFF84" s="23"/>
      <c r="QFG84" s="50"/>
      <c r="QFH84" s="51"/>
      <c r="QFI84" s="50"/>
      <c r="QFJ84" s="23"/>
      <c r="QFK84" s="50"/>
      <c r="QFL84" s="51"/>
      <c r="QFM84" s="50"/>
      <c r="QFN84" s="23"/>
      <c r="QFO84" s="50"/>
      <c r="QFP84" s="51"/>
      <c r="QFQ84" s="50"/>
      <c r="QFR84" s="23"/>
      <c r="QFS84" s="50"/>
      <c r="QFT84" s="51"/>
      <c r="QFU84" s="50"/>
      <c r="QFV84" s="23"/>
      <c r="QFW84" s="50"/>
      <c r="QFX84" s="51"/>
      <c r="QFY84" s="50"/>
      <c r="QFZ84" s="23"/>
      <c r="QGA84" s="50"/>
      <c r="QGB84" s="51"/>
      <c r="QGC84" s="50"/>
      <c r="QGD84" s="23"/>
      <c r="QGE84" s="50"/>
      <c r="QGF84" s="51"/>
      <c r="QGG84" s="50"/>
      <c r="QGH84" s="23"/>
      <c r="QGI84" s="50"/>
      <c r="QGJ84" s="51"/>
      <c r="QGK84" s="50"/>
      <c r="QGL84" s="23"/>
      <c r="QGM84" s="50"/>
      <c r="QGN84" s="51"/>
      <c r="QGO84" s="50"/>
      <c r="QGP84" s="23"/>
      <c r="QGQ84" s="50"/>
      <c r="QGR84" s="51"/>
      <c r="QGS84" s="50"/>
      <c r="QGT84" s="23"/>
      <c r="QGU84" s="50"/>
      <c r="QGV84" s="51"/>
      <c r="QGW84" s="50"/>
      <c r="QGX84" s="23"/>
      <c r="QGY84" s="50"/>
      <c r="QGZ84" s="51"/>
      <c r="QHA84" s="50"/>
      <c r="QHB84" s="23"/>
      <c r="QHC84" s="50"/>
      <c r="QHD84" s="51"/>
      <c r="QHE84" s="50"/>
      <c r="QHF84" s="23"/>
      <c r="QHG84" s="50"/>
      <c r="QHH84" s="51"/>
      <c r="QHI84" s="50"/>
      <c r="QHJ84" s="23"/>
      <c r="QHK84" s="50"/>
      <c r="QHL84" s="51"/>
      <c r="QHM84" s="50"/>
      <c r="QHN84" s="23"/>
      <c r="QHO84" s="50"/>
      <c r="QHP84" s="51"/>
      <c r="QHQ84" s="50"/>
      <c r="QHR84" s="23"/>
      <c r="QHS84" s="50"/>
      <c r="QHT84" s="51"/>
      <c r="QHU84" s="50"/>
      <c r="QHV84" s="23"/>
      <c r="QHW84" s="50"/>
      <c r="QHX84" s="51"/>
      <c r="QHY84" s="50"/>
      <c r="QHZ84" s="23"/>
      <c r="QIA84" s="50"/>
      <c r="QIB84" s="51"/>
      <c r="QIC84" s="50"/>
      <c r="QID84" s="23"/>
      <c r="QIE84" s="50"/>
      <c r="QIF84" s="51"/>
      <c r="QIG84" s="50"/>
      <c r="QIH84" s="23"/>
      <c r="QII84" s="50"/>
      <c r="QIJ84" s="51"/>
      <c r="QIK84" s="50"/>
      <c r="QIL84" s="23"/>
      <c r="QIM84" s="50"/>
      <c r="QIN84" s="51"/>
      <c r="QIO84" s="50"/>
      <c r="QIP84" s="23"/>
      <c r="QIQ84" s="50"/>
      <c r="QIR84" s="51"/>
      <c r="QIS84" s="50"/>
      <c r="QIT84" s="23"/>
      <c r="QIU84" s="50"/>
      <c r="QIV84" s="51"/>
      <c r="QIW84" s="50"/>
      <c r="QIX84" s="23"/>
      <c r="QIY84" s="50"/>
      <c r="QIZ84" s="51"/>
      <c r="QJA84" s="50"/>
      <c r="QJB84" s="23"/>
      <c r="QJC84" s="50"/>
      <c r="QJD84" s="51"/>
      <c r="QJE84" s="50"/>
      <c r="QJF84" s="23"/>
      <c r="QJG84" s="50"/>
      <c r="QJH84" s="51"/>
      <c r="QJI84" s="50"/>
      <c r="QJJ84" s="23"/>
      <c r="QJK84" s="50"/>
      <c r="QJL84" s="51"/>
      <c r="QJM84" s="50"/>
      <c r="QJN84" s="23"/>
      <c r="QJO84" s="50"/>
      <c r="QJP84" s="51"/>
      <c r="QJQ84" s="50"/>
      <c r="QJR84" s="23"/>
      <c r="QJS84" s="50"/>
      <c r="QJT84" s="51"/>
      <c r="QJU84" s="50"/>
      <c r="QJV84" s="23"/>
      <c r="QJW84" s="50"/>
      <c r="QJX84" s="51"/>
      <c r="QJY84" s="50"/>
      <c r="QJZ84" s="23"/>
      <c r="QKA84" s="50"/>
      <c r="QKB84" s="51"/>
      <c r="QKC84" s="50"/>
      <c r="QKD84" s="23"/>
      <c r="QKE84" s="50"/>
      <c r="QKF84" s="51"/>
      <c r="QKG84" s="50"/>
      <c r="QKH84" s="23"/>
      <c r="QKI84" s="50"/>
      <c r="QKJ84" s="51"/>
      <c r="QKK84" s="50"/>
      <c r="QKL84" s="23"/>
      <c r="QKM84" s="50"/>
      <c r="QKN84" s="51"/>
      <c r="QKO84" s="50"/>
      <c r="QKP84" s="23"/>
      <c r="QKQ84" s="50"/>
      <c r="QKR84" s="51"/>
      <c r="QKS84" s="50"/>
      <c r="QKT84" s="23"/>
      <c r="QKU84" s="50"/>
      <c r="QKV84" s="51"/>
      <c r="QKW84" s="50"/>
      <c r="QKX84" s="23"/>
      <c r="QKY84" s="50"/>
      <c r="QKZ84" s="51"/>
      <c r="QLA84" s="50"/>
      <c r="QLB84" s="23"/>
      <c r="QLC84" s="50"/>
      <c r="QLD84" s="51"/>
      <c r="QLE84" s="50"/>
      <c r="QLF84" s="23"/>
      <c r="QLG84" s="50"/>
      <c r="QLH84" s="51"/>
      <c r="QLI84" s="50"/>
      <c r="QLJ84" s="23"/>
      <c r="QLK84" s="50"/>
      <c r="QLL84" s="51"/>
      <c r="QLM84" s="50"/>
      <c r="QLN84" s="23"/>
      <c r="QLO84" s="50"/>
      <c r="QLP84" s="51"/>
      <c r="QLQ84" s="50"/>
      <c r="QLR84" s="23"/>
      <c r="QLS84" s="50"/>
      <c r="QLT84" s="51"/>
      <c r="QLU84" s="50"/>
      <c r="QLV84" s="23"/>
      <c r="QLW84" s="50"/>
      <c r="QLX84" s="51"/>
      <c r="QLY84" s="50"/>
      <c r="QLZ84" s="23"/>
      <c r="QMA84" s="50"/>
      <c r="QMB84" s="51"/>
      <c r="QMC84" s="50"/>
      <c r="QMD84" s="23"/>
      <c r="QME84" s="50"/>
      <c r="QMF84" s="51"/>
      <c r="QMG84" s="50"/>
      <c r="QMH84" s="23"/>
      <c r="QMI84" s="50"/>
      <c r="QMJ84" s="51"/>
      <c r="QMK84" s="50"/>
      <c r="QML84" s="23"/>
      <c r="QMM84" s="50"/>
      <c r="QMN84" s="51"/>
      <c r="QMO84" s="50"/>
      <c r="QMP84" s="23"/>
      <c r="QMQ84" s="50"/>
      <c r="QMR84" s="51"/>
      <c r="QMS84" s="50"/>
      <c r="QMT84" s="23"/>
      <c r="QMU84" s="50"/>
      <c r="QMV84" s="51"/>
      <c r="QMW84" s="50"/>
      <c r="QMX84" s="23"/>
      <c r="QMY84" s="50"/>
      <c r="QMZ84" s="51"/>
      <c r="QNA84" s="50"/>
      <c r="QNB84" s="23"/>
      <c r="QNC84" s="50"/>
      <c r="QND84" s="51"/>
      <c r="QNE84" s="50"/>
      <c r="QNF84" s="23"/>
      <c r="QNG84" s="50"/>
      <c r="QNH84" s="51"/>
      <c r="QNI84" s="50"/>
      <c r="QNJ84" s="23"/>
      <c r="QNK84" s="50"/>
      <c r="QNL84" s="51"/>
      <c r="QNM84" s="50"/>
      <c r="QNN84" s="23"/>
      <c r="QNO84" s="50"/>
      <c r="QNP84" s="51"/>
      <c r="QNQ84" s="50"/>
      <c r="QNR84" s="23"/>
      <c r="QNS84" s="50"/>
      <c r="QNT84" s="51"/>
      <c r="QNU84" s="50"/>
      <c r="QNV84" s="23"/>
      <c r="QNW84" s="50"/>
      <c r="QNX84" s="51"/>
      <c r="QNY84" s="50"/>
      <c r="QNZ84" s="23"/>
      <c r="QOA84" s="50"/>
      <c r="QOB84" s="51"/>
      <c r="QOC84" s="50"/>
      <c r="QOD84" s="23"/>
      <c r="QOE84" s="50"/>
      <c r="QOF84" s="51"/>
      <c r="QOG84" s="50"/>
      <c r="QOH84" s="23"/>
      <c r="QOI84" s="50"/>
      <c r="QOJ84" s="51"/>
      <c r="QOK84" s="50"/>
      <c r="QOL84" s="23"/>
      <c r="QOM84" s="50"/>
      <c r="QON84" s="51"/>
      <c r="QOO84" s="50"/>
      <c r="QOP84" s="23"/>
      <c r="QOQ84" s="50"/>
      <c r="QOR84" s="51"/>
      <c r="QOS84" s="50"/>
      <c r="QOT84" s="23"/>
      <c r="QOU84" s="50"/>
      <c r="QOV84" s="51"/>
      <c r="QOW84" s="50"/>
      <c r="QOX84" s="23"/>
      <c r="QOY84" s="50"/>
      <c r="QOZ84" s="51"/>
      <c r="QPA84" s="50"/>
      <c r="QPB84" s="23"/>
      <c r="QPC84" s="50"/>
      <c r="QPD84" s="51"/>
      <c r="QPE84" s="50"/>
      <c r="QPF84" s="23"/>
      <c r="QPG84" s="50"/>
      <c r="QPH84" s="51"/>
      <c r="QPI84" s="50"/>
      <c r="QPJ84" s="23"/>
      <c r="QPK84" s="50"/>
      <c r="QPL84" s="51"/>
      <c r="QPM84" s="50"/>
      <c r="QPN84" s="23"/>
      <c r="QPO84" s="50"/>
      <c r="QPP84" s="51"/>
      <c r="QPQ84" s="50"/>
      <c r="QPR84" s="23"/>
      <c r="QPS84" s="50"/>
      <c r="QPT84" s="51"/>
      <c r="QPU84" s="50"/>
      <c r="QPV84" s="23"/>
      <c r="QPW84" s="50"/>
      <c r="QPX84" s="51"/>
      <c r="QPY84" s="50"/>
      <c r="QPZ84" s="23"/>
      <c r="QQA84" s="50"/>
      <c r="QQB84" s="51"/>
      <c r="QQC84" s="50"/>
      <c r="QQD84" s="23"/>
      <c r="QQE84" s="50"/>
      <c r="QQF84" s="51"/>
      <c r="QQG84" s="50"/>
      <c r="QQH84" s="23"/>
      <c r="QQI84" s="50"/>
      <c r="QQJ84" s="51"/>
      <c r="QQK84" s="50"/>
      <c r="QQL84" s="23"/>
      <c r="QQM84" s="50"/>
      <c r="QQN84" s="51"/>
      <c r="QQO84" s="50"/>
      <c r="QQP84" s="23"/>
      <c r="QQQ84" s="50"/>
      <c r="QQR84" s="51"/>
      <c r="QQS84" s="50"/>
      <c r="QQT84" s="23"/>
      <c r="QQU84" s="50"/>
      <c r="QQV84" s="51"/>
      <c r="QQW84" s="50"/>
      <c r="QQX84" s="23"/>
      <c r="QQY84" s="50"/>
      <c r="QQZ84" s="51"/>
      <c r="QRA84" s="50"/>
      <c r="QRB84" s="23"/>
      <c r="QRC84" s="50"/>
      <c r="QRD84" s="51"/>
      <c r="QRE84" s="50"/>
      <c r="QRF84" s="23"/>
      <c r="QRG84" s="50"/>
      <c r="QRH84" s="51"/>
      <c r="QRI84" s="50"/>
      <c r="QRJ84" s="23"/>
      <c r="QRK84" s="50"/>
      <c r="QRL84" s="51"/>
      <c r="QRM84" s="50"/>
      <c r="QRN84" s="23"/>
      <c r="QRO84" s="50"/>
      <c r="QRP84" s="51"/>
      <c r="QRQ84" s="50"/>
      <c r="QRR84" s="23"/>
      <c r="QRS84" s="50"/>
      <c r="QRT84" s="51"/>
      <c r="QRU84" s="50"/>
      <c r="QRV84" s="23"/>
      <c r="QRW84" s="50"/>
      <c r="QRX84" s="51"/>
      <c r="QRY84" s="50"/>
      <c r="QRZ84" s="23"/>
      <c r="QSA84" s="50"/>
      <c r="QSB84" s="51"/>
      <c r="QSC84" s="50"/>
      <c r="QSD84" s="23"/>
      <c r="QSE84" s="50"/>
      <c r="QSF84" s="51"/>
      <c r="QSG84" s="50"/>
      <c r="QSH84" s="23"/>
      <c r="QSI84" s="50"/>
      <c r="QSJ84" s="51"/>
      <c r="QSK84" s="50"/>
      <c r="QSL84" s="23"/>
      <c r="QSM84" s="50"/>
      <c r="QSN84" s="51"/>
      <c r="QSO84" s="50"/>
      <c r="QSP84" s="23"/>
      <c r="QSQ84" s="50"/>
      <c r="QSR84" s="51"/>
      <c r="QSS84" s="50"/>
      <c r="QST84" s="23"/>
      <c r="QSU84" s="50"/>
      <c r="QSV84" s="51"/>
      <c r="QSW84" s="50"/>
      <c r="QSX84" s="23"/>
      <c r="QSY84" s="50"/>
      <c r="QSZ84" s="51"/>
      <c r="QTA84" s="50"/>
      <c r="QTB84" s="23"/>
      <c r="QTC84" s="50"/>
      <c r="QTD84" s="51"/>
      <c r="QTE84" s="50"/>
      <c r="QTF84" s="23"/>
      <c r="QTG84" s="50"/>
      <c r="QTH84" s="51"/>
      <c r="QTI84" s="50"/>
      <c r="QTJ84" s="23"/>
      <c r="QTK84" s="50"/>
      <c r="QTL84" s="51"/>
      <c r="QTM84" s="50"/>
      <c r="QTN84" s="23"/>
      <c r="QTO84" s="50"/>
      <c r="QTP84" s="51"/>
      <c r="QTQ84" s="50"/>
      <c r="QTR84" s="23"/>
      <c r="QTS84" s="50"/>
      <c r="QTT84" s="51"/>
      <c r="QTU84" s="50"/>
      <c r="QTV84" s="23"/>
      <c r="QTW84" s="50"/>
      <c r="QTX84" s="51"/>
      <c r="QTY84" s="50"/>
      <c r="QTZ84" s="23"/>
      <c r="QUA84" s="50"/>
      <c r="QUB84" s="51"/>
      <c r="QUC84" s="50"/>
      <c r="QUD84" s="23"/>
      <c r="QUE84" s="50"/>
      <c r="QUF84" s="51"/>
      <c r="QUG84" s="50"/>
      <c r="QUH84" s="23"/>
      <c r="QUI84" s="50"/>
      <c r="QUJ84" s="51"/>
      <c r="QUK84" s="50"/>
      <c r="QUL84" s="23"/>
      <c r="QUM84" s="50"/>
      <c r="QUN84" s="51"/>
      <c r="QUO84" s="50"/>
      <c r="QUP84" s="23"/>
      <c r="QUQ84" s="50"/>
      <c r="QUR84" s="51"/>
      <c r="QUS84" s="50"/>
      <c r="QUT84" s="23"/>
      <c r="QUU84" s="50"/>
      <c r="QUV84" s="51"/>
      <c r="QUW84" s="50"/>
      <c r="QUX84" s="23"/>
      <c r="QUY84" s="50"/>
      <c r="QUZ84" s="51"/>
      <c r="QVA84" s="50"/>
      <c r="QVB84" s="23"/>
      <c r="QVC84" s="50"/>
      <c r="QVD84" s="51"/>
      <c r="QVE84" s="50"/>
      <c r="QVF84" s="23"/>
      <c r="QVG84" s="50"/>
      <c r="QVH84" s="51"/>
      <c r="QVI84" s="50"/>
      <c r="QVJ84" s="23"/>
      <c r="QVK84" s="50"/>
      <c r="QVL84" s="51"/>
      <c r="QVM84" s="50"/>
      <c r="QVN84" s="23"/>
      <c r="QVO84" s="50"/>
      <c r="QVP84" s="51"/>
      <c r="QVQ84" s="50"/>
      <c r="QVR84" s="23"/>
      <c r="QVS84" s="50"/>
      <c r="QVT84" s="51"/>
      <c r="QVU84" s="50"/>
      <c r="QVV84" s="23"/>
      <c r="QVW84" s="50"/>
      <c r="QVX84" s="51"/>
      <c r="QVY84" s="50"/>
      <c r="QVZ84" s="23"/>
      <c r="QWA84" s="50"/>
      <c r="QWB84" s="51"/>
      <c r="QWC84" s="50"/>
      <c r="QWD84" s="23"/>
      <c r="QWE84" s="50"/>
      <c r="QWF84" s="51"/>
      <c r="QWG84" s="50"/>
      <c r="QWH84" s="23"/>
      <c r="QWI84" s="50"/>
      <c r="QWJ84" s="51"/>
      <c r="QWK84" s="50"/>
      <c r="QWL84" s="23"/>
      <c r="QWM84" s="50"/>
      <c r="QWN84" s="51"/>
      <c r="QWO84" s="50"/>
      <c r="QWP84" s="23"/>
      <c r="QWQ84" s="50"/>
      <c r="QWR84" s="51"/>
      <c r="QWS84" s="50"/>
      <c r="QWT84" s="23"/>
      <c r="QWU84" s="50"/>
      <c r="QWV84" s="51"/>
      <c r="QWW84" s="50"/>
      <c r="QWX84" s="23"/>
      <c r="QWY84" s="50"/>
      <c r="QWZ84" s="51"/>
      <c r="QXA84" s="50"/>
      <c r="QXB84" s="23"/>
      <c r="QXC84" s="50"/>
      <c r="QXD84" s="51"/>
      <c r="QXE84" s="50"/>
      <c r="QXF84" s="23"/>
      <c r="QXG84" s="50"/>
      <c r="QXH84" s="51"/>
      <c r="QXI84" s="50"/>
      <c r="QXJ84" s="23"/>
      <c r="QXK84" s="50"/>
      <c r="QXL84" s="51"/>
      <c r="QXM84" s="50"/>
      <c r="QXN84" s="23"/>
      <c r="QXO84" s="50"/>
      <c r="QXP84" s="51"/>
      <c r="QXQ84" s="50"/>
      <c r="QXR84" s="23"/>
      <c r="QXS84" s="50"/>
      <c r="QXT84" s="51"/>
      <c r="QXU84" s="50"/>
      <c r="QXV84" s="23"/>
      <c r="QXW84" s="50"/>
      <c r="QXX84" s="51"/>
      <c r="QXY84" s="50"/>
      <c r="QXZ84" s="23"/>
      <c r="QYA84" s="50"/>
      <c r="QYB84" s="51"/>
      <c r="QYC84" s="50"/>
      <c r="QYD84" s="23"/>
      <c r="QYE84" s="50"/>
      <c r="QYF84" s="51"/>
      <c r="QYG84" s="50"/>
      <c r="QYH84" s="23"/>
      <c r="QYI84" s="50"/>
      <c r="QYJ84" s="51"/>
      <c r="QYK84" s="50"/>
      <c r="QYL84" s="23"/>
      <c r="QYM84" s="50"/>
      <c r="QYN84" s="51"/>
      <c r="QYO84" s="50"/>
      <c r="QYP84" s="23"/>
      <c r="QYQ84" s="50"/>
      <c r="QYR84" s="51"/>
      <c r="QYS84" s="50"/>
      <c r="QYT84" s="23"/>
      <c r="QYU84" s="50"/>
      <c r="QYV84" s="51"/>
      <c r="QYW84" s="50"/>
      <c r="QYX84" s="23"/>
      <c r="QYY84" s="50"/>
      <c r="QYZ84" s="51"/>
      <c r="QZA84" s="50"/>
      <c r="QZB84" s="23"/>
      <c r="QZC84" s="50"/>
      <c r="QZD84" s="51"/>
      <c r="QZE84" s="50"/>
      <c r="QZF84" s="23"/>
      <c r="QZG84" s="50"/>
      <c r="QZH84" s="51"/>
      <c r="QZI84" s="50"/>
      <c r="QZJ84" s="23"/>
      <c r="QZK84" s="50"/>
      <c r="QZL84" s="51"/>
      <c r="QZM84" s="50"/>
      <c r="QZN84" s="23"/>
      <c r="QZO84" s="50"/>
      <c r="QZP84" s="51"/>
      <c r="QZQ84" s="50"/>
      <c r="QZR84" s="23"/>
      <c r="QZS84" s="50"/>
      <c r="QZT84" s="51"/>
      <c r="QZU84" s="50"/>
      <c r="QZV84" s="23"/>
      <c r="QZW84" s="50"/>
      <c r="QZX84" s="51"/>
      <c r="QZY84" s="50"/>
      <c r="QZZ84" s="23"/>
      <c r="RAA84" s="50"/>
      <c r="RAB84" s="51"/>
      <c r="RAC84" s="50"/>
      <c r="RAD84" s="23"/>
      <c r="RAE84" s="50"/>
      <c r="RAF84" s="51"/>
      <c r="RAG84" s="50"/>
      <c r="RAH84" s="23"/>
      <c r="RAI84" s="50"/>
      <c r="RAJ84" s="51"/>
      <c r="RAK84" s="50"/>
      <c r="RAL84" s="23"/>
      <c r="RAM84" s="50"/>
      <c r="RAN84" s="51"/>
      <c r="RAO84" s="50"/>
      <c r="RAP84" s="23"/>
      <c r="RAQ84" s="50"/>
      <c r="RAR84" s="51"/>
      <c r="RAS84" s="50"/>
      <c r="RAT84" s="23"/>
      <c r="RAU84" s="50"/>
      <c r="RAV84" s="51"/>
      <c r="RAW84" s="50"/>
      <c r="RAX84" s="23"/>
      <c r="RAY84" s="50"/>
      <c r="RAZ84" s="51"/>
      <c r="RBA84" s="50"/>
      <c r="RBB84" s="23"/>
      <c r="RBC84" s="50"/>
      <c r="RBD84" s="51"/>
      <c r="RBE84" s="50"/>
      <c r="RBF84" s="23"/>
      <c r="RBG84" s="50"/>
      <c r="RBH84" s="51"/>
      <c r="RBI84" s="50"/>
      <c r="RBJ84" s="23"/>
      <c r="RBK84" s="50"/>
      <c r="RBL84" s="51"/>
      <c r="RBM84" s="50"/>
      <c r="RBN84" s="23"/>
      <c r="RBO84" s="50"/>
      <c r="RBP84" s="51"/>
      <c r="RBQ84" s="50"/>
      <c r="RBR84" s="23"/>
      <c r="RBS84" s="50"/>
      <c r="RBT84" s="51"/>
      <c r="RBU84" s="50"/>
      <c r="RBV84" s="23"/>
      <c r="RBW84" s="50"/>
      <c r="RBX84" s="51"/>
      <c r="RBY84" s="50"/>
      <c r="RBZ84" s="23"/>
      <c r="RCA84" s="50"/>
      <c r="RCB84" s="51"/>
      <c r="RCC84" s="50"/>
      <c r="RCD84" s="23"/>
      <c r="RCE84" s="50"/>
      <c r="RCF84" s="51"/>
      <c r="RCG84" s="50"/>
      <c r="RCH84" s="23"/>
      <c r="RCI84" s="50"/>
      <c r="RCJ84" s="51"/>
      <c r="RCK84" s="50"/>
      <c r="RCL84" s="23"/>
      <c r="RCM84" s="50"/>
      <c r="RCN84" s="51"/>
      <c r="RCO84" s="50"/>
      <c r="RCP84" s="23"/>
      <c r="RCQ84" s="50"/>
      <c r="RCR84" s="51"/>
      <c r="RCS84" s="50"/>
      <c r="RCT84" s="23"/>
      <c r="RCU84" s="50"/>
      <c r="RCV84" s="51"/>
      <c r="RCW84" s="50"/>
      <c r="RCX84" s="23"/>
      <c r="RCY84" s="50"/>
      <c r="RCZ84" s="51"/>
      <c r="RDA84" s="50"/>
      <c r="RDB84" s="23"/>
      <c r="RDC84" s="50"/>
      <c r="RDD84" s="51"/>
      <c r="RDE84" s="50"/>
      <c r="RDF84" s="23"/>
      <c r="RDG84" s="50"/>
      <c r="RDH84" s="51"/>
      <c r="RDI84" s="50"/>
      <c r="RDJ84" s="23"/>
      <c r="RDK84" s="50"/>
      <c r="RDL84" s="51"/>
      <c r="RDM84" s="50"/>
      <c r="RDN84" s="23"/>
      <c r="RDO84" s="50"/>
      <c r="RDP84" s="51"/>
      <c r="RDQ84" s="50"/>
      <c r="RDR84" s="23"/>
      <c r="RDS84" s="50"/>
      <c r="RDT84" s="51"/>
      <c r="RDU84" s="50"/>
      <c r="RDV84" s="23"/>
      <c r="RDW84" s="50"/>
      <c r="RDX84" s="51"/>
      <c r="RDY84" s="50"/>
      <c r="RDZ84" s="23"/>
      <c r="REA84" s="50"/>
      <c r="REB84" s="51"/>
      <c r="REC84" s="50"/>
      <c r="RED84" s="23"/>
      <c r="REE84" s="50"/>
      <c r="REF84" s="51"/>
      <c r="REG84" s="50"/>
      <c r="REH84" s="23"/>
      <c r="REI84" s="50"/>
      <c r="REJ84" s="51"/>
      <c r="REK84" s="50"/>
      <c r="REL84" s="23"/>
      <c r="REM84" s="50"/>
      <c r="REN84" s="51"/>
      <c r="REO84" s="50"/>
      <c r="REP84" s="23"/>
      <c r="REQ84" s="50"/>
      <c r="RER84" s="51"/>
      <c r="RES84" s="50"/>
      <c r="RET84" s="23"/>
      <c r="REU84" s="50"/>
      <c r="REV84" s="51"/>
      <c r="REW84" s="50"/>
      <c r="REX84" s="23"/>
      <c r="REY84" s="50"/>
      <c r="REZ84" s="51"/>
      <c r="RFA84" s="50"/>
      <c r="RFB84" s="23"/>
      <c r="RFC84" s="50"/>
      <c r="RFD84" s="51"/>
      <c r="RFE84" s="50"/>
      <c r="RFF84" s="23"/>
      <c r="RFG84" s="50"/>
      <c r="RFH84" s="51"/>
      <c r="RFI84" s="50"/>
      <c r="RFJ84" s="23"/>
      <c r="RFK84" s="50"/>
      <c r="RFL84" s="51"/>
      <c r="RFM84" s="50"/>
      <c r="RFN84" s="23"/>
      <c r="RFO84" s="50"/>
      <c r="RFP84" s="51"/>
      <c r="RFQ84" s="50"/>
      <c r="RFR84" s="23"/>
      <c r="RFS84" s="50"/>
      <c r="RFT84" s="51"/>
      <c r="RFU84" s="50"/>
      <c r="RFV84" s="23"/>
      <c r="RFW84" s="50"/>
      <c r="RFX84" s="51"/>
      <c r="RFY84" s="50"/>
      <c r="RFZ84" s="23"/>
      <c r="RGA84" s="50"/>
      <c r="RGB84" s="51"/>
      <c r="RGC84" s="50"/>
      <c r="RGD84" s="23"/>
      <c r="RGE84" s="50"/>
      <c r="RGF84" s="51"/>
      <c r="RGG84" s="50"/>
      <c r="RGH84" s="23"/>
      <c r="RGI84" s="50"/>
      <c r="RGJ84" s="51"/>
      <c r="RGK84" s="50"/>
      <c r="RGL84" s="23"/>
      <c r="RGM84" s="50"/>
      <c r="RGN84" s="51"/>
      <c r="RGO84" s="50"/>
      <c r="RGP84" s="23"/>
      <c r="RGQ84" s="50"/>
      <c r="RGR84" s="51"/>
      <c r="RGS84" s="50"/>
      <c r="RGT84" s="23"/>
      <c r="RGU84" s="50"/>
      <c r="RGV84" s="51"/>
      <c r="RGW84" s="50"/>
      <c r="RGX84" s="23"/>
      <c r="RGY84" s="50"/>
      <c r="RGZ84" s="51"/>
      <c r="RHA84" s="50"/>
      <c r="RHB84" s="23"/>
      <c r="RHC84" s="50"/>
      <c r="RHD84" s="51"/>
      <c r="RHE84" s="50"/>
      <c r="RHF84" s="23"/>
      <c r="RHG84" s="50"/>
      <c r="RHH84" s="51"/>
      <c r="RHI84" s="50"/>
      <c r="RHJ84" s="23"/>
      <c r="RHK84" s="50"/>
      <c r="RHL84" s="51"/>
      <c r="RHM84" s="50"/>
      <c r="RHN84" s="23"/>
      <c r="RHO84" s="50"/>
      <c r="RHP84" s="51"/>
      <c r="RHQ84" s="50"/>
      <c r="RHR84" s="23"/>
      <c r="RHS84" s="50"/>
      <c r="RHT84" s="51"/>
      <c r="RHU84" s="50"/>
      <c r="RHV84" s="23"/>
      <c r="RHW84" s="50"/>
      <c r="RHX84" s="51"/>
      <c r="RHY84" s="50"/>
      <c r="RHZ84" s="23"/>
      <c r="RIA84" s="50"/>
      <c r="RIB84" s="51"/>
      <c r="RIC84" s="50"/>
      <c r="RID84" s="23"/>
      <c r="RIE84" s="50"/>
      <c r="RIF84" s="51"/>
      <c r="RIG84" s="50"/>
      <c r="RIH84" s="23"/>
      <c r="RII84" s="50"/>
      <c r="RIJ84" s="51"/>
      <c r="RIK84" s="50"/>
      <c r="RIL84" s="23"/>
      <c r="RIM84" s="50"/>
      <c r="RIN84" s="51"/>
      <c r="RIO84" s="50"/>
      <c r="RIP84" s="23"/>
      <c r="RIQ84" s="50"/>
      <c r="RIR84" s="51"/>
      <c r="RIS84" s="50"/>
      <c r="RIT84" s="23"/>
      <c r="RIU84" s="50"/>
      <c r="RIV84" s="51"/>
      <c r="RIW84" s="50"/>
      <c r="RIX84" s="23"/>
      <c r="RIY84" s="50"/>
      <c r="RIZ84" s="51"/>
      <c r="RJA84" s="50"/>
      <c r="RJB84" s="23"/>
      <c r="RJC84" s="50"/>
      <c r="RJD84" s="51"/>
      <c r="RJE84" s="50"/>
      <c r="RJF84" s="23"/>
      <c r="RJG84" s="50"/>
      <c r="RJH84" s="51"/>
      <c r="RJI84" s="50"/>
      <c r="RJJ84" s="23"/>
      <c r="RJK84" s="50"/>
      <c r="RJL84" s="51"/>
      <c r="RJM84" s="50"/>
      <c r="RJN84" s="23"/>
      <c r="RJO84" s="50"/>
      <c r="RJP84" s="51"/>
      <c r="RJQ84" s="50"/>
      <c r="RJR84" s="23"/>
      <c r="RJS84" s="50"/>
      <c r="RJT84" s="51"/>
      <c r="RJU84" s="50"/>
      <c r="RJV84" s="23"/>
      <c r="RJW84" s="50"/>
      <c r="RJX84" s="51"/>
      <c r="RJY84" s="50"/>
      <c r="RJZ84" s="23"/>
      <c r="RKA84" s="50"/>
      <c r="RKB84" s="51"/>
      <c r="RKC84" s="50"/>
      <c r="RKD84" s="23"/>
      <c r="RKE84" s="50"/>
      <c r="RKF84" s="51"/>
      <c r="RKG84" s="50"/>
      <c r="RKH84" s="23"/>
      <c r="RKI84" s="50"/>
      <c r="RKJ84" s="51"/>
      <c r="RKK84" s="50"/>
      <c r="RKL84" s="23"/>
      <c r="RKM84" s="50"/>
      <c r="RKN84" s="51"/>
      <c r="RKO84" s="50"/>
      <c r="RKP84" s="23"/>
      <c r="RKQ84" s="50"/>
      <c r="RKR84" s="51"/>
      <c r="RKS84" s="50"/>
      <c r="RKT84" s="23"/>
      <c r="RKU84" s="50"/>
      <c r="RKV84" s="51"/>
      <c r="RKW84" s="50"/>
      <c r="RKX84" s="23"/>
      <c r="RKY84" s="50"/>
      <c r="RKZ84" s="51"/>
      <c r="RLA84" s="50"/>
      <c r="RLB84" s="23"/>
      <c r="RLC84" s="50"/>
      <c r="RLD84" s="51"/>
      <c r="RLE84" s="50"/>
      <c r="RLF84" s="23"/>
      <c r="RLG84" s="50"/>
      <c r="RLH84" s="51"/>
      <c r="RLI84" s="50"/>
      <c r="RLJ84" s="23"/>
      <c r="RLK84" s="50"/>
      <c r="RLL84" s="51"/>
      <c r="RLM84" s="50"/>
      <c r="RLN84" s="23"/>
      <c r="RLO84" s="50"/>
      <c r="RLP84" s="51"/>
      <c r="RLQ84" s="50"/>
      <c r="RLR84" s="23"/>
      <c r="RLS84" s="50"/>
      <c r="RLT84" s="51"/>
      <c r="RLU84" s="50"/>
      <c r="RLV84" s="23"/>
      <c r="RLW84" s="50"/>
      <c r="RLX84" s="51"/>
      <c r="RLY84" s="50"/>
      <c r="RLZ84" s="23"/>
      <c r="RMA84" s="50"/>
      <c r="RMB84" s="51"/>
      <c r="RMC84" s="50"/>
      <c r="RMD84" s="23"/>
      <c r="RME84" s="50"/>
      <c r="RMF84" s="51"/>
      <c r="RMG84" s="50"/>
      <c r="RMH84" s="23"/>
      <c r="RMI84" s="50"/>
      <c r="RMJ84" s="51"/>
      <c r="RMK84" s="50"/>
      <c r="RML84" s="23"/>
      <c r="RMM84" s="50"/>
      <c r="RMN84" s="51"/>
      <c r="RMO84" s="50"/>
      <c r="RMP84" s="23"/>
      <c r="RMQ84" s="50"/>
      <c r="RMR84" s="51"/>
      <c r="RMS84" s="50"/>
      <c r="RMT84" s="23"/>
      <c r="RMU84" s="50"/>
      <c r="RMV84" s="51"/>
      <c r="RMW84" s="50"/>
      <c r="RMX84" s="23"/>
      <c r="RMY84" s="50"/>
      <c r="RMZ84" s="51"/>
      <c r="RNA84" s="50"/>
      <c r="RNB84" s="23"/>
      <c r="RNC84" s="50"/>
      <c r="RND84" s="51"/>
      <c r="RNE84" s="50"/>
      <c r="RNF84" s="23"/>
      <c r="RNG84" s="50"/>
      <c r="RNH84" s="51"/>
      <c r="RNI84" s="50"/>
      <c r="RNJ84" s="23"/>
      <c r="RNK84" s="50"/>
      <c r="RNL84" s="51"/>
      <c r="RNM84" s="50"/>
      <c r="RNN84" s="23"/>
      <c r="RNO84" s="50"/>
      <c r="RNP84" s="51"/>
      <c r="RNQ84" s="50"/>
      <c r="RNR84" s="23"/>
      <c r="RNS84" s="50"/>
      <c r="RNT84" s="51"/>
      <c r="RNU84" s="50"/>
      <c r="RNV84" s="23"/>
      <c r="RNW84" s="50"/>
      <c r="RNX84" s="51"/>
      <c r="RNY84" s="50"/>
      <c r="RNZ84" s="23"/>
      <c r="ROA84" s="50"/>
      <c r="ROB84" s="51"/>
      <c r="ROC84" s="50"/>
      <c r="ROD84" s="23"/>
      <c r="ROE84" s="50"/>
      <c r="ROF84" s="51"/>
      <c r="ROG84" s="50"/>
      <c r="ROH84" s="23"/>
      <c r="ROI84" s="50"/>
      <c r="ROJ84" s="51"/>
      <c r="ROK84" s="50"/>
      <c r="ROL84" s="23"/>
      <c r="ROM84" s="50"/>
      <c r="RON84" s="51"/>
      <c r="ROO84" s="50"/>
      <c r="ROP84" s="23"/>
      <c r="ROQ84" s="50"/>
      <c r="ROR84" s="51"/>
      <c r="ROS84" s="50"/>
      <c r="ROT84" s="23"/>
      <c r="ROU84" s="50"/>
      <c r="ROV84" s="51"/>
      <c r="ROW84" s="50"/>
      <c r="ROX84" s="23"/>
      <c r="ROY84" s="50"/>
      <c r="ROZ84" s="51"/>
      <c r="RPA84" s="50"/>
      <c r="RPB84" s="23"/>
      <c r="RPC84" s="50"/>
      <c r="RPD84" s="51"/>
      <c r="RPE84" s="50"/>
      <c r="RPF84" s="23"/>
      <c r="RPG84" s="50"/>
      <c r="RPH84" s="51"/>
      <c r="RPI84" s="50"/>
      <c r="RPJ84" s="23"/>
      <c r="RPK84" s="50"/>
      <c r="RPL84" s="51"/>
      <c r="RPM84" s="50"/>
      <c r="RPN84" s="23"/>
      <c r="RPO84" s="50"/>
      <c r="RPP84" s="51"/>
      <c r="RPQ84" s="50"/>
      <c r="RPR84" s="23"/>
      <c r="RPS84" s="50"/>
      <c r="RPT84" s="51"/>
      <c r="RPU84" s="50"/>
      <c r="RPV84" s="23"/>
      <c r="RPW84" s="50"/>
      <c r="RPX84" s="51"/>
      <c r="RPY84" s="50"/>
      <c r="RPZ84" s="23"/>
      <c r="RQA84" s="50"/>
      <c r="RQB84" s="51"/>
      <c r="RQC84" s="50"/>
      <c r="RQD84" s="23"/>
      <c r="RQE84" s="50"/>
      <c r="RQF84" s="51"/>
      <c r="RQG84" s="50"/>
      <c r="RQH84" s="23"/>
      <c r="RQI84" s="50"/>
      <c r="RQJ84" s="51"/>
      <c r="RQK84" s="50"/>
      <c r="RQL84" s="23"/>
      <c r="RQM84" s="50"/>
      <c r="RQN84" s="51"/>
      <c r="RQO84" s="50"/>
      <c r="RQP84" s="23"/>
      <c r="RQQ84" s="50"/>
      <c r="RQR84" s="51"/>
      <c r="RQS84" s="50"/>
      <c r="RQT84" s="23"/>
      <c r="RQU84" s="50"/>
      <c r="RQV84" s="51"/>
      <c r="RQW84" s="50"/>
      <c r="RQX84" s="23"/>
      <c r="RQY84" s="50"/>
      <c r="RQZ84" s="51"/>
      <c r="RRA84" s="50"/>
      <c r="RRB84" s="23"/>
      <c r="RRC84" s="50"/>
      <c r="RRD84" s="51"/>
      <c r="RRE84" s="50"/>
      <c r="RRF84" s="23"/>
      <c r="RRG84" s="50"/>
      <c r="RRH84" s="51"/>
      <c r="RRI84" s="50"/>
      <c r="RRJ84" s="23"/>
      <c r="RRK84" s="50"/>
      <c r="RRL84" s="51"/>
      <c r="RRM84" s="50"/>
      <c r="RRN84" s="23"/>
      <c r="RRO84" s="50"/>
      <c r="RRP84" s="51"/>
      <c r="RRQ84" s="50"/>
      <c r="RRR84" s="23"/>
      <c r="RRS84" s="50"/>
      <c r="RRT84" s="51"/>
      <c r="RRU84" s="50"/>
      <c r="RRV84" s="23"/>
      <c r="RRW84" s="50"/>
      <c r="RRX84" s="51"/>
      <c r="RRY84" s="50"/>
      <c r="RRZ84" s="23"/>
      <c r="RSA84" s="50"/>
      <c r="RSB84" s="51"/>
      <c r="RSC84" s="50"/>
      <c r="RSD84" s="23"/>
      <c r="RSE84" s="50"/>
      <c r="RSF84" s="51"/>
      <c r="RSG84" s="50"/>
      <c r="RSH84" s="23"/>
      <c r="RSI84" s="50"/>
      <c r="RSJ84" s="51"/>
      <c r="RSK84" s="50"/>
      <c r="RSL84" s="23"/>
      <c r="RSM84" s="50"/>
      <c r="RSN84" s="51"/>
      <c r="RSO84" s="50"/>
      <c r="RSP84" s="23"/>
      <c r="RSQ84" s="50"/>
      <c r="RSR84" s="51"/>
      <c r="RSS84" s="50"/>
      <c r="RST84" s="23"/>
      <c r="RSU84" s="50"/>
      <c r="RSV84" s="51"/>
      <c r="RSW84" s="50"/>
      <c r="RSX84" s="23"/>
      <c r="RSY84" s="50"/>
      <c r="RSZ84" s="51"/>
      <c r="RTA84" s="50"/>
      <c r="RTB84" s="23"/>
      <c r="RTC84" s="50"/>
      <c r="RTD84" s="51"/>
      <c r="RTE84" s="50"/>
      <c r="RTF84" s="23"/>
      <c r="RTG84" s="50"/>
      <c r="RTH84" s="51"/>
      <c r="RTI84" s="50"/>
      <c r="RTJ84" s="23"/>
      <c r="RTK84" s="50"/>
      <c r="RTL84" s="51"/>
      <c r="RTM84" s="50"/>
      <c r="RTN84" s="23"/>
      <c r="RTO84" s="50"/>
      <c r="RTP84" s="51"/>
      <c r="RTQ84" s="50"/>
      <c r="RTR84" s="23"/>
      <c r="RTS84" s="50"/>
      <c r="RTT84" s="51"/>
      <c r="RTU84" s="50"/>
      <c r="RTV84" s="23"/>
      <c r="RTW84" s="50"/>
      <c r="RTX84" s="51"/>
      <c r="RTY84" s="50"/>
      <c r="RTZ84" s="23"/>
      <c r="RUA84" s="50"/>
      <c r="RUB84" s="51"/>
      <c r="RUC84" s="50"/>
      <c r="RUD84" s="23"/>
      <c r="RUE84" s="50"/>
      <c r="RUF84" s="51"/>
      <c r="RUG84" s="50"/>
      <c r="RUH84" s="23"/>
      <c r="RUI84" s="50"/>
      <c r="RUJ84" s="51"/>
      <c r="RUK84" s="50"/>
      <c r="RUL84" s="23"/>
      <c r="RUM84" s="50"/>
      <c r="RUN84" s="51"/>
      <c r="RUO84" s="50"/>
      <c r="RUP84" s="23"/>
      <c r="RUQ84" s="50"/>
      <c r="RUR84" s="51"/>
      <c r="RUS84" s="50"/>
      <c r="RUT84" s="23"/>
      <c r="RUU84" s="50"/>
      <c r="RUV84" s="51"/>
      <c r="RUW84" s="50"/>
      <c r="RUX84" s="23"/>
      <c r="RUY84" s="50"/>
      <c r="RUZ84" s="51"/>
      <c r="RVA84" s="50"/>
      <c r="RVB84" s="23"/>
      <c r="RVC84" s="50"/>
      <c r="RVD84" s="51"/>
      <c r="RVE84" s="50"/>
      <c r="RVF84" s="23"/>
      <c r="RVG84" s="50"/>
      <c r="RVH84" s="51"/>
      <c r="RVI84" s="50"/>
      <c r="RVJ84" s="23"/>
      <c r="RVK84" s="50"/>
      <c r="RVL84" s="51"/>
      <c r="RVM84" s="50"/>
      <c r="RVN84" s="23"/>
      <c r="RVO84" s="50"/>
      <c r="RVP84" s="51"/>
      <c r="RVQ84" s="50"/>
      <c r="RVR84" s="23"/>
      <c r="RVS84" s="50"/>
      <c r="RVT84" s="51"/>
      <c r="RVU84" s="50"/>
      <c r="RVV84" s="23"/>
      <c r="RVW84" s="50"/>
      <c r="RVX84" s="51"/>
      <c r="RVY84" s="50"/>
      <c r="RVZ84" s="23"/>
      <c r="RWA84" s="50"/>
      <c r="RWB84" s="51"/>
      <c r="RWC84" s="50"/>
      <c r="RWD84" s="23"/>
      <c r="RWE84" s="50"/>
      <c r="RWF84" s="51"/>
      <c r="RWG84" s="50"/>
      <c r="RWH84" s="23"/>
      <c r="RWI84" s="50"/>
      <c r="RWJ84" s="51"/>
      <c r="RWK84" s="50"/>
      <c r="RWL84" s="23"/>
      <c r="RWM84" s="50"/>
      <c r="RWN84" s="51"/>
      <c r="RWO84" s="50"/>
      <c r="RWP84" s="23"/>
      <c r="RWQ84" s="50"/>
      <c r="RWR84" s="51"/>
      <c r="RWS84" s="50"/>
      <c r="RWT84" s="23"/>
      <c r="RWU84" s="50"/>
      <c r="RWV84" s="51"/>
      <c r="RWW84" s="50"/>
      <c r="RWX84" s="23"/>
      <c r="RWY84" s="50"/>
      <c r="RWZ84" s="51"/>
      <c r="RXA84" s="50"/>
      <c r="RXB84" s="23"/>
      <c r="RXC84" s="50"/>
      <c r="RXD84" s="51"/>
      <c r="RXE84" s="50"/>
      <c r="RXF84" s="23"/>
      <c r="RXG84" s="50"/>
      <c r="RXH84" s="51"/>
      <c r="RXI84" s="50"/>
      <c r="RXJ84" s="23"/>
      <c r="RXK84" s="50"/>
      <c r="RXL84" s="51"/>
      <c r="RXM84" s="50"/>
      <c r="RXN84" s="23"/>
      <c r="RXO84" s="50"/>
      <c r="RXP84" s="51"/>
      <c r="RXQ84" s="50"/>
      <c r="RXR84" s="23"/>
      <c r="RXS84" s="50"/>
      <c r="RXT84" s="51"/>
      <c r="RXU84" s="50"/>
      <c r="RXV84" s="23"/>
      <c r="RXW84" s="50"/>
      <c r="RXX84" s="51"/>
      <c r="RXY84" s="50"/>
      <c r="RXZ84" s="23"/>
      <c r="RYA84" s="50"/>
      <c r="RYB84" s="51"/>
      <c r="RYC84" s="50"/>
      <c r="RYD84" s="23"/>
      <c r="RYE84" s="50"/>
      <c r="RYF84" s="51"/>
      <c r="RYG84" s="50"/>
      <c r="RYH84" s="23"/>
      <c r="RYI84" s="50"/>
      <c r="RYJ84" s="51"/>
      <c r="RYK84" s="50"/>
      <c r="RYL84" s="23"/>
      <c r="RYM84" s="50"/>
      <c r="RYN84" s="51"/>
      <c r="RYO84" s="50"/>
      <c r="RYP84" s="23"/>
      <c r="RYQ84" s="50"/>
      <c r="RYR84" s="51"/>
      <c r="RYS84" s="50"/>
      <c r="RYT84" s="23"/>
      <c r="RYU84" s="50"/>
      <c r="RYV84" s="51"/>
      <c r="RYW84" s="50"/>
      <c r="RYX84" s="23"/>
      <c r="RYY84" s="50"/>
      <c r="RYZ84" s="51"/>
      <c r="RZA84" s="50"/>
      <c r="RZB84" s="23"/>
      <c r="RZC84" s="50"/>
      <c r="RZD84" s="51"/>
      <c r="RZE84" s="50"/>
      <c r="RZF84" s="23"/>
      <c r="RZG84" s="50"/>
      <c r="RZH84" s="51"/>
      <c r="RZI84" s="50"/>
      <c r="RZJ84" s="23"/>
      <c r="RZK84" s="50"/>
      <c r="RZL84" s="51"/>
      <c r="RZM84" s="50"/>
      <c r="RZN84" s="23"/>
      <c r="RZO84" s="50"/>
      <c r="RZP84" s="51"/>
      <c r="RZQ84" s="50"/>
      <c r="RZR84" s="23"/>
      <c r="RZS84" s="50"/>
      <c r="RZT84" s="51"/>
      <c r="RZU84" s="50"/>
      <c r="RZV84" s="23"/>
      <c r="RZW84" s="50"/>
      <c r="RZX84" s="51"/>
      <c r="RZY84" s="50"/>
      <c r="RZZ84" s="23"/>
      <c r="SAA84" s="50"/>
      <c r="SAB84" s="51"/>
      <c r="SAC84" s="50"/>
      <c r="SAD84" s="23"/>
      <c r="SAE84" s="50"/>
      <c r="SAF84" s="51"/>
      <c r="SAG84" s="50"/>
      <c r="SAH84" s="23"/>
      <c r="SAI84" s="50"/>
      <c r="SAJ84" s="51"/>
      <c r="SAK84" s="50"/>
      <c r="SAL84" s="23"/>
      <c r="SAM84" s="50"/>
      <c r="SAN84" s="51"/>
      <c r="SAO84" s="50"/>
      <c r="SAP84" s="23"/>
      <c r="SAQ84" s="50"/>
      <c r="SAR84" s="51"/>
      <c r="SAS84" s="50"/>
      <c r="SAT84" s="23"/>
      <c r="SAU84" s="50"/>
      <c r="SAV84" s="51"/>
      <c r="SAW84" s="50"/>
      <c r="SAX84" s="23"/>
      <c r="SAY84" s="50"/>
      <c r="SAZ84" s="51"/>
      <c r="SBA84" s="50"/>
      <c r="SBB84" s="23"/>
      <c r="SBC84" s="50"/>
      <c r="SBD84" s="51"/>
      <c r="SBE84" s="50"/>
      <c r="SBF84" s="23"/>
      <c r="SBG84" s="50"/>
      <c r="SBH84" s="51"/>
      <c r="SBI84" s="50"/>
      <c r="SBJ84" s="23"/>
      <c r="SBK84" s="50"/>
      <c r="SBL84" s="51"/>
      <c r="SBM84" s="50"/>
      <c r="SBN84" s="23"/>
      <c r="SBO84" s="50"/>
      <c r="SBP84" s="51"/>
      <c r="SBQ84" s="50"/>
      <c r="SBR84" s="23"/>
      <c r="SBS84" s="50"/>
      <c r="SBT84" s="51"/>
      <c r="SBU84" s="50"/>
      <c r="SBV84" s="23"/>
      <c r="SBW84" s="50"/>
      <c r="SBX84" s="51"/>
      <c r="SBY84" s="50"/>
      <c r="SBZ84" s="23"/>
      <c r="SCA84" s="50"/>
      <c r="SCB84" s="51"/>
      <c r="SCC84" s="50"/>
      <c r="SCD84" s="23"/>
      <c r="SCE84" s="50"/>
      <c r="SCF84" s="51"/>
      <c r="SCG84" s="50"/>
      <c r="SCH84" s="23"/>
      <c r="SCI84" s="50"/>
      <c r="SCJ84" s="51"/>
      <c r="SCK84" s="50"/>
      <c r="SCL84" s="23"/>
      <c r="SCM84" s="50"/>
      <c r="SCN84" s="51"/>
      <c r="SCO84" s="50"/>
      <c r="SCP84" s="23"/>
      <c r="SCQ84" s="50"/>
      <c r="SCR84" s="51"/>
      <c r="SCS84" s="50"/>
      <c r="SCT84" s="23"/>
      <c r="SCU84" s="50"/>
      <c r="SCV84" s="51"/>
      <c r="SCW84" s="50"/>
      <c r="SCX84" s="23"/>
      <c r="SCY84" s="50"/>
      <c r="SCZ84" s="51"/>
      <c r="SDA84" s="50"/>
      <c r="SDB84" s="23"/>
      <c r="SDC84" s="50"/>
      <c r="SDD84" s="51"/>
      <c r="SDE84" s="50"/>
      <c r="SDF84" s="23"/>
      <c r="SDG84" s="50"/>
      <c r="SDH84" s="51"/>
      <c r="SDI84" s="50"/>
      <c r="SDJ84" s="23"/>
      <c r="SDK84" s="50"/>
      <c r="SDL84" s="51"/>
      <c r="SDM84" s="50"/>
      <c r="SDN84" s="23"/>
      <c r="SDO84" s="50"/>
      <c r="SDP84" s="51"/>
      <c r="SDQ84" s="50"/>
      <c r="SDR84" s="23"/>
      <c r="SDS84" s="50"/>
      <c r="SDT84" s="51"/>
      <c r="SDU84" s="50"/>
      <c r="SDV84" s="23"/>
      <c r="SDW84" s="50"/>
      <c r="SDX84" s="51"/>
      <c r="SDY84" s="50"/>
      <c r="SDZ84" s="23"/>
      <c r="SEA84" s="50"/>
      <c r="SEB84" s="51"/>
      <c r="SEC84" s="50"/>
      <c r="SED84" s="23"/>
      <c r="SEE84" s="50"/>
      <c r="SEF84" s="51"/>
      <c r="SEG84" s="50"/>
      <c r="SEH84" s="23"/>
      <c r="SEI84" s="50"/>
      <c r="SEJ84" s="51"/>
      <c r="SEK84" s="50"/>
      <c r="SEL84" s="23"/>
      <c r="SEM84" s="50"/>
      <c r="SEN84" s="51"/>
      <c r="SEO84" s="50"/>
      <c r="SEP84" s="23"/>
      <c r="SEQ84" s="50"/>
      <c r="SER84" s="51"/>
      <c r="SES84" s="50"/>
      <c r="SET84" s="23"/>
      <c r="SEU84" s="50"/>
      <c r="SEV84" s="51"/>
      <c r="SEW84" s="50"/>
      <c r="SEX84" s="23"/>
      <c r="SEY84" s="50"/>
      <c r="SEZ84" s="51"/>
      <c r="SFA84" s="50"/>
      <c r="SFB84" s="23"/>
      <c r="SFC84" s="50"/>
      <c r="SFD84" s="51"/>
      <c r="SFE84" s="50"/>
      <c r="SFF84" s="23"/>
      <c r="SFG84" s="50"/>
      <c r="SFH84" s="51"/>
      <c r="SFI84" s="50"/>
      <c r="SFJ84" s="23"/>
      <c r="SFK84" s="50"/>
      <c r="SFL84" s="51"/>
      <c r="SFM84" s="50"/>
      <c r="SFN84" s="23"/>
      <c r="SFO84" s="50"/>
      <c r="SFP84" s="51"/>
      <c r="SFQ84" s="50"/>
      <c r="SFR84" s="23"/>
      <c r="SFS84" s="50"/>
      <c r="SFT84" s="51"/>
      <c r="SFU84" s="50"/>
      <c r="SFV84" s="23"/>
      <c r="SFW84" s="50"/>
      <c r="SFX84" s="51"/>
      <c r="SFY84" s="50"/>
      <c r="SFZ84" s="23"/>
      <c r="SGA84" s="50"/>
      <c r="SGB84" s="51"/>
      <c r="SGC84" s="50"/>
      <c r="SGD84" s="23"/>
      <c r="SGE84" s="50"/>
      <c r="SGF84" s="51"/>
      <c r="SGG84" s="50"/>
      <c r="SGH84" s="23"/>
      <c r="SGI84" s="50"/>
      <c r="SGJ84" s="51"/>
      <c r="SGK84" s="50"/>
      <c r="SGL84" s="23"/>
      <c r="SGM84" s="50"/>
      <c r="SGN84" s="51"/>
      <c r="SGO84" s="50"/>
      <c r="SGP84" s="23"/>
      <c r="SGQ84" s="50"/>
      <c r="SGR84" s="51"/>
      <c r="SGS84" s="50"/>
      <c r="SGT84" s="23"/>
      <c r="SGU84" s="50"/>
      <c r="SGV84" s="51"/>
      <c r="SGW84" s="50"/>
      <c r="SGX84" s="23"/>
      <c r="SGY84" s="50"/>
      <c r="SGZ84" s="51"/>
      <c r="SHA84" s="50"/>
      <c r="SHB84" s="23"/>
      <c r="SHC84" s="50"/>
      <c r="SHD84" s="51"/>
      <c r="SHE84" s="50"/>
      <c r="SHF84" s="23"/>
      <c r="SHG84" s="50"/>
      <c r="SHH84" s="51"/>
      <c r="SHI84" s="50"/>
      <c r="SHJ84" s="23"/>
      <c r="SHK84" s="50"/>
      <c r="SHL84" s="51"/>
      <c r="SHM84" s="50"/>
      <c r="SHN84" s="23"/>
      <c r="SHO84" s="50"/>
      <c r="SHP84" s="51"/>
      <c r="SHQ84" s="50"/>
      <c r="SHR84" s="23"/>
      <c r="SHS84" s="50"/>
      <c r="SHT84" s="51"/>
      <c r="SHU84" s="50"/>
      <c r="SHV84" s="23"/>
      <c r="SHW84" s="50"/>
      <c r="SHX84" s="51"/>
      <c r="SHY84" s="50"/>
      <c r="SHZ84" s="23"/>
      <c r="SIA84" s="50"/>
      <c r="SIB84" s="51"/>
      <c r="SIC84" s="50"/>
      <c r="SID84" s="23"/>
      <c r="SIE84" s="50"/>
      <c r="SIF84" s="51"/>
      <c r="SIG84" s="50"/>
      <c r="SIH84" s="23"/>
      <c r="SII84" s="50"/>
      <c r="SIJ84" s="51"/>
      <c r="SIK84" s="50"/>
      <c r="SIL84" s="23"/>
      <c r="SIM84" s="50"/>
      <c r="SIN84" s="51"/>
      <c r="SIO84" s="50"/>
      <c r="SIP84" s="23"/>
      <c r="SIQ84" s="50"/>
      <c r="SIR84" s="51"/>
      <c r="SIS84" s="50"/>
      <c r="SIT84" s="23"/>
      <c r="SIU84" s="50"/>
      <c r="SIV84" s="51"/>
      <c r="SIW84" s="50"/>
      <c r="SIX84" s="23"/>
      <c r="SIY84" s="50"/>
      <c r="SIZ84" s="51"/>
      <c r="SJA84" s="50"/>
      <c r="SJB84" s="23"/>
      <c r="SJC84" s="50"/>
      <c r="SJD84" s="51"/>
      <c r="SJE84" s="50"/>
      <c r="SJF84" s="23"/>
      <c r="SJG84" s="50"/>
      <c r="SJH84" s="51"/>
      <c r="SJI84" s="50"/>
      <c r="SJJ84" s="23"/>
      <c r="SJK84" s="50"/>
      <c r="SJL84" s="51"/>
      <c r="SJM84" s="50"/>
      <c r="SJN84" s="23"/>
      <c r="SJO84" s="50"/>
      <c r="SJP84" s="51"/>
      <c r="SJQ84" s="50"/>
      <c r="SJR84" s="23"/>
      <c r="SJS84" s="50"/>
      <c r="SJT84" s="51"/>
      <c r="SJU84" s="50"/>
      <c r="SJV84" s="23"/>
      <c r="SJW84" s="50"/>
      <c r="SJX84" s="51"/>
      <c r="SJY84" s="50"/>
      <c r="SJZ84" s="23"/>
      <c r="SKA84" s="50"/>
      <c r="SKB84" s="51"/>
      <c r="SKC84" s="50"/>
      <c r="SKD84" s="23"/>
      <c r="SKE84" s="50"/>
      <c r="SKF84" s="51"/>
      <c r="SKG84" s="50"/>
      <c r="SKH84" s="23"/>
      <c r="SKI84" s="50"/>
      <c r="SKJ84" s="51"/>
      <c r="SKK84" s="50"/>
      <c r="SKL84" s="23"/>
      <c r="SKM84" s="50"/>
      <c r="SKN84" s="51"/>
      <c r="SKO84" s="50"/>
      <c r="SKP84" s="23"/>
      <c r="SKQ84" s="50"/>
      <c r="SKR84" s="51"/>
      <c r="SKS84" s="50"/>
      <c r="SKT84" s="23"/>
      <c r="SKU84" s="50"/>
      <c r="SKV84" s="51"/>
      <c r="SKW84" s="50"/>
      <c r="SKX84" s="23"/>
      <c r="SKY84" s="50"/>
      <c r="SKZ84" s="51"/>
      <c r="SLA84" s="50"/>
      <c r="SLB84" s="23"/>
      <c r="SLC84" s="50"/>
      <c r="SLD84" s="51"/>
      <c r="SLE84" s="50"/>
      <c r="SLF84" s="23"/>
      <c r="SLG84" s="50"/>
      <c r="SLH84" s="51"/>
      <c r="SLI84" s="50"/>
      <c r="SLJ84" s="23"/>
      <c r="SLK84" s="50"/>
      <c r="SLL84" s="51"/>
      <c r="SLM84" s="50"/>
      <c r="SLN84" s="23"/>
      <c r="SLO84" s="50"/>
      <c r="SLP84" s="51"/>
      <c r="SLQ84" s="50"/>
      <c r="SLR84" s="23"/>
      <c r="SLS84" s="50"/>
      <c r="SLT84" s="51"/>
      <c r="SLU84" s="50"/>
      <c r="SLV84" s="23"/>
      <c r="SLW84" s="50"/>
      <c r="SLX84" s="51"/>
      <c r="SLY84" s="50"/>
      <c r="SLZ84" s="23"/>
      <c r="SMA84" s="50"/>
      <c r="SMB84" s="51"/>
      <c r="SMC84" s="50"/>
      <c r="SMD84" s="23"/>
      <c r="SME84" s="50"/>
      <c r="SMF84" s="51"/>
      <c r="SMG84" s="50"/>
      <c r="SMH84" s="23"/>
      <c r="SMI84" s="50"/>
      <c r="SMJ84" s="51"/>
      <c r="SMK84" s="50"/>
      <c r="SML84" s="23"/>
      <c r="SMM84" s="50"/>
      <c r="SMN84" s="51"/>
      <c r="SMO84" s="50"/>
      <c r="SMP84" s="23"/>
      <c r="SMQ84" s="50"/>
      <c r="SMR84" s="51"/>
      <c r="SMS84" s="50"/>
      <c r="SMT84" s="23"/>
      <c r="SMU84" s="50"/>
      <c r="SMV84" s="51"/>
      <c r="SMW84" s="50"/>
      <c r="SMX84" s="23"/>
      <c r="SMY84" s="50"/>
      <c r="SMZ84" s="51"/>
      <c r="SNA84" s="50"/>
      <c r="SNB84" s="23"/>
      <c r="SNC84" s="50"/>
      <c r="SND84" s="51"/>
      <c r="SNE84" s="50"/>
      <c r="SNF84" s="23"/>
      <c r="SNG84" s="50"/>
      <c r="SNH84" s="51"/>
      <c r="SNI84" s="50"/>
      <c r="SNJ84" s="23"/>
      <c r="SNK84" s="50"/>
      <c r="SNL84" s="51"/>
      <c r="SNM84" s="50"/>
      <c r="SNN84" s="23"/>
      <c r="SNO84" s="50"/>
      <c r="SNP84" s="51"/>
      <c r="SNQ84" s="50"/>
      <c r="SNR84" s="23"/>
      <c r="SNS84" s="50"/>
      <c r="SNT84" s="51"/>
      <c r="SNU84" s="50"/>
      <c r="SNV84" s="23"/>
      <c r="SNW84" s="50"/>
      <c r="SNX84" s="51"/>
      <c r="SNY84" s="50"/>
      <c r="SNZ84" s="23"/>
      <c r="SOA84" s="50"/>
      <c r="SOB84" s="51"/>
      <c r="SOC84" s="50"/>
      <c r="SOD84" s="23"/>
      <c r="SOE84" s="50"/>
      <c r="SOF84" s="51"/>
      <c r="SOG84" s="50"/>
      <c r="SOH84" s="23"/>
      <c r="SOI84" s="50"/>
      <c r="SOJ84" s="51"/>
      <c r="SOK84" s="50"/>
      <c r="SOL84" s="23"/>
      <c r="SOM84" s="50"/>
      <c r="SON84" s="51"/>
      <c r="SOO84" s="50"/>
      <c r="SOP84" s="23"/>
      <c r="SOQ84" s="50"/>
      <c r="SOR84" s="51"/>
      <c r="SOS84" s="50"/>
      <c r="SOT84" s="23"/>
      <c r="SOU84" s="50"/>
      <c r="SOV84" s="51"/>
      <c r="SOW84" s="50"/>
      <c r="SOX84" s="23"/>
      <c r="SOY84" s="50"/>
      <c r="SOZ84" s="51"/>
      <c r="SPA84" s="50"/>
      <c r="SPB84" s="23"/>
      <c r="SPC84" s="50"/>
      <c r="SPD84" s="51"/>
      <c r="SPE84" s="50"/>
      <c r="SPF84" s="23"/>
      <c r="SPG84" s="50"/>
      <c r="SPH84" s="51"/>
      <c r="SPI84" s="50"/>
      <c r="SPJ84" s="23"/>
      <c r="SPK84" s="50"/>
      <c r="SPL84" s="51"/>
      <c r="SPM84" s="50"/>
      <c r="SPN84" s="23"/>
      <c r="SPO84" s="50"/>
      <c r="SPP84" s="51"/>
      <c r="SPQ84" s="50"/>
      <c r="SPR84" s="23"/>
      <c r="SPS84" s="50"/>
      <c r="SPT84" s="51"/>
      <c r="SPU84" s="50"/>
      <c r="SPV84" s="23"/>
      <c r="SPW84" s="50"/>
      <c r="SPX84" s="51"/>
      <c r="SPY84" s="50"/>
      <c r="SPZ84" s="23"/>
      <c r="SQA84" s="50"/>
      <c r="SQB84" s="51"/>
      <c r="SQC84" s="50"/>
      <c r="SQD84" s="23"/>
      <c r="SQE84" s="50"/>
      <c r="SQF84" s="51"/>
      <c r="SQG84" s="50"/>
      <c r="SQH84" s="23"/>
      <c r="SQI84" s="50"/>
      <c r="SQJ84" s="51"/>
      <c r="SQK84" s="50"/>
      <c r="SQL84" s="23"/>
      <c r="SQM84" s="50"/>
      <c r="SQN84" s="51"/>
      <c r="SQO84" s="50"/>
      <c r="SQP84" s="23"/>
      <c r="SQQ84" s="50"/>
      <c r="SQR84" s="51"/>
      <c r="SQS84" s="50"/>
      <c r="SQT84" s="23"/>
      <c r="SQU84" s="50"/>
      <c r="SQV84" s="51"/>
      <c r="SQW84" s="50"/>
      <c r="SQX84" s="23"/>
      <c r="SQY84" s="50"/>
      <c r="SQZ84" s="51"/>
      <c r="SRA84" s="50"/>
      <c r="SRB84" s="23"/>
      <c r="SRC84" s="50"/>
      <c r="SRD84" s="51"/>
      <c r="SRE84" s="50"/>
      <c r="SRF84" s="23"/>
      <c r="SRG84" s="50"/>
      <c r="SRH84" s="51"/>
      <c r="SRI84" s="50"/>
      <c r="SRJ84" s="23"/>
      <c r="SRK84" s="50"/>
      <c r="SRL84" s="51"/>
      <c r="SRM84" s="50"/>
      <c r="SRN84" s="23"/>
      <c r="SRO84" s="50"/>
      <c r="SRP84" s="51"/>
      <c r="SRQ84" s="50"/>
      <c r="SRR84" s="23"/>
      <c r="SRS84" s="50"/>
      <c r="SRT84" s="51"/>
      <c r="SRU84" s="50"/>
      <c r="SRV84" s="23"/>
      <c r="SRW84" s="50"/>
      <c r="SRX84" s="51"/>
      <c r="SRY84" s="50"/>
      <c r="SRZ84" s="23"/>
      <c r="SSA84" s="50"/>
      <c r="SSB84" s="51"/>
      <c r="SSC84" s="50"/>
      <c r="SSD84" s="23"/>
      <c r="SSE84" s="50"/>
      <c r="SSF84" s="51"/>
      <c r="SSG84" s="50"/>
      <c r="SSH84" s="23"/>
      <c r="SSI84" s="50"/>
      <c r="SSJ84" s="51"/>
      <c r="SSK84" s="50"/>
      <c r="SSL84" s="23"/>
      <c r="SSM84" s="50"/>
      <c r="SSN84" s="51"/>
      <c r="SSO84" s="50"/>
      <c r="SSP84" s="23"/>
      <c r="SSQ84" s="50"/>
      <c r="SSR84" s="51"/>
      <c r="SSS84" s="50"/>
      <c r="SST84" s="23"/>
      <c r="SSU84" s="50"/>
      <c r="SSV84" s="51"/>
      <c r="SSW84" s="50"/>
      <c r="SSX84" s="23"/>
      <c r="SSY84" s="50"/>
      <c r="SSZ84" s="51"/>
      <c r="STA84" s="50"/>
      <c r="STB84" s="23"/>
      <c r="STC84" s="50"/>
      <c r="STD84" s="51"/>
      <c r="STE84" s="50"/>
      <c r="STF84" s="23"/>
      <c r="STG84" s="50"/>
      <c r="STH84" s="51"/>
      <c r="STI84" s="50"/>
      <c r="STJ84" s="23"/>
      <c r="STK84" s="50"/>
      <c r="STL84" s="51"/>
      <c r="STM84" s="50"/>
      <c r="STN84" s="23"/>
      <c r="STO84" s="50"/>
      <c r="STP84" s="51"/>
      <c r="STQ84" s="50"/>
      <c r="STR84" s="23"/>
      <c r="STS84" s="50"/>
      <c r="STT84" s="51"/>
      <c r="STU84" s="50"/>
      <c r="STV84" s="23"/>
      <c r="STW84" s="50"/>
      <c r="STX84" s="51"/>
      <c r="STY84" s="50"/>
      <c r="STZ84" s="23"/>
      <c r="SUA84" s="50"/>
      <c r="SUB84" s="51"/>
      <c r="SUC84" s="50"/>
      <c r="SUD84" s="23"/>
      <c r="SUE84" s="50"/>
      <c r="SUF84" s="51"/>
      <c r="SUG84" s="50"/>
      <c r="SUH84" s="23"/>
      <c r="SUI84" s="50"/>
      <c r="SUJ84" s="51"/>
      <c r="SUK84" s="50"/>
      <c r="SUL84" s="23"/>
      <c r="SUM84" s="50"/>
      <c r="SUN84" s="51"/>
      <c r="SUO84" s="50"/>
      <c r="SUP84" s="23"/>
      <c r="SUQ84" s="50"/>
      <c r="SUR84" s="51"/>
      <c r="SUS84" s="50"/>
      <c r="SUT84" s="23"/>
      <c r="SUU84" s="50"/>
      <c r="SUV84" s="51"/>
      <c r="SUW84" s="50"/>
      <c r="SUX84" s="23"/>
      <c r="SUY84" s="50"/>
      <c r="SUZ84" s="51"/>
      <c r="SVA84" s="50"/>
      <c r="SVB84" s="23"/>
      <c r="SVC84" s="50"/>
      <c r="SVD84" s="51"/>
      <c r="SVE84" s="50"/>
      <c r="SVF84" s="23"/>
      <c r="SVG84" s="50"/>
      <c r="SVH84" s="51"/>
      <c r="SVI84" s="50"/>
      <c r="SVJ84" s="23"/>
      <c r="SVK84" s="50"/>
      <c r="SVL84" s="51"/>
      <c r="SVM84" s="50"/>
      <c r="SVN84" s="23"/>
      <c r="SVO84" s="50"/>
      <c r="SVP84" s="51"/>
      <c r="SVQ84" s="50"/>
      <c r="SVR84" s="23"/>
      <c r="SVS84" s="50"/>
      <c r="SVT84" s="51"/>
      <c r="SVU84" s="50"/>
      <c r="SVV84" s="23"/>
      <c r="SVW84" s="50"/>
      <c r="SVX84" s="51"/>
      <c r="SVY84" s="50"/>
      <c r="SVZ84" s="23"/>
      <c r="SWA84" s="50"/>
      <c r="SWB84" s="51"/>
      <c r="SWC84" s="50"/>
      <c r="SWD84" s="23"/>
      <c r="SWE84" s="50"/>
      <c r="SWF84" s="51"/>
      <c r="SWG84" s="50"/>
      <c r="SWH84" s="23"/>
      <c r="SWI84" s="50"/>
      <c r="SWJ84" s="51"/>
      <c r="SWK84" s="50"/>
      <c r="SWL84" s="23"/>
      <c r="SWM84" s="50"/>
      <c r="SWN84" s="51"/>
      <c r="SWO84" s="50"/>
      <c r="SWP84" s="23"/>
      <c r="SWQ84" s="50"/>
      <c r="SWR84" s="51"/>
      <c r="SWS84" s="50"/>
      <c r="SWT84" s="23"/>
      <c r="SWU84" s="50"/>
      <c r="SWV84" s="51"/>
      <c r="SWW84" s="50"/>
      <c r="SWX84" s="23"/>
      <c r="SWY84" s="50"/>
      <c r="SWZ84" s="51"/>
      <c r="SXA84" s="50"/>
      <c r="SXB84" s="23"/>
      <c r="SXC84" s="50"/>
      <c r="SXD84" s="51"/>
      <c r="SXE84" s="50"/>
      <c r="SXF84" s="23"/>
      <c r="SXG84" s="50"/>
      <c r="SXH84" s="51"/>
      <c r="SXI84" s="50"/>
      <c r="SXJ84" s="23"/>
      <c r="SXK84" s="50"/>
      <c r="SXL84" s="51"/>
      <c r="SXM84" s="50"/>
      <c r="SXN84" s="23"/>
      <c r="SXO84" s="50"/>
      <c r="SXP84" s="51"/>
      <c r="SXQ84" s="50"/>
      <c r="SXR84" s="23"/>
      <c r="SXS84" s="50"/>
      <c r="SXT84" s="51"/>
      <c r="SXU84" s="50"/>
      <c r="SXV84" s="23"/>
      <c r="SXW84" s="50"/>
      <c r="SXX84" s="51"/>
      <c r="SXY84" s="50"/>
      <c r="SXZ84" s="23"/>
      <c r="SYA84" s="50"/>
      <c r="SYB84" s="51"/>
      <c r="SYC84" s="50"/>
      <c r="SYD84" s="23"/>
      <c r="SYE84" s="50"/>
      <c r="SYF84" s="51"/>
      <c r="SYG84" s="50"/>
      <c r="SYH84" s="23"/>
      <c r="SYI84" s="50"/>
      <c r="SYJ84" s="51"/>
      <c r="SYK84" s="50"/>
      <c r="SYL84" s="23"/>
      <c r="SYM84" s="50"/>
      <c r="SYN84" s="51"/>
      <c r="SYO84" s="50"/>
      <c r="SYP84" s="23"/>
      <c r="SYQ84" s="50"/>
      <c r="SYR84" s="51"/>
      <c r="SYS84" s="50"/>
      <c r="SYT84" s="23"/>
      <c r="SYU84" s="50"/>
      <c r="SYV84" s="51"/>
      <c r="SYW84" s="50"/>
      <c r="SYX84" s="23"/>
      <c r="SYY84" s="50"/>
      <c r="SYZ84" s="51"/>
      <c r="SZA84" s="50"/>
      <c r="SZB84" s="23"/>
      <c r="SZC84" s="50"/>
      <c r="SZD84" s="51"/>
      <c r="SZE84" s="50"/>
      <c r="SZF84" s="23"/>
      <c r="SZG84" s="50"/>
      <c r="SZH84" s="51"/>
      <c r="SZI84" s="50"/>
      <c r="SZJ84" s="23"/>
      <c r="SZK84" s="50"/>
      <c r="SZL84" s="51"/>
      <c r="SZM84" s="50"/>
      <c r="SZN84" s="23"/>
      <c r="SZO84" s="50"/>
      <c r="SZP84" s="51"/>
      <c r="SZQ84" s="50"/>
      <c r="SZR84" s="23"/>
      <c r="SZS84" s="50"/>
      <c r="SZT84" s="51"/>
      <c r="SZU84" s="50"/>
      <c r="SZV84" s="23"/>
      <c r="SZW84" s="50"/>
      <c r="SZX84" s="51"/>
      <c r="SZY84" s="50"/>
      <c r="SZZ84" s="23"/>
      <c r="TAA84" s="50"/>
      <c r="TAB84" s="51"/>
      <c r="TAC84" s="50"/>
      <c r="TAD84" s="23"/>
      <c r="TAE84" s="50"/>
      <c r="TAF84" s="51"/>
      <c r="TAG84" s="50"/>
      <c r="TAH84" s="23"/>
      <c r="TAI84" s="50"/>
      <c r="TAJ84" s="51"/>
      <c r="TAK84" s="50"/>
      <c r="TAL84" s="23"/>
      <c r="TAM84" s="50"/>
      <c r="TAN84" s="51"/>
      <c r="TAO84" s="50"/>
      <c r="TAP84" s="23"/>
      <c r="TAQ84" s="50"/>
      <c r="TAR84" s="51"/>
      <c r="TAS84" s="50"/>
      <c r="TAT84" s="23"/>
      <c r="TAU84" s="50"/>
      <c r="TAV84" s="51"/>
      <c r="TAW84" s="50"/>
      <c r="TAX84" s="23"/>
      <c r="TAY84" s="50"/>
      <c r="TAZ84" s="51"/>
      <c r="TBA84" s="50"/>
      <c r="TBB84" s="23"/>
      <c r="TBC84" s="50"/>
      <c r="TBD84" s="51"/>
      <c r="TBE84" s="50"/>
      <c r="TBF84" s="23"/>
      <c r="TBG84" s="50"/>
      <c r="TBH84" s="51"/>
      <c r="TBI84" s="50"/>
      <c r="TBJ84" s="23"/>
      <c r="TBK84" s="50"/>
      <c r="TBL84" s="51"/>
      <c r="TBM84" s="50"/>
      <c r="TBN84" s="23"/>
      <c r="TBO84" s="50"/>
      <c r="TBP84" s="51"/>
      <c r="TBQ84" s="50"/>
      <c r="TBR84" s="23"/>
      <c r="TBS84" s="50"/>
      <c r="TBT84" s="51"/>
      <c r="TBU84" s="50"/>
      <c r="TBV84" s="23"/>
      <c r="TBW84" s="50"/>
      <c r="TBX84" s="51"/>
      <c r="TBY84" s="50"/>
      <c r="TBZ84" s="23"/>
      <c r="TCA84" s="50"/>
      <c r="TCB84" s="51"/>
      <c r="TCC84" s="50"/>
      <c r="TCD84" s="23"/>
      <c r="TCE84" s="50"/>
      <c r="TCF84" s="51"/>
      <c r="TCG84" s="50"/>
      <c r="TCH84" s="23"/>
      <c r="TCI84" s="50"/>
      <c r="TCJ84" s="51"/>
      <c r="TCK84" s="50"/>
      <c r="TCL84" s="23"/>
      <c r="TCM84" s="50"/>
      <c r="TCN84" s="51"/>
      <c r="TCO84" s="50"/>
      <c r="TCP84" s="23"/>
      <c r="TCQ84" s="50"/>
      <c r="TCR84" s="51"/>
      <c r="TCS84" s="50"/>
      <c r="TCT84" s="23"/>
      <c r="TCU84" s="50"/>
      <c r="TCV84" s="51"/>
      <c r="TCW84" s="50"/>
      <c r="TCX84" s="23"/>
      <c r="TCY84" s="50"/>
      <c r="TCZ84" s="51"/>
      <c r="TDA84" s="50"/>
      <c r="TDB84" s="23"/>
      <c r="TDC84" s="50"/>
      <c r="TDD84" s="51"/>
      <c r="TDE84" s="50"/>
      <c r="TDF84" s="23"/>
      <c r="TDG84" s="50"/>
      <c r="TDH84" s="51"/>
      <c r="TDI84" s="50"/>
      <c r="TDJ84" s="23"/>
      <c r="TDK84" s="50"/>
      <c r="TDL84" s="51"/>
      <c r="TDM84" s="50"/>
      <c r="TDN84" s="23"/>
      <c r="TDO84" s="50"/>
      <c r="TDP84" s="51"/>
      <c r="TDQ84" s="50"/>
      <c r="TDR84" s="23"/>
      <c r="TDS84" s="50"/>
      <c r="TDT84" s="51"/>
      <c r="TDU84" s="50"/>
      <c r="TDV84" s="23"/>
      <c r="TDW84" s="50"/>
      <c r="TDX84" s="51"/>
      <c r="TDY84" s="50"/>
      <c r="TDZ84" s="23"/>
      <c r="TEA84" s="50"/>
      <c r="TEB84" s="51"/>
      <c r="TEC84" s="50"/>
      <c r="TED84" s="23"/>
      <c r="TEE84" s="50"/>
      <c r="TEF84" s="51"/>
      <c r="TEG84" s="50"/>
      <c r="TEH84" s="23"/>
      <c r="TEI84" s="50"/>
      <c r="TEJ84" s="51"/>
      <c r="TEK84" s="50"/>
      <c r="TEL84" s="23"/>
      <c r="TEM84" s="50"/>
      <c r="TEN84" s="51"/>
      <c r="TEO84" s="50"/>
      <c r="TEP84" s="23"/>
      <c r="TEQ84" s="50"/>
      <c r="TER84" s="51"/>
      <c r="TES84" s="50"/>
      <c r="TET84" s="23"/>
      <c r="TEU84" s="50"/>
      <c r="TEV84" s="51"/>
      <c r="TEW84" s="50"/>
      <c r="TEX84" s="23"/>
      <c r="TEY84" s="50"/>
      <c r="TEZ84" s="51"/>
      <c r="TFA84" s="50"/>
      <c r="TFB84" s="23"/>
      <c r="TFC84" s="50"/>
      <c r="TFD84" s="51"/>
      <c r="TFE84" s="50"/>
      <c r="TFF84" s="23"/>
      <c r="TFG84" s="50"/>
      <c r="TFH84" s="51"/>
      <c r="TFI84" s="50"/>
      <c r="TFJ84" s="23"/>
      <c r="TFK84" s="50"/>
      <c r="TFL84" s="51"/>
      <c r="TFM84" s="50"/>
      <c r="TFN84" s="23"/>
      <c r="TFO84" s="50"/>
      <c r="TFP84" s="51"/>
      <c r="TFQ84" s="50"/>
      <c r="TFR84" s="23"/>
      <c r="TFS84" s="50"/>
      <c r="TFT84" s="51"/>
      <c r="TFU84" s="50"/>
      <c r="TFV84" s="23"/>
      <c r="TFW84" s="50"/>
      <c r="TFX84" s="51"/>
      <c r="TFY84" s="50"/>
      <c r="TFZ84" s="23"/>
      <c r="TGA84" s="50"/>
      <c r="TGB84" s="51"/>
      <c r="TGC84" s="50"/>
      <c r="TGD84" s="23"/>
      <c r="TGE84" s="50"/>
      <c r="TGF84" s="51"/>
      <c r="TGG84" s="50"/>
      <c r="TGH84" s="23"/>
      <c r="TGI84" s="50"/>
      <c r="TGJ84" s="51"/>
      <c r="TGK84" s="50"/>
      <c r="TGL84" s="23"/>
      <c r="TGM84" s="50"/>
      <c r="TGN84" s="51"/>
      <c r="TGO84" s="50"/>
      <c r="TGP84" s="23"/>
      <c r="TGQ84" s="50"/>
      <c r="TGR84" s="51"/>
      <c r="TGS84" s="50"/>
      <c r="TGT84" s="23"/>
      <c r="TGU84" s="50"/>
      <c r="TGV84" s="51"/>
      <c r="TGW84" s="50"/>
      <c r="TGX84" s="23"/>
      <c r="TGY84" s="50"/>
      <c r="TGZ84" s="51"/>
      <c r="THA84" s="50"/>
      <c r="THB84" s="23"/>
      <c r="THC84" s="50"/>
      <c r="THD84" s="51"/>
      <c r="THE84" s="50"/>
      <c r="THF84" s="23"/>
      <c r="THG84" s="50"/>
      <c r="THH84" s="51"/>
      <c r="THI84" s="50"/>
      <c r="THJ84" s="23"/>
      <c r="THK84" s="50"/>
      <c r="THL84" s="51"/>
      <c r="THM84" s="50"/>
      <c r="THN84" s="23"/>
      <c r="THO84" s="50"/>
      <c r="THP84" s="51"/>
      <c r="THQ84" s="50"/>
      <c r="THR84" s="23"/>
      <c r="THS84" s="50"/>
      <c r="THT84" s="51"/>
      <c r="THU84" s="50"/>
      <c r="THV84" s="23"/>
      <c r="THW84" s="50"/>
      <c r="THX84" s="51"/>
      <c r="THY84" s="50"/>
      <c r="THZ84" s="23"/>
      <c r="TIA84" s="50"/>
      <c r="TIB84" s="51"/>
      <c r="TIC84" s="50"/>
      <c r="TID84" s="23"/>
      <c r="TIE84" s="50"/>
      <c r="TIF84" s="51"/>
      <c r="TIG84" s="50"/>
      <c r="TIH84" s="23"/>
      <c r="TII84" s="50"/>
      <c r="TIJ84" s="51"/>
      <c r="TIK84" s="50"/>
      <c r="TIL84" s="23"/>
      <c r="TIM84" s="50"/>
      <c r="TIN84" s="51"/>
      <c r="TIO84" s="50"/>
      <c r="TIP84" s="23"/>
      <c r="TIQ84" s="50"/>
      <c r="TIR84" s="51"/>
      <c r="TIS84" s="50"/>
      <c r="TIT84" s="23"/>
      <c r="TIU84" s="50"/>
      <c r="TIV84" s="51"/>
      <c r="TIW84" s="50"/>
      <c r="TIX84" s="23"/>
      <c r="TIY84" s="50"/>
      <c r="TIZ84" s="51"/>
      <c r="TJA84" s="50"/>
      <c r="TJB84" s="23"/>
      <c r="TJC84" s="50"/>
      <c r="TJD84" s="51"/>
      <c r="TJE84" s="50"/>
      <c r="TJF84" s="23"/>
      <c r="TJG84" s="50"/>
      <c r="TJH84" s="51"/>
      <c r="TJI84" s="50"/>
      <c r="TJJ84" s="23"/>
      <c r="TJK84" s="50"/>
      <c r="TJL84" s="51"/>
      <c r="TJM84" s="50"/>
      <c r="TJN84" s="23"/>
      <c r="TJO84" s="50"/>
      <c r="TJP84" s="51"/>
      <c r="TJQ84" s="50"/>
      <c r="TJR84" s="23"/>
      <c r="TJS84" s="50"/>
      <c r="TJT84" s="51"/>
      <c r="TJU84" s="50"/>
      <c r="TJV84" s="23"/>
      <c r="TJW84" s="50"/>
      <c r="TJX84" s="51"/>
      <c r="TJY84" s="50"/>
      <c r="TJZ84" s="23"/>
      <c r="TKA84" s="50"/>
      <c r="TKB84" s="51"/>
      <c r="TKC84" s="50"/>
      <c r="TKD84" s="23"/>
      <c r="TKE84" s="50"/>
      <c r="TKF84" s="51"/>
      <c r="TKG84" s="50"/>
      <c r="TKH84" s="23"/>
      <c r="TKI84" s="50"/>
      <c r="TKJ84" s="51"/>
      <c r="TKK84" s="50"/>
      <c r="TKL84" s="23"/>
      <c r="TKM84" s="50"/>
      <c r="TKN84" s="51"/>
      <c r="TKO84" s="50"/>
      <c r="TKP84" s="23"/>
      <c r="TKQ84" s="50"/>
      <c r="TKR84" s="51"/>
      <c r="TKS84" s="50"/>
      <c r="TKT84" s="23"/>
      <c r="TKU84" s="50"/>
      <c r="TKV84" s="51"/>
      <c r="TKW84" s="50"/>
      <c r="TKX84" s="23"/>
      <c r="TKY84" s="50"/>
      <c r="TKZ84" s="51"/>
      <c r="TLA84" s="50"/>
      <c r="TLB84" s="23"/>
      <c r="TLC84" s="50"/>
      <c r="TLD84" s="51"/>
      <c r="TLE84" s="50"/>
      <c r="TLF84" s="23"/>
      <c r="TLG84" s="50"/>
      <c r="TLH84" s="51"/>
      <c r="TLI84" s="50"/>
      <c r="TLJ84" s="23"/>
      <c r="TLK84" s="50"/>
      <c r="TLL84" s="51"/>
      <c r="TLM84" s="50"/>
      <c r="TLN84" s="23"/>
      <c r="TLO84" s="50"/>
      <c r="TLP84" s="51"/>
      <c r="TLQ84" s="50"/>
      <c r="TLR84" s="23"/>
      <c r="TLS84" s="50"/>
      <c r="TLT84" s="51"/>
      <c r="TLU84" s="50"/>
      <c r="TLV84" s="23"/>
      <c r="TLW84" s="50"/>
      <c r="TLX84" s="51"/>
      <c r="TLY84" s="50"/>
      <c r="TLZ84" s="23"/>
      <c r="TMA84" s="50"/>
      <c r="TMB84" s="51"/>
      <c r="TMC84" s="50"/>
      <c r="TMD84" s="23"/>
      <c r="TME84" s="50"/>
      <c r="TMF84" s="51"/>
      <c r="TMG84" s="50"/>
      <c r="TMH84" s="23"/>
      <c r="TMI84" s="50"/>
      <c r="TMJ84" s="51"/>
      <c r="TMK84" s="50"/>
      <c r="TML84" s="23"/>
      <c r="TMM84" s="50"/>
      <c r="TMN84" s="51"/>
      <c r="TMO84" s="50"/>
      <c r="TMP84" s="23"/>
      <c r="TMQ84" s="50"/>
      <c r="TMR84" s="51"/>
      <c r="TMS84" s="50"/>
      <c r="TMT84" s="23"/>
      <c r="TMU84" s="50"/>
      <c r="TMV84" s="51"/>
      <c r="TMW84" s="50"/>
      <c r="TMX84" s="23"/>
      <c r="TMY84" s="50"/>
      <c r="TMZ84" s="51"/>
      <c r="TNA84" s="50"/>
      <c r="TNB84" s="23"/>
      <c r="TNC84" s="50"/>
      <c r="TND84" s="51"/>
      <c r="TNE84" s="50"/>
      <c r="TNF84" s="23"/>
      <c r="TNG84" s="50"/>
      <c r="TNH84" s="51"/>
      <c r="TNI84" s="50"/>
      <c r="TNJ84" s="23"/>
      <c r="TNK84" s="50"/>
      <c r="TNL84" s="51"/>
      <c r="TNM84" s="50"/>
      <c r="TNN84" s="23"/>
      <c r="TNO84" s="50"/>
      <c r="TNP84" s="51"/>
      <c r="TNQ84" s="50"/>
      <c r="TNR84" s="23"/>
      <c r="TNS84" s="50"/>
      <c r="TNT84" s="51"/>
      <c r="TNU84" s="50"/>
      <c r="TNV84" s="23"/>
      <c r="TNW84" s="50"/>
      <c r="TNX84" s="51"/>
      <c r="TNY84" s="50"/>
      <c r="TNZ84" s="23"/>
      <c r="TOA84" s="50"/>
      <c r="TOB84" s="51"/>
      <c r="TOC84" s="50"/>
      <c r="TOD84" s="23"/>
      <c r="TOE84" s="50"/>
      <c r="TOF84" s="51"/>
      <c r="TOG84" s="50"/>
      <c r="TOH84" s="23"/>
      <c r="TOI84" s="50"/>
      <c r="TOJ84" s="51"/>
      <c r="TOK84" s="50"/>
      <c r="TOL84" s="23"/>
      <c r="TOM84" s="50"/>
      <c r="TON84" s="51"/>
      <c r="TOO84" s="50"/>
      <c r="TOP84" s="23"/>
      <c r="TOQ84" s="50"/>
      <c r="TOR84" s="51"/>
      <c r="TOS84" s="50"/>
      <c r="TOT84" s="23"/>
      <c r="TOU84" s="50"/>
      <c r="TOV84" s="51"/>
      <c r="TOW84" s="50"/>
      <c r="TOX84" s="23"/>
      <c r="TOY84" s="50"/>
      <c r="TOZ84" s="51"/>
      <c r="TPA84" s="50"/>
      <c r="TPB84" s="23"/>
      <c r="TPC84" s="50"/>
      <c r="TPD84" s="51"/>
      <c r="TPE84" s="50"/>
      <c r="TPF84" s="23"/>
      <c r="TPG84" s="50"/>
      <c r="TPH84" s="51"/>
      <c r="TPI84" s="50"/>
      <c r="TPJ84" s="23"/>
      <c r="TPK84" s="50"/>
      <c r="TPL84" s="51"/>
      <c r="TPM84" s="50"/>
      <c r="TPN84" s="23"/>
      <c r="TPO84" s="50"/>
      <c r="TPP84" s="51"/>
      <c r="TPQ84" s="50"/>
      <c r="TPR84" s="23"/>
      <c r="TPS84" s="50"/>
      <c r="TPT84" s="51"/>
      <c r="TPU84" s="50"/>
      <c r="TPV84" s="23"/>
      <c r="TPW84" s="50"/>
      <c r="TPX84" s="51"/>
      <c r="TPY84" s="50"/>
      <c r="TPZ84" s="23"/>
      <c r="TQA84" s="50"/>
      <c r="TQB84" s="51"/>
      <c r="TQC84" s="50"/>
      <c r="TQD84" s="23"/>
      <c r="TQE84" s="50"/>
      <c r="TQF84" s="51"/>
      <c r="TQG84" s="50"/>
      <c r="TQH84" s="23"/>
      <c r="TQI84" s="50"/>
      <c r="TQJ84" s="51"/>
      <c r="TQK84" s="50"/>
      <c r="TQL84" s="23"/>
      <c r="TQM84" s="50"/>
      <c r="TQN84" s="51"/>
      <c r="TQO84" s="50"/>
      <c r="TQP84" s="23"/>
      <c r="TQQ84" s="50"/>
      <c r="TQR84" s="51"/>
      <c r="TQS84" s="50"/>
      <c r="TQT84" s="23"/>
      <c r="TQU84" s="50"/>
      <c r="TQV84" s="51"/>
      <c r="TQW84" s="50"/>
      <c r="TQX84" s="23"/>
      <c r="TQY84" s="50"/>
      <c r="TQZ84" s="51"/>
      <c r="TRA84" s="50"/>
      <c r="TRB84" s="23"/>
      <c r="TRC84" s="50"/>
      <c r="TRD84" s="51"/>
      <c r="TRE84" s="50"/>
      <c r="TRF84" s="23"/>
      <c r="TRG84" s="50"/>
      <c r="TRH84" s="51"/>
      <c r="TRI84" s="50"/>
      <c r="TRJ84" s="23"/>
      <c r="TRK84" s="50"/>
      <c r="TRL84" s="51"/>
      <c r="TRM84" s="50"/>
      <c r="TRN84" s="23"/>
      <c r="TRO84" s="50"/>
      <c r="TRP84" s="51"/>
      <c r="TRQ84" s="50"/>
      <c r="TRR84" s="23"/>
      <c r="TRS84" s="50"/>
      <c r="TRT84" s="51"/>
      <c r="TRU84" s="50"/>
      <c r="TRV84" s="23"/>
      <c r="TRW84" s="50"/>
      <c r="TRX84" s="51"/>
      <c r="TRY84" s="50"/>
      <c r="TRZ84" s="23"/>
      <c r="TSA84" s="50"/>
      <c r="TSB84" s="51"/>
      <c r="TSC84" s="50"/>
      <c r="TSD84" s="23"/>
      <c r="TSE84" s="50"/>
      <c r="TSF84" s="51"/>
      <c r="TSG84" s="50"/>
      <c r="TSH84" s="23"/>
      <c r="TSI84" s="50"/>
      <c r="TSJ84" s="51"/>
      <c r="TSK84" s="50"/>
      <c r="TSL84" s="23"/>
      <c r="TSM84" s="50"/>
      <c r="TSN84" s="51"/>
      <c r="TSO84" s="50"/>
      <c r="TSP84" s="23"/>
      <c r="TSQ84" s="50"/>
      <c r="TSR84" s="51"/>
      <c r="TSS84" s="50"/>
      <c r="TST84" s="23"/>
      <c r="TSU84" s="50"/>
      <c r="TSV84" s="51"/>
      <c r="TSW84" s="50"/>
      <c r="TSX84" s="23"/>
      <c r="TSY84" s="50"/>
      <c r="TSZ84" s="51"/>
      <c r="TTA84" s="50"/>
      <c r="TTB84" s="23"/>
      <c r="TTC84" s="50"/>
      <c r="TTD84" s="51"/>
      <c r="TTE84" s="50"/>
      <c r="TTF84" s="23"/>
      <c r="TTG84" s="50"/>
      <c r="TTH84" s="51"/>
      <c r="TTI84" s="50"/>
      <c r="TTJ84" s="23"/>
      <c r="TTK84" s="50"/>
      <c r="TTL84" s="51"/>
      <c r="TTM84" s="50"/>
      <c r="TTN84" s="23"/>
      <c r="TTO84" s="50"/>
      <c r="TTP84" s="51"/>
      <c r="TTQ84" s="50"/>
      <c r="TTR84" s="23"/>
      <c r="TTS84" s="50"/>
      <c r="TTT84" s="51"/>
      <c r="TTU84" s="50"/>
      <c r="TTV84" s="23"/>
      <c r="TTW84" s="50"/>
      <c r="TTX84" s="51"/>
      <c r="TTY84" s="50"/>
      <c r="TTZ84" s="23"/>
      <c r="TUA84" s="50"/>
      <c r="TUB84" s="51"/>
      <c r="TUC84" s="50"/>
      <c r="TUD84" s="23"/>
      <c r="TUE84" s="50"/>
      <c r="TUF84" s="51"/>
      <c r="TUG84" s="50"/>
      <c r="TUH84" s="23"/>
      <c r="TUI84" s="50"/>
      <c r="TUJ84" s="51"/>
      <c r="TUK84" s="50"/>
      <c r="TUL84" s="23"/>
      <c r="TUM84" s="50"/>
      <c r="TUN84" s="51"/>
      <c r="TUO84" s="50"/>
      <c r="TUP84" s="23"/>
      <c r="TUQ84" s="50"/>
      <c r="TUR84" s="51"/>
      <c r="TUS84" s="50"/>
      <c r="TUT84" s="23"/>
      <c r="TUU84" s="50"/>
      <c r="TUV84" s="51"/>
      <c r="TUW84" s="50"/>
      <c r="TUX84" s="23"/>
      <c r="TUY84" s="50"/>
      <c r="TUZ84" s="51"/>
      <c r="TVA84" s="50"/>
      <c r="TVB84" s="23"/>
      <c r="TVC84" s="50"/>
      <c r="TVD84" s="51"/>
      <c r="TVE84" s="50"/>
      <c r="TVF84" s="23"/>
      <c r="TVG84" s="50"/>
      <c r="TVH84" s="51"/>
      <c r="TVI84" s="50"/>
      <c r="TVJ84" s="23"/>
      <c r="TVK84" s="50"/>
      <c r="TVL84" s="51"/>
      <c r="TVM84" s="50"/>
      <c r="TVN84" s="23"/>
      <c r="TVO84" s="50"/>
      <c r="TVP84" s="51"/>
      <c r="TVQ84" s="50"/>
      <c r="TVR84" s="23"/>
      <c r="TVS84" s="50"/>
      <c r="TVT84" s="51"/>
      <c r="TVU84" s="50"/>
      <c r="TVV84" s="23"/>
      <c r="TVW84" s="50"/>
      <c r="TVX84" s="51"/>
      <c r="TVY84" s="50"/>
      <c r="TVZ84" s="23"/>
      <c r="TWA84" s="50"/>
      <c r="TWB84" s="51"/>
      <c r="TWC84" s="50"/>
      <c r="TWD84" s="23"/>
      <c r="TWE84" s="50"/>
      <c r="TWF84" s="51"/>
      <c r="TWG84" s="50"/>
      <c r="TWH84" s="23"/>
      <c r="TWI84" s="50"/>
      <c r="TWJ84" s="51"/>
      <c r="TWK84" s="50"/>
      <c r="TWL84" s="23"/>
      <c r="TWM84" s="50"/>
      <c r="TWN84" s="51"/>
      <c r="TWO84" s="50"/>
      <c r="TWP84" s="23"/>
      <c r="TWQ84" s="50"/>
      <c r="TWR84" s="51"/>
      <c r="TWS84" s="50"/>
      <c r="TWT84" s="23"/>
      <c r="TWU84" s="50"/>
      <c r="TWV84" s="51"/>
      <c r="TWW84" s="50"/>
      <c r="TWX84" s="23"/>
      <c r="TWY84" s="50"/>
      <c r="TWZ84" s="51"/>
      <c r="TXA84" s="50"/>
      <c r="TXB84" s="23"/>
      <c r="TXC84" s="50"/>
      <c r="TXD84" s="51"/>
      <c r="TXE84" s="50"/>
      <c r="TXF84" s="23"/>
      <c r="TXG84" s="50"/>
      <c r="TXH84" s="51"/>
      <c r="TXI84" s="50"/>
      <c r="TXJ84" s="23"/>
      <c r="TXK84" s="50"/>
      <c r="TXL84" s="51"/>
      <c r="TXM84" s="50"/>
      <c r="TXN84" s="23"/>
      <c r="TXO84" s="50"/>
      <c r="TXP84" s="51"/>
      <c r="TXQ84" s="50"/>
      <c r="TXR84" s="23"/>
      <c r="TXS84" s="50"/>
      <c r="TXT84" s="51"/>
      <c r="TXU84" s="50"/>
      <c r="TXV84" s="23"/>
      <c r="TXW84" s="50"/>
      <c r="TXX84" s="51"/>
      <c r="TXY84" s="50"/>
      <c r="TXZ84" s="23"/>
      <c r="TYA84" s="50"/>
      <c r="TYB84" s="51"/>
      <c r="TYC84" s="50"/>
      <c r="TYD84" s="23"/>
      <c r="TYE84" s="50"/>
      <c r="TYF84" s="51"/>
      <c r="TYG84" s="50"/>
      <c r="TYH84" s="23"/>
      <c r="TYI84" s="50"/>
      <c r="TYJ84" s="51"/>
      <c r="TYK84" s="50"/>
      <c r="TYL84" s="23"/>
      <c r="TYM84" s="50"/>
      <c r="TYN84" s="51"/>
      <c r="TYO84" s="50"/>
      <c r="TYP84" s="23"/>
      <c r="TYQ84" s="50"/>
      <c r="TYR84" s="51"/>
      <c r="TYS84" s="50"/>
      <c r="TYT84" s="23"/>
      <c r="TYU84" s="50"/>
      <c r="TYV84" s="51"/>
      <c r="TYW84" s="50"/>
      <c r="TYX84" s="23"/>
      <c r="TYY84" s="50"/>
      <c r="TYZ84" s="51"/>
      <c r="TZA84" s="50"/>
      <c r="TZB84" s="23"/>
      <c r="TZC84" s="50"/>
      <c r="TZD84" s="51"/>
      <c r="TZE84" s="50"/>
      <c r="TZF84" s="23"/>
      <c r="TZG84" s="50"/>
      <c r="TZH84" s="51"/>
      <c r="TZI84" s="50"/>
      <c r="TZJ84" s="23"/>
      <c r="TZK84" s="50"/>
      <c r="TZL84" s="51"/>
      <c r="TZM84" s="50"/>
      <c r="TZN84" s="23"/>
      <c r="TZO84" s="50"/>
      <c r="TZP84" s="51"/>
      <c r="TZQ84" s="50"/>
      <c r="TZR84" s="23"/>
      <c r="TZS84" s="50"/>
      <c r="TZT84" s="51"/>
      <c r="TZU84" s="50"/>
      <c r="TZV84" s="23"/>
      <c r="TZW84" s="50"/>
      <c r="TZX84" s="51"/>
      <c r="TZY84" s="50"/>
      <c r="TZZ84" s="23"/>
      <c r="UAA84" s="50"/>
      <c r="UAB84" s="51"/>
      <c r="UAC84" s="50"/>
      <c r="UAD84" s="23"/>
      <c r="UAE84" s="50"/>
      <c r="UAF84" s="51"/>
      <c r="UAG84" s="50"/>
      <c r="UAH84" s="23"/>
      <c r="UAI84" s="50"/>
      <c r="UAJ84" s="51"/>
      <c r="UAK84" s="50"/>
      <c r="UAL84" s="23"/>
      <c r="UAM84" s="50"/>
      <c r="UAN84" s="51"/>
      <c r="UAO84" s="50"/>
      <c r="UAP84" s="23"/>
      <c r="UAQ84" s="50"/>
      <c r="UAR84" s="51"/>
      <c r="UAS84" s="50"/>
      <c r="UAT84" s="23"/>
      <c r="UAU84" s="50"/>
      <c r="UAV84" s="51"/>
      <c r="UAW84" s="50"/>
      <c r="UAX84" s="23"/>
      <c r="UAY84" s="50"/>
      <c r="UAZ84" s="51"/>
      <c r="UBA84" s="50"/>
      <c r="UBB84" s="23"/>
      <c r="UBC84" s="50"/>
      <c r="UBD84" s="51"/>
      <c r="UBE84" s="50"/>
      <c r="UBF84" s="23"/>
      <c r="UBG84" s="50"/>
      <c r="UBH84" s="51"/>
      <c r="UBI84" s="50"/>
      <c r="UBJ84" s="23"/>
      <c r="UBK84" s="50"/>
      <c r="UBL84" s="51"/>
      <c r="UBM84" s="50"/>
      <c r="UBN84" s="23"/>
      <c r="UBO84" s="50"/>
      <c r="UBP84" s="51"/>
      <c r="UBQ84" s="50"/>
      <c r="UBR84" s="23"/>
      <c r="UBS84" s="50"/>
      <c r="UBT84" s="51"/>
      <c r="UBU84" s="50"/>
      <c r="UBV84" s="23"/>
      <c r="UBW84" s="50"/>
      <c r="UBX84" s="51"/>
      <c r="UBY84" s="50"/>
      <c r="UBZ84" s="23"/>
      <c r="UCA84" s="50"/>
      <c r="UCB84" s="51"/>
      <c r="UCC84" s="50"/>
      <c r="UCD84" s="23"/>
      <c r="UCE84" s="50"/>
      <c r="UCF84" s="51"/>
      <c r="UCG84" s="50"/>
      <c r="UCH84" s="23"/>
      <c r="UCI84" s="50"/>
      <c r="UCJ84" s="51"/>
      <c r="UCK84" s="50"/>
      <c r="UCL84" s="23"/>
      <c r="UCM84" s="50"/>
      <c r="UCN84" s="51"/>
      <c r="UCO84" s="50"/>
      <c r="UCP84" s="23"/>
      <c r="UCQ84" s="50"/>
      <c r="UCR84" s="51"/>
      <c r="UCS84" s="50"/>
      <c r="UCT84" s="23"/>
      <c r="UCU84" s="50"/>
      <c r="UCV84" s="51"/>
      <c r="UCW84" s="50"/>
      <c r="UCX84" s="23"/>
      <c r="UCY84" s="50"/>
      <c r="UCZ84" s="51"/>
      <c r="UDA84" s="50"/>
      <c r="UDB84" s="23"/>
      <c r="UDC84" s="50"/>
      <c r="UDD84" s="51"/>
      <c r="UDE84" s="50"/>
      <c r="UDF84" s="23"/>
      <c r="UDG84" s="50"/>
      <c r="UDH84" s="51"/>
      <c r="UDI84" s="50"/>
      <c r="UDJ84" s="23"/>
      <c r="UDK84" s="50"/>
      <c r="UDL84" s="51"/>
      <c r="UDM84" s="50"/>
      <c r="UDN84" s="23"/>
      <c r="UDO84" s="50"/>
      <c r="UDP84" s="51"/>
      <c r="UDQ84" s="50"/>
      <c r="UDR84" s="23"/>
      <c r="UDS84" s="50"/>
      <c r="UDT84" s="51"/>
      <c r="UDU84" s="50"/>
      <c r="UDV84" s="23"/>
      <c r="UDW84" s="50"/>
      <c r="UDX84" s="51"/>
      <c r="UDY84" s="50"/>
      <c r="UDZ84" s="23"/>
      <c r="UEA84" s="50"/>
      <c r="UEB84" s="51"/>
      <c r="UEC84" s="50"/>
      <c r="UED84" s="23"/>
      <c r="UEE84" s="50"/>
      <c r="UEF84" s="51"/>
      <c r="UEG84" s="50"/>
      <c r="UEH84" s="23"/>
      <c r="UEI84" s="50"/>
      <c r="UEJ84" s="51"/>
      <c r="UEK84" s="50"/>
      <c r="UEL84" s="23"/>
      <c r="UEM84" s="50"/>
      <c r="UEN84" s="51"/>
      <c r="UEO84" s="50"/>
      <c r="UEP84" s="23"/>
      <c r="UEQ84" s="50"/>
      <c r="UER84" s="51"/>
      <c r="UES84" s="50"/>
      <c r="UET84" s="23"/>
      <c r="UEU84" s="50"/>
      <c r="UEV84" s="51"/>
      <c r="UEW84" s="50"/>
      <c r="UEX84" s="23"/>
      <c r="UEY84" s="50"/>
      <c r="UEZ84" s="51"/>
      <c r="UFA84" s="50"/>
      <c r="UFB84" s="23"/>
      <c r="UFC84" s="50"/>
      <c r="UFD84" s="51"/>
      <c r="UFE84" s="50"/>
      <c r="UFF84" s="23"/>
      <c r="UFG84" s="50"/>
      <c r="UFH84" s="51"/>
      <c r="UFI84" s="50"/>
      <c r="UFJ84" s="23"/>
      <c r="UFK84" s="50"/>
      <c r="UFL84" s="51"/>
      <c r="UFM84" s="50"/>
      <c r="UFN84" s="23"/>
      <c r="UFO84" s="50"/>
      <c r="UFP84" s="51"/>
      <c r="UFQ84" s="50"/>
      <c r="UFR84" s="23"/>
      <c r="UFS84" s="50"/>
      <c r="UFT84" s="51"/>
      <c r="UFU84" s="50"/>
      <c r="UFV84" s="23"/>
      <c r="UFW84" s="50"/>
      <c r="UFX84" s="51"/>
      <c r="UFY84" s="50"/>
      <c r="UFZ84" s="23"/>
      <c r="UGA84" s="50"/>
      <c r="UGB84" s="51"/>
      <c r="UGC84" s="50"/>
      <c r="UGD84" s="23"/>
      <c r="UGE84" s="50"/>
      <c r="UGF84" s="51"/>
      <c r="UGG84" s="50"/>
      <c r="UGH84" s="23"/>
      <c r="UGI84" s="50"/>
      <c r="UGJ84" s="51"/>
      <c r="UGK84" s="50"/>
      <c r="UGL84" s="23"/>
      <c r="UGM84" s="50"/>
      <c r="UGN84" s="51"/>
      <c r="UGO84" s="50"/>
      <c r="UGP84" s="23"/>
      <c r="UGQ84" s="50"/>
      <c r="UGR84" s="51"/>
      <c r="UGS84" s="50"/>
      <c r="UGT84" s="23"/>
      <c r="UGU84" s="50"/>
      <c r="UGV84" s="51"/>
      <c r="UGW84" s="50"/>
      <c r="UGX84" s="23"/>
      <c r="UGY84" s="50"/>
      <c r="UGZ84" s="51"/>
      <c r="UHA84" s="50"/>
      <c r="UHB84" s="23"/>
      <c r="UHC84" s="50"/>
      <c r="UHD84" s="51"/>
      <c r="UHE84" s="50"/>
      <c r="UHF84" s="23"/>
      <c r="UHG84" s="50"/>
      <c r="UHH84" s="51"/>
      <c r="UHI84" s="50"/>
      <c r="UHJ84" s="23"/>
      <c r="UHK84" s="50"/>
      <c r="UHL84" s="51"/>
      <c r="UHM84" s="50"/>
      <c r="UHN84" s="23"/>
      <c r="UHO84" s="50"/>
      <c r="UHP84" s="51"/>
      <c r="UHQ84" s="50"/>
      <c r="UHR84" s="23"/>
      <c r="UHS84" s="50"/>
      <c r="UHT84" s="51"/>
      <c r="UHU84" s="50"/>
      <c r="UHV84" s="23"/>
      <c r="UHW84" s="50"/>
      <c r="UHX84" s="51"/>
      <c r="UHY84" s="50"/>
      <c r="UHZ84" s="23"/>
      <c r="UIA84" s="50"/>
      <c r="UIB84" s="51"/>
      <c r="UIC84" s="50"/>
      <c r="UID84" s="23"/>
      <c r="UIE84" s="50"/>
      <c r="UIF84" s="51"/>
      <c r="UIG84" s="50"/>
      <c r="UIH84" s="23"/>
      <c r="UII84" s="50"/>
      <c r="UIJ84" s="51"/>
      <c r="UIK84" s="50"/>
      <c r="UIL84" s="23"/>
      <c r="UIM84" s="50"/>
      <c r="UIN84" s="51"/>
      <c r="UIO84" s="50"/>
      <c r="UIP84" s="23"/>
      <c r="UIQ84" s="50"/>
      <c r="UIR84" s="51"/>
      <c r="UIS84" s="50"/>
      <c r="UIT84" s="23"/>
      <c r="UIU84" s="50"/>
      <c r="UIV84" s="51"/>
      <c r="UIW84" s="50"/>
      <c r="UIX84" s="23"/>
      <c r="UIY84" s="50"/>
      <c r="UIZ84" s="51"/>
      <c r="UJA84" s="50"/>
      <c r="UJB84" s="23"/>
      <c r="UJC84" s="50"/>
      <c r="UJD84" s="51"/>
      <c r="UJE84" s="50"/>
      <c r="UJF84" s="23"/>
      <c r="UJG84" s="50"/>
      <c r="UJH84" s="51"/>
      <c r="UJI84" s="50"/>
      <c r="UJJ84" s="23"/>
      <c r="UJK84" s="50"/>
      <c r="UJL84" s="51"/>
      <c r="UJM84" s="50"/>
      <c r="UJN84" s="23"/>
      <c r="UJO84" s="50"/>
      <c r="UJP84" s="51"/>
      <c r="UJQ84" s="50"/>
      <c r="UJR84" s="23"/>
      <c r="UJS84" s="50"/>
      <c r="UJT84" s="51"/>
      <c r="UJU84" s="50"/>
      <c r="UJV84" s="23"/>
      <c r="UJW84" s="50"/>
      <c r="UJX84" s="51"/>
      <c r="UJY84" s="50"/>
      <c r="UJZ84" s="23"/>
      <c r="UKA84" s="50"/>
      <c r="UKB84" s="51"/>
      <c r="UKC84" s="50"/>
      <c r="UKD84" s="23"/>
      <c r="UKE84" s="50"/>
      <c r="UKF84" s="51"/>
      <c r="UKG84" s="50"/>
      <c r="UKH84" s="23"/>
      <c r="UKI84" s="50"/>
      <c r="UKJ84" s="51"/>
      <c r="UKK84" s="50"/>
      <c r="UKL84" s="23"/>
      <c r="UKM84" s="50"/>
      <c r="UKN84" s="51"/>
      <c r="UKO84" s="50"/>
      <c r="UKP84" s="23"/>
      <c r="UKQ84" s="50"/>
      <c r="UKR84" s="51"/>
      <c r="UKS84" s="50"/>
      <c r="UKT84" s="23"/>
      <c r="UKU84" s="50"/>
      <c r="UKV84" s="51"/>
      <c r="UKW84" s="50"/>
      <c r="UKX84" s="23"/>
      <c r="UKY84" s="50"/>
      <c r="UKZ84" s="51"/>
      <c r="ULA84" s="50"/>
      <c r="ULB84" s="23"/>
      <c r="ULC84" s="50"/>
      <c r="ULD84" s="51"/>
      <c r="ULE84" s="50"/>
      <c r="ULF84" s="23"/>
      <c r="ULG84" s="50"/>
      <c r="ULH84" s="51"/>
      <c r="ULI84" s="50"/>
      <c r="ULJ84" s="23"/>
      <c r="ULK84" s="50"/>
      <c r="ULL84" s="51"/>
      <c r="ULM84" s="50"/>
      <c r="ULN84" s="23"/>
      <c r="ULO84" s="50"/>
      <c r="ULP84" s="51"/>
      <c r="ULQ84" s="50"/>
      <c r="ULR84" s="23"/>
      <c r="ULS84" s="50"/>
      <c r="ULT84" s="51"/>
      <c r="ULU84" s="50"/>
      <c r="ULV84" s="23"/>
      <c r="ULW84" s="50"/>
      <c r="ULX84" s="51"/>
      <c r="ULY84" s="50"/>
      <c r="ULZ84" s="23"/>
      <c r="UMA84" s="50"/>
      <c r="UMB84" s="51"/>
      <c r="UMC84" s="50"/>
      <c r="UMD84" s="23"/>
      <c r="UME84" s="50"/>
      <c r="UMF84" s="51"/>
      <c r="UMG84" s="50"/>
      <c r="UMH84" s="23"/>
      <c r="UMI84" s="50"/>
      <c r="UMJ84" s="51"/>
      <c r="UMK84" s="50"/>
      <c r="UML84" s="23"/>
      <c r="UMM84" s="50"/>
      <c r="UMN84" s="51"/>
      <c r="UMO84" s="50"/>
      <c r="UMP84" s="23"/>
      <c r="UMQ84" s="50"/>
      <c r="UMR84" s="51"/>
      <c r="UMS84" s="50"/>
      <c r="UMT84" s="23"/>
      <c r="UMU84" s="50"/>
      <c r="UMV84" s="51"/>
      <c r="UMW84" s="50"/>
      <c r="UMX84" s="23"/>
      <c r="UMY84" s="50"/>
      <c r="UMZ84" s="51"/>
      <c r="UNA84" s="50"/>
      <c r="UNB84" s="23"/>
      <c r="UNC84" s="50"/>
      <c r="UND84" s="51"/>
      <c r="UNE84" s="50"/>
      <c r="UNF84" s="23"/>
      <c r="UNG84" s="50"/>
      <c r="UNH84" s="51"/>
      <c r="UNI84" s="50"/>
      <c r="UNJ84" s="23"/>
      <c r="UNK84" s="50"/>
      <c r="UNL84" s="51"/>
      <c r="UNM84" s="50"/>
      <c r="UNN84" s="23"/>
      <c r="UNO84" s="50"/>
      <c r="UNP84" s="51"/>
      <c r="UNQ84" s="50"/>
      <c r="UNR84" s="23"/>
      <c r="UNS84" s="50"/>
      <c r="UNT84" s="51"/>
      <c r="UNU84" s="50"/>
      <c r="UNV84" s="23"/>
      <c r="UNW84" s="50"/>
      <c r="UNX84" s="51"/>
      <c r="UNY84" s="50"/>
      <c r="UNZ84" s="23"/>
      <c r="UOA84" s="50"/>
      <c r="UOB84" s="51"/>
      <c r="UOC84" s="50"/>
      <c r="UOD84" s="23"/>
      <c r="UOE84" s="50"/>
      <c r="UOF84" s="51"/>
      <c r="UOG84" s="50"/>
      <c r="UOH84" s="23"/>
      <c r="UOI84" s="50"/>
      <c r="UOJ84" s="51"/>
      <c r="UOK84" s="50"/>
      <c r="UOL84" s="23"/>
      <c r="UOM84" s="50"/>
      <c r="UON84" s="51"/>
      <c r="UOO84" s="50"/>
      <c r="UOP84" s="23"/>
      <c r="UOQ84" s="50"/>
      <c r="UOR84" s="51"/>
      <c r="UOS84" s="50"/>
      <c r="UOT84" s="23"/>
      <c r="UOU84" s="50"/>
      <c r="UOV84" s="51"/>
      <c r="UOW84" s="50"/>
      <c r="UOX84" s="23"/>
      <c r="UOY84" s="50"/>
      <c r="UOZ84" s="51"/>
      <c r="UPA84" s="50"/>
      <c r="UPB84" s="23"/>
      <c r="UPC84" s="50"/>
      <c r="UPD84" s="51"/>
      <c r="UPE84" s="50"/>
      <c r="UPF84" s="23"/>
      <c r="UPG84" s="50"/>
      <c r="UPH84" s="51"/>
      <c r="UPI84" s="50"/>
      <c r="UPJ84" s="23"/>
      <c r="UPK84" s="50"/>
      <c r="UPL84" s="51"/>
      <c r="UPM84" s="50"/>
      <c r="UPN84" s="23"/>
      <c r="UPO84" s="50"/>
      <c r="UPP84" s="51"/>
      <c r="UPQ84" s="50"/>
      <c r="UPR84" s="23"/>
      <c r="UPS84" s="50"/>
      <c r="UPT84" s="51"/>
      <c r="UPU84" s="50"/>
      <c r="UPV84" s="23"/>
      <c r="UPW84" s="50"/>
      <c r="UPX84" s="51"/>
      <c r="UPY84" s="50"/>
      <c r="UPZ84" s="23"/>
      <c r="UQA84" s="50"/>
      <c r="UQB84" s="51"/>
      <c r="UQC84" s="50"/>
      <c r="UQD84" s="23"/>
      <c r="UQE84" s="50"/>
      <c r="UQF84" s="51"/>
      <c r="UQG84" s="50"/>
      <c r="UQH84" s="23"/>
      <c r="UQI84" s="50"/>
      <c r="UQJ84" s="51"/>
      <c r="UQK84" s="50"/>
      <c r="UQL84" s="23"/>
      <c r="UQM84" s="50"/>
      <c r="UQN84" s="51"/>
      <c r="UQO84" s="50"/>
      <c r="UQP84" s="23"/>
      <c r="UQQ84" s="50"/>
      <c r="UQR84" s="51"/>
      <c r="UQS84" s="50"/>
      <c r="UQT84" s="23"/>
      <c r="UQU84" s="50"/>
      <c r="UQV84" s="51"/>
      <c r="UQW84" s="50"/>
      <c r="UQX84" s="23"/>
      <c r="UQY84" s="50"/>
      <c r="UQZ84" s="51"/>
      <c r="URA84" s="50"/>
      <c r="URB84" s="23"/>
      <c r="URC84" s="50"/>
      <c r="URD84" s="51"/>
      <c r="URE84" s="50"/>
      <c r="URF84" s="23"/>
      <c r="URG84" s="50"/>
      <c r="URH84" s="51"/>
      <c r="URI84" s="50"/>
      <c r="URJ84" s="23"/>
      <c r="URK84" s="50"/>
      <c r="URL84" s="51"/>
      <c r="URM84" s="50"/>
      <c r="URN84" s="23"/>
      <c r="URO84" s="50"/>
      <c r="URP84" s="51"/>
      <c r="URQ84" s="50"/>
      <c r="URR84" s="23"/>
      <c r="URS84" s="50"/>
      <c r="URT84" s="51"/>
      <c r="URU84" s="50"/>
      <c r="URV84" s="23"/>
      <c r="URW84" s="50"/>
      <c r="URX84" s="51"/>
      <c r="URY84" s="50"/>
      <c r="URZ84" s="23"/>
      <c r="USA84" s="50"/>
      <c r="USB84" s="51"/>
      <c r="USC84" s="50"/>
      <c r="USD84" s="23"/>
      <c r="USE84" s="50"/>
      <c r="USF84" s="51"/>
      <c r="USG84" s="50"/>
      <c r="USH84" s="23"/>
      <c r="USI84" s="50"/>
      <c r="USJ84" s="51"/>
      <c r="USK84" s="50"/>
      <c r="USL84" s="23"/>
      <c r="USM84" s="50"/>
      <c r="USN84" s="51"/>
      <c r="USO84" s="50"/>
      <c r="USP84" s="23"/>
      <c r="USQ84" s="50"/>
      <c r="USR84" s="51"/>
      <c r="USS84" s="50"/>
      <c r="UST84" s="23"/>
      <c r="USU84" s="50"/>
      <c r="USV84" s="51"/>
      <c r="USW84" s="50"/>
      <c r="USX84" s="23"/>
      <c r="USY84" s="50"/>
      <c r="USZ84" s="51"/>
      <c r="UTA84" s="50"/>
      <c r="UTB84" s="23"/>
      <c r="UTC84" s="50"/>
      <c r="UTD84" s="51"/>
      <c r="UTE84" s="50"/>
      <c r="UTF84" s="23"/>
      <c r="UTG84" s="50"/>
      <c r="UTH84" s="51"/>
      <c r="UTI84" s="50"/>
      <c r="UTJ84" s="23"/>
      <c r="UTK84" s="50"/>
      <c r="UTL84" s="51"/>
      <c r="UTM84" s="50"/>
      <c r="UTN84" s="23"/>
      <c r="UTO84" s="50"/>
      <c r="UTP84" s="51"/>
      <c r="UTQ84" s="50"/>
      <c r="UTR84" s="23"/>
      <c r="UTS84" s="50"/>
      <c r="UTT84" s="51"/>
      <c r="UTU84" s="50"/>
      <c r="UTV84" s="23"/>
      <c r="UTW84" s="50"/>
      <c r="UTX84" s="51"/>
      <c r="UTY84" s="50"/>
      <c r="UTZ84" s="23"/>
      <c r="UUA84" s="50"/>
      <c r="UUB84" s="51"/>
      <c r="UUC84" s="50"/>
      <c r="UUD84" s="23"/>
      <c r="UUE84" s="50"/>
      <c r="UUF84" s="51"/>
      <c r="UUG84" s="50"/>
      <c r="UUH84" s="23"/>
      <c r="UUI84" s="50"/>
      <c r="UUJ84" s="51"/>
      <c r="UUK84" s="50"/>
      <c r="UUL84" s="23"/>
      <c r="UUM84" s="50"/>
      <c r="UUN84" s="51"/>
      <c r="UUO84" s="50"/>
      <c r="UUP84" s="23"/>
      <c r="UUQ84" s="50"/>
      <c r="UUR84" s="51"/>
      <c r="UUS84" s="50"/>
      <c r="UUT84" s="23"/>
      <c r="UUU84" s="50"/>
      <c r="UUV84" s="51"/>
      <c r="UUW84" s="50"/>
      <c r="UUX84" s="23"/>
      <c r="UUY84" s="50"/>
      <c r="UUZ84" s="51"/>
      <c r="UVA84" s="50"/>
      <c r="UVB84" s="23"/>
      <c r="UVC84" s="50"/>
      <c r="UVD84" s="51"/>
      <c r="UVE84" s="50"/>
      <c r="UVF84" s="23"/>
      <c r="UVG84" s="50"/>
      <c r="UVH84" s="51"/>
      <c r="UVI84" s="50"/>
      <c r="UVJ84" s="23"/>
      <c r="UVK84" s="50"/>
      <c r="UVL84" s="51"/>
      <c r="UVM84" s="50"/>
      <c r="UVN84" s="23"/>
      <c r="UVO84" s="50"/>
      <c r="UVP84" s="51"/>
      <c r="UVQ84" s="50"/>
      <c r="UVR84" s="23"/>
      <c r="UVS84" s="50"/>
      <c r="UVT84" s="51"/>
      <c r="UVU84" s="50"/>
      <c r="UVV84" s="23"/>
      <c r="UVW84" s="50"/>
      <c r="UVX84" s="51"/>
      <c r="UVY84" s="50"/>
      <c r="UVZ84" s="23"/>
      <c r="UWA84" s="50"/>
      <c r="UWB84" s="51"/>
      <c r="UWC84" s="50"/>
      <c r="UWD84" s="23"/>
      <c r="UWE84" s="50"/>
      <c r="UWF84" s="51"/>
      <c r="UWG84" s="50"/>
      <c r="UWH84" s="23"/>
      <c r="UWI84" s="50"/>
      <c r="UWJ84" s="51"/>
      <c r="UWK84" s="50"/>
      <c r="UWL84" s="23"/>
      <c r="UWM84" s="50"/>
      <c r="UWN84" s="51"/>
      <c r="UWO84" s="50"/>
      <c r="UWP84" s="23"/>
      <c r="UWQ84" s="50"/>
      <c r="UWR84" s="51"/>
      <c r="UWS84" s="50"/>
      <c r="UWT84" s="23"/>
      <c r="UWU84" s="50"/>
      <c r="UWV84" s="51"/>
      <c r="UWW84" s="50"/>
      <c r="UWX84" s="23"/>
      <c r="UWY84" s="50"/>
      <c r="UWZ84" s="51"/>
      <c r="UXA84" s="50"/>
      <c r="UXB84" s="23"/>
      <c r="UXC84" s="50"/>
      <c r="UXD84" s="51"/>
      <c r="UXE84" s="50"/>
      <c r="UXF84" s="23"/>
      <c r="UXG84" s="50"/>
      <c r="UXH84" s="51"/>
      <c r="UXI84" s="50"/>
      <c r="UXJ84" s="23"/>
      <c r="UXK84" s="50"/>
      <c r="UXL84" s="51"/>
      <c r="UXM84" s="50"/>
      <c r="UXN84" s="23"/>
      <c r="UXO84" s="50"/>
      <c r="UXP84" s="51"/>
      <c r="UXQ84" s="50"/>
      <c r="UXR84" s="23"/>
      <c r="UXS84" s="50"/>
      <c r="UXT84" s="51"/>
      <c r="UXU84" s="50"/>
      <c r="UXV84" s="23"/>
      <c r="UXW84" s="50"/>
      <c r="UXX84" s="51"/>
      <c r="UXY84" s="50"/>
      <c r="UXZ84" s="23"/>
      <c r="UYA84" s="50"/>
      <c r="UYB84" s="51"/>
      <c r="UYC84" s="50"/>
      <c r="UYD84" s="23"/>
      <c r="UYE84" s="50"/>
      <c r="UYF84" s="51"/>
      <c r="UYG84" s="50"/>
      <c r="UYH84" s="23"/>
      <c r="UYI84" s="50"/>
      <c r="UYJ84" s="51"/>
      <c r="UYK84" s="50"/>
      <c r="UYL84" s="23"/>
      <c r="UYM84" s="50"/>
      <c r="UYN84" s="51"/>
      <c r="UYO84" s="50"/>
      <c r="UYP84" s="23"/>
      <c r="UYQ84" s="50"/>
      <c r="UYR84" s="51"/>
      <c r="UYS84" s="50"/>
      <c r="UYT84" s="23"/>
      <c r="UYU84" s="50"/>
      <c r="UYV84" s="51"/>
      <c r="UYW84" s="50"/>
      <c r="UYX84" s="23"/>
      <c r="UYY84" s="50"/>
      <c r="UYZ84" s="51"/>
      <c r="UZA84" s="50"/>
      <c r="UZB84" s="23"/>
      <c r="UZC84" s="50"/>
      <c r="UZD84" s="51"/>
      <c r="UZE84" s="50"/>
      <c r="UZF84" s="23"/>
      <c r="UZG84" s="50"/>
      <c r="UZH84" s="51"/>
      <c r="UZI84" s="50"/>
      <c r="UZJ84" s="23"/>
      <c r="UZK84" s="50"/>
      <c r="UZL84" s="51"/>
      <c r="UZM84" s="50"/>
      <c r="UZN84" s="23"/>
      <c r="UZO84" s="50"/>
      <c r="UZP84" s="51"/>
      <c r="UZQ84" s="50"/>
      <c r="UZR84" s="23"/>
      <c r="UZS84" s="50"/>
      <c r="UZT84" s="51"/>
      <c r="UZU84" s="50"/>
      <c r="UZV84" s="23"/>
      <c r="UZW84" s="50"/>
      <c r="UZX84" s="51"/>
      <c r="UZY84" s="50"/>
      <c r="UZZ84" s="23"/>
      <c r="VAA84" s="50"/>
      <c r="VAB84" s="51"/>
      <c r="VAC84" s="50"/>
      <c r="VAD84" s="23"/>
      <c r="VAE84" s="50"/>
      <c r="VAF84" s="51"/>
      <c r="VAG84" s="50"/>
      <c r="VAH84" s="23"/>
      <c r="VAI84" s="50"/>
      <c r="VAJ84" s="51"/>
      <c r="VAK84" s="50"/>
      <c r="VAL84" s="23"/>
      <c r="VAM84" s="50"/>
      <c r="VAN84" s="51"/>
      <c r="VAO84" s="50"/>
      <c r="VAP84" s="23"/>
      <c r="VAQ84" s="50"/>
      <c r="VAR84" s="51"/>
      <c r="VAS84" s="50"/>
      <c r="VAT84" s="23"/>
      <c r="VAU84" s="50"/>
      <c r="VAV84" s="51"/>
      <c r="VAW84" s="50"/>
      <c r="VAX84" s="23"/>
      <c r="VAY84" s="50"/>
      <c r="VAZ84" s="51"/>
      <c r="VBA84" s="50"/>
      <c r="VBB84" s="23"/>
      <c r="VBC84" s="50"/>
      <c r="VBD84" s="51"/>
      <c r="VBE84" s="50"/>
      <c r="VBF84" s="23"/>
      <c r="VBG84" s="50"/>
      <c r="VBH84" s="51"/>
      <c r="VBI84" s="50"/>
      <c r="VBJ84" s="23"/>
      <c r="VBK84" s="50"/>
      <c r="VBL84" s="51"/>
      <c r="VBM84" s="50"/>
      <c r="VBN84" s="23"/>
      <c r="VBO84" s="50"/>
      <c r="VBP84" s="51"/>
      <c r="VBQ84" s="50"/>
      <c r="VBR84" s="23"/>
      <c r="VBS84" s="50"/>
      <c r="VBT84" s="51"/>
      <c r="VBU84" s="50"/>
      <c r="VBV84" s="23"/>
      <c r="VBW84" s="50"/>
      <c r="VBX84" s="51"/>
      <c r="VBY84" s="50"/>
      <c r="VBZ84" s="23"/>
      <c r="VCA84" s="50"/>
      <c r="VCB84" s="51"/>
      <c r="VCC84" s="50"/>
      <c r="VCD84" s="23"/>
      <c r="VCE84" s="50"/>
      <c r="VCF84" s="51"/>
      <c r="VCG84" s="50"/>
      <c r="VCH84" s="23"/>
      <c r="VCI84" s="50"/>
      <c r="VCJ84" s="51"/>
      <c r="VCK84" s="50"/>
      <c r="VCL84" s="23"/>
      <c r="VCM84" s="50"/>
      <c r="VCN84" s="51"/>
      <c r="VCO84" s="50"/>
      <c r="VCP84" s="23"/>
      <c r="VCQ84" s="50"/>
      <c r="VCR84" s="51"/>
      <c r="VCS84" s="50"/>
      <c r="VCT84" s="23"/>
      <c r="VCU84" s="50"/>
      <c r="VCV84" s="51"/>
      <c r="VCW84" s="50"/>
      <c r="VCX84" s="23"/>
      <c r="VCY84" s="50"/>
      <c r="VCZ84" s="51"/>
      <c r="VDA84" s="50"/>
      <c r="VDB84" s="23"/>
      <c r="VDC84" s="50"/>
      <c r="VDD84" s="51"/>
      <c r="VDE84" s="50"/>
      <c r="VDF84" s="23"/>
      <c r="VDG84" s="50"/>
      <c r="VDH84" s="51"/>
      <c r="VDI84" s="50"/>
      <c r="VDJ84" s="23"/>
      <c r="VDK84" s="50"/>
      <c r="VDL84" s="51"/>
      <c r="VDM84" s="50"/>
      <c r="VDN84" s="23"/>
      <c r="VDO84" s="50"/>
      <c r="VDP84" s="51"/>
      <c r="VDQ84" s="50"/>
      <c r="VDR84" s="23"/>
      <c r="VDS84" s="50"/>
      <c r="VDT84" s="51"/>
      <c r="VDU84" s="50"/>
      <c r="VDV84" s="23"/>
      <c r="VDW84" s="50"/>
      <c r="VDX84" s="51"/>
      <c r="VDY84" s="50"/>
      <c r="VDZ84" s="23"/>
      <c r="VEA84" s="50"/>
      <c r="VEB84" s="51"/>
      <c r="VEC84" s="50"/>
      <c r="VED84" s="23"/>
      <c r="VEE84" s="50"/>
      <c r="VEF84" s="51"/>
      <c r="VEG84" s="50"/>
      <c r="VEH84" s="23"/>
      <c r="VEI84" s="50"/>
      <c r="VEJ84" s="51"/>
      <c r="VEK84" s="50"/>
      <c r="VEL84" s="23"/>
      <c r="VEM84" s="50"/>
      <c r="VEN84" s="51"/>
      <c r="VEO84" s="50"/>
      <c r="VEP84" s="23"/>
      <c r="VEQ84" s="50"/>
      <c r="VER84" s="51"/>
      <c r="VES84" s="50"/>
      <c r="VET84" s="23"/>
      <c r="VEU84" s="50"/>
      <c r="VEV84" s="51"/>
      <c r="VEW84" s="50"/>
      <c r="VEX84" s="23"/>
      <c r="VEY84" s="50"/>
      <c r="VEZ84" s="51"/>
      <c r="VFA84" s="50"/>
      <c r="VFB84" s="23"/>
      <c r="VFC84" s="50"/>
      <c r="VFD84" s="51"/>
      <c r="VFE84" s="50"/>
      <c r="VFF84" s="23"/>
      <c r="VFG84" s="50"/>
      <c r="VFH84" s="51"/>
      <c r="VFI84" s="50"/>
      <c r="VFJ84" s="23"/>
      <c r="VFK84" s="50"/>
      <c r="VFL84" s="51"/>
      <c r="VFM84" s="50"/>
      <c r="VFN84" s="23"/>
      <c r="VFO84" s="50"/>
      <c r="VFP84" s="51"/>
      <c r="VFQ84" s="50"/>
      <c r="VFR84" s="23"/>
      <c r="VFS84" s="50"/>
      <c r="VFT84" s="51"/>
      <c r="VFU84" s="50"/>
      <c r="VFV84" s="23"/>
      <c r="VFW84" s="50"/>
      <c r="VFX84" s="51"/>
      <c r="VFY84" s="50"/>
      <c r="VFZ84" s="23"/>
      <c r="VGA84" s="50"/>
      <c r="VGB84" s="51"/>
      <c r="VGC84" s="50"/>
      <c r="VGD84" s="23"/>
      <c r="VGE84" s="50"/>
      <c r="VGF84" s="51"/>
      <c r="VGG84" s="50"/>
      <c r="VGH84" s="23"/>
      <c r="VGI84" s="50"/>
      <c r="VGJ84" s="51"/>
      <c r="VGK84" s="50"/>
      <c r="VGL84" s="23"/>
      <c r="VGM84" s="50"/>
      <c r="VGN84" s="51"/>
      <c r="VGO84" s="50"/>
      <c r="VGP84" s="23"/>
      <c r="VGQ84" s="50"/>
      <c r="VGR84" s="51"/>
      <c r="VGS84" s="50"/>
      <c r="VGT84" s="23"/>
      <c r="VGU84" s="50"/>
      <c r="VGV84" s="51"/>
      <c r="VGW84" s="50"/>
      <c r="VGX84" s="23"/>
      <c r="VGY84" s="50"/>
      <c r="VGZ84" s="51"/>
      <c r="VHA84" s="50"/>
      <c r="VHB84" s="23"/>
      <c r="VHC84" s="50"/>
      <c r="VHD84" s="51"/>
      <c r="VHE84" s="50"/>
      <c r="VHF84" s="23"/>
      <c r="VHG84" s="50"/>
      <c r="VHH84" s="51"/>
      <c r="VHI84" s="50"/>
      <c r="VHJ84" s="23"/>
      <c r="VHK84" s="50"/>
      <c r="VHL84" s="51"/>
      <c r="VHM84" s="50"/>
      <c r="VHN84" s="23"/>
      <c r="VHO84" s="50"/>
      <c r="VHP84" s="51"/>
      <c r="VHQ84" s="50"/>
      <c r="VHR84" s="23"/>
      <c r="VHS84" s="50"/>
      <c r="VHT84" s="51"/>
      <c r="VHU84" s="50"/>
      <c r="VHV84" s="23"/>
      <c r="VHW84" s="50"/>
      <c r="VHX84" s="51"/>
      <c r="VHY84" s="50"/>
      <c r="VHZ84" s="23"/>
      <c r="VIA84" s="50"/>
      <c r="VIB84" s="51"/>
      <c r="VIC84" s="50"/>
      <c r="VID84" s="23"/>
      <c r="VIE84" s="50"/>
      <c r="VIF84" s="51"/>
      <c r="VIG84" s="50"/>
      <c r="VIH84" s="23"/>
      <c r="VII84" s="50"/>
      <c r="VIJ84" s="51"/>
      <c r="VIK84" s="50"/>
      <c r="VIL84" s="23"/>
      <c r="VIM84" s="50"/>
      <c r="VIN84" s="51"/>
      <c r="VIO84" s="50"/>
      <c r="VIP84" s="23"/>
      <c r="VIQ84" s="50"/>
      <c r="VIR84" s="51"/>
      <c r="VIS84" s="50"/>
      <c r="VIT84" s="23"/>
      <c r="VIU84" s="50"/>
      <c r="VIV84" s="51"/>
      <c r="VIW84" s="50"/>
      <c r="VIX84" s="23"/>
      <c r="VIY84" s="50"/>
      <c r="VIZ84" s="51"/>
      <c r="VJA84" s="50"/>
      <c r="VJB84" s="23"/>
      <c r="VJC84" s="50"/>
      <c r="VJD84" s="51"/>
      <c r="VJE84" s="50"/>
      <c r="VJF84" s="23"/>
      <c r="VJG84" s="50"/>
      <c r="VJH84" s="51"/>
      <c r="VJI84" s="50"/>
      <c r="VJJ84" s="23"/>
      <c r="VJK84" s="50"/>
      <c r="VJL84" s="51"/>
      <c r="VJM84" s="50"/>
      <c r="VJN84" s="23"/>
      <c r="VJO84" s="50"/>
      <c r="VJP84" s="51"/>
      <c r="VJQ84" s="50"/>
      <c r="VJR84" s="23"/>
      <c r="VJS84" s="50"/>
      <c r="VJT84" s="51"/>
      <c r="VJU84" s="50"/>
      <c r="VJV84" s="23"/>
      <c r="VJW84" s="50"/>
      <c r="VJX84" s="51"/>
      <c r="VJY84" s="50"/>
      <c r="VJZ84" s="23"/>
      <c r="VKA84" s="50"/>
      <c r="VKB84" s="51"/>
      <c r="VKC84" s="50"/>
      <c r="VKD84" s="23"/>
      <c r="VKE84" s="50"/>
      <c r="VKF84" s="51"/>
      <c r="VKG84" s="50"/>
      <c r="VKH84" s="23"/>
      <c r="VKI84" s="50"/>
      <c r="VKJ84" s="51"/>
      <c r="VKK84" s="50"/>
      <c r="VKL84" s="23"/>
      <c r="VKM84" s="50"/>
      <c r="VKN84" s="51"/>
      <c r="VKO84" s="50"/>
      <c r="VKP84" s="23"/>
      <c r="VKQ84" s="50"/>
      <c r="VKR84" s="51"/>
      <c r="VKS84" s="50"/>
      <c r="VKT84" s="23"/>
      <c r="VKU84" s="50"/>
      <c r="VKV84" s="51"/>
      <c r="VKW84" s="50"/>
      <c r="VKX84" s="23"/>
      <c r="VKY84" s="50"/>
      <c r="VKZ84" s="51"/>
      <c r="VLA84" s="50"/>
      <c r="VLB84" s="23"/>
      <c r="VLC84" s="50"/>
      <c r="VLD84" s="51"/>
      <c r="VLE84" s="50"/>
      <c r="VLF84" s="23"/>
      <c r="VLG84" s="50"/>
      <c r="VLH84" s="51"/>
      <c r="VLI84" s="50"/>
      <c r="VLJ84" s="23"/>
      <c r="VLK84" s="50"/>
      <c r="VLL84" s="51"/>
      <c r="VLM84" s="50"/>
      <c r="VLN84" s="23"/>
      <c r="VLO84" s="50"/>
      <c r="VLP84" s="51"/>
      <c r="VLQ84" s="50"/>
      <c r="VLR84" s="23"/>
      <c r="VLS84" s="50"/>
      <c r="VLT84" s="51"/>
      <c r="VLU84" s="50"/>
      <c r="VLV84" s="23"/>
      <c r="VLW84" s="50"/>
      <c r="VLX84" s="51"/>
      <c r="VLY84" s="50"/>
      <c r="VLZ84" s="23"/>
      <c r="VMA84" s="50"/>
      <c r="VMB84" s="51"/>
      <c r="VMC84" s="50"/>
      <c r="VMD84" s="23"/>
      <c r="VME84" s="50"/>
      <c r="VMF84" s="51"/>
      <c r="VMG84" s="50"/>
      <c r="VMH84" s="23"/>
      <c r="VMI84" s="50"/>
      <c r="VMJ84" s="51"/>
      <c r="VMK84" s="50"/>
      <c r="VML84" s="23"/>
      <c r="VMM84" s="50"/>
      <c r="VMN84" s="51"/>
      <c r="VMO84" s="50"/>
      <c r="VMP84" s="23"/>
      <c r="VMQ84" s="50"/>
      <c r="VMR84" s="51"/>
      <c r="VMS84" s="50"/>
      <c r="VMT84" s="23"/>
      <c r="VMU84" s="50"/>
      <c r="VMV84" s="51"/>
      <c r="VMW84" s="50"/>
      <c r="VMX84" s="23"/>
      <c r="VMY84" s="50"/>
      <c r="VMZ84" s="51"/>
      <c r="VNA84" s="50"/>
      <c r="VNB84" s="23"/>
      <c r="VNC84" s="50"/>
      <c r="VND84" s="51"/>
      <c r="VNE84" s="50"/>
      <c r="VNF84" s="23"/>
      <c r="VNG84" s="50"/>
      <c r="VNH84" s="51"/>
      <c r="VNI84" s="50"/>
      <c r="VNJ84" s="23"/>
      <c r="VNK84" s="50"/>
      <c r="VNL84" s="51"/>
      <c r="VNM84" s="50"/>
      <c r="VNN84" s="23"/>
      <c r="VNO84" s="50"/>
      <c r="VNP84" s="51"/>
      <c r="VNQ84" s="50"/>
      <c r="VNR84" s="23"/>
      <c r="VNS84" s="50"/>
      <c r="VNT84" s="51"/>
      <c r="VNU84" s="50"/>
      <c r="VNV84" s="23"/>
      <c r="VNW84" s="50"/>
      <c r="VNX84" s="51"/>
      <c r="VNY84" s="50"/>
      <c r="VNZ84" s="23"/>
      <c r="VOA84" s="50"/>
      <c r="VOB84" s="51"/>
      <c r="VOC84" s="50"/>
      <c r="VOD84" s="23"/>
      <c r="VOE84" s="50"/>
      <c r="VOF84" s="51"/>
      <c r="VOG84" s="50"/>
      <c r="VOH84" s="23"/>
      <c r="VOI84" s="50"/>
      <c r="VOJ84" s="51"/>
      <c r="VOK84" s="50"/>
      <c r="VOL84" s="23"/>
      <c r="VOM84" s="50"/>
      <c r="VON84" s="51"/>
      <c r="VOO84" s="50"/>
      <c r="VOP84" s="23"/>
      <c r="VOQ84" s="50"/>
      <c r="VOR84" s="51"/>
      <c r="VOS84" s="50"/>
      <c r="VOT84" s="23"/>
      <c r="VOU84" s="50"/>
      <c r="VOV84" s="51"/>
      <c r="VOW84" s="50"/>
      <c r="VOX84" s="23"/>
      <c r="VOY84" s="50"/>
      <c r="VOZ84" s="51"/>
      <c r="VPA84" s="50"/>
      <c r="VPB84" s="23"/>
      <c r="VPC84" s="50"/>
      <c r="VPD84" s="51"/>
      <c r="VPE84" s="50"/>
      <c r="VPF84" s="23"/>
      <c r="VPG84" s="50"/>
      <c r="VPH84" s="51"/>
      <c r="VPI84" s="50"/>
      <c r="VPJ84" s="23"/>
      <c r="VPK84" s="50"/>
      <c r="VPL84" s="51"/>
      <c r="VPM84" s="50"/>
      <c r="VPN84" s="23"/>
      <c r="VPO84" s="50"/>
      <c r="VPP84" s="51"/>
      <c r="VPQ84" s="50"/>
      <c r="VPR84" s="23"/>
      <c r="VPS84" s="50"/>
      <c r="VPT84" s="51"/>
      <c r="VPU84" s="50"/>
      <c r="VPV84" s="23"/>
      <c r="VPW84" s="50"/>
      <c r="VPX84" s="51"/>
      <c r="VPY84" s="50"/>
      <c r="VPZ84" s="23"/>
      <c r="VQA84" s="50"/>
      <c r="VQB84" s="51"/>
      <c r="VQC84" s="50"/>
      <c r="VQD84" s="23"/>
      <c r="VQE84" s="50"/>
      <c r="VQF84" s="51"/>
      <c r="VQG84" s="50"/>
      <c r="VQH84" s="23"/>
      <c r="VQI84" s="50"/>
      <c r="VQJ84" s="51"/>
      <c r="VQK84" s="50"/>
      <c r="VQL84" s="23"/>
      <c r="VQM84" s="50"/>
      <c r="VQN84" s="51"/>
      <c r="VQO84" s="50"/>
      <c r="VQP84" s="23"/>
      <c r="VQQ84" s="50"/>
      <c r="VQR84" s="51"/>
      <c r="VQS84" s="50"/>
      <c r="VQT84" s="23"/>
      <c r="VQU84" s="50"/>
      <c r="VQV84" s="51"/>
      <c r="VQW84" s="50"/>
      <c r="VQX84" s="23"/>
      <c r="VQY84" s="50"/>
      <c r="VQZ84" s="51"/>
      <c r="VRA84" s="50"/>
      <c r="VRB84" s="23"/>
      <c r="VRC84" s="50"/>
      <c r="VRD84" s="51"/>
      <c r="VRE84" s="50"/>
      <c r="VRF84" s="23"/>
      <c r="VRG84" s="50"/>
      <c r="VRH84" s="51"/>
      <c r="VRI84" s="50"/>
      <c r="VRJ84" s="23"/>
      <c r="VRK84" s="50"/>
      <c r="VRL84" s="51"/>
      <c r="VRM84" s="50"/>
      <c r="VRN84" s="23"/>
      <c r="VRO84" s="50"/>
      <c r="VRP84" s="51"/>
      <c r="VRQ84" s="50"/>
      <c r="VRR84" s="23"/>
      <c r="VRS84" s="50"/>
      <c r="VRT84" s="51"/>
      <c r="VRU84" s="50"/>
      <c r="VRV84" s="23"/>
      <c r="VRW84" s="50"/>
      <c r="VRX84" s="51"/>
      <c r="VRY84" s="50"/>
      <c r="VRZ84" s="23"/>
      <c r="VSA84" s="50"/>
      <c r="VSB84" s="51"/>
      <c r="VSC84" s="50"/>
      <c r="VSD84" s="23"/>
      <c r="VSE84" s="50"/>
      <c r="VSF84" s="51"/>
      <c r="VSG84" s="50"/>
      <c r="VSH84" s="23"/>
      <c r="VSI84" s="50"/>
      <c r="VSJ84" s="51"/>
      <c r="VSK84" s="50"/>
      <c r="VSL84" s="23"/>
      <c r="VSM84" s="50"/>
      <c r="VSN84" s="51"/>
      <c r="VSO84" s="50"/>
      <c r="VSP84" s="23"/>
      <c r="VSQ84" s="50"/>
      <c r="VSR84" s="51"/>
      <c r="VSS84" s="50"/>
      <c r="VST84" s="23"/>
      <c r="VSU84" s="50"/>
      <c r="VSV84" s="51"/>
      <c r="VSW84" s="50"/>
      <c r="VSX84" s="23"/>
      <c r="VSY84" s="50"/>
      <c r="VSZ84" s="51"/>
      <c r="VTA84" s="50"/>
      <c r="VTB84" s="23"/>
      <c r="VTC84" s="50"/>
      <c r="VTD84" s="51"/>
      <c r="VTE84" s="50"/>
      <c r="VTF84" s="23"/>
      <c r="VTG84" s="50"/>
      <c r="VTH84" s="51"/>
      <c r="VTI84" s="50"/>
      <c r="VTJ84" s="23"/>
      <c r="VTK84" s="50"/>
      <c r="VTL84" s="51"/>
      <c r="VTM84" s="50"/>
      <c r="VTN84" s="23"/>
      <c r="VTO84" s="50"/>
      <c r="VTP84" s="51"/>
      <c r="VTQ84" s="50"/>
      <c r="VTR84" s="23"/>
      <c r="VTS84" s="50"/>
      <c r="VTT84" s="51"/>
      <c r="VTU84" s="50"/>
      <c r="VTV84" s="23"/>
      <c r="VTW84" s="50"/>
      <c r="VTX84" s="51"/>
      <c r="VTY84" s="50"/>
      <c r="VTZ84" s="23"/>
      <c r="VUA84" s="50"/>
      <c r="VUB84" s="51"/>
      <c r="VUC84" s="50"/>
      <c r="VUD84" s="23"/>
      <c r="VUE84" s="50"/>
      <c r="VUF84" s="51"/>
      <c r="VUG84" s="50"/>
      <c r="VUH84" s="23"/>
      <c r="VUI84" s="50"/>
      <c r="VUJ84" s="51"/>
      <c r="VUK84" s="50"/>
      <c r="VUL84" s="23"/>
      <c r="VUM84" s="50"/>
      <c r="VUN84" s="51"/>
      <c r="VUO84" s="50"/>
      <c r="VUP84" s="23"/>
      <c r="VUQ84" s="50"/>
      <c r="VUR84" s="51"/>
      <c r="VUS84" s="50"/>
      <c r="VUT84" s="23"/>
      <c r="VUU84" s="50"/>
      <c r="VUV84" s="51"/>
      <c r="VUW84" s="50"/>
      <c r="VUX84" s="23"/>
      <c r="VUY84" s="50"/>
      <c r="VUZ84" s="51"/>
      <c r="VVA84" s="50"/>
      <c r="VVB84" s="23"/>
      <c r="VVC84" s="50"/>
      <c r="VVD84" s="51"/>
      <c r="VVE84" s="50"/>
      <c r="VVF84" s="23"/>
      <c r="VVG84" s="50"/>
      <c r="VVH84" s="51"/>
      <c r="VVI84" s="50"/>
      <c r="VVJ84" s="23"/>
      <c r="VVK84" s="50"/>
      <c r="VVL84" s="51"/>
      <c r="VVM84" s="50"/>
      <c r="VVN84" s="23"/>
      <c r="VVO84" s="50"/>
      <c r="VVP84" s="51"/>
      <c r="VVQ84" s="50"/>
      <c r="VVR84" s="23"/>
      <c r="VVS84" s="50"/>
      <c r="VVT84" s="51"/>
      <c r="VVU84" s="50"/>
      <c r="VVV84" s="23"/>
      <c r="VVW84" s="50"/>
      <c r="VVX84" s="51"/>
      <c r="VVY84" s="50"/>
      <c r="VVZ84" s="23"/>
      <c r="VWA84" s="50"/>
      <c r="VWB84" s="51"/>
      <c r="VWC84" s="50"/>
      <c r="VWD84" s="23"/>
      <c r="VWE84" s="50"/>
      <c r="VWF84" s="51"/>
      <c r="VWG84" s="50"/>
      <c r="VWH84" s="23"/>
      <c r="VWI84" s="50"/>
      <c r="VWJ84" s="51"/>
      <c r="VWK84" s="50"/>
      <c r="VWL84" s="23"/>
      <c r="VWM84" s="50"/>
      <c r="VWN84" s="51"/>
      <c r="VWO84" s="50"/>
      <c r="VWP84" s="23"/>
      <c r="VWQ84" s="50"/>
      <c r="VWR84" s="51"/>
      <c r="VWS84" s="50"/>
      <c r="VWT84" s="23"/>
      <c r="VWU84" s="50"/>
      <c r="VWV84" s="51"/>
      <c r="VWW84" s="50"/>
      <c r="VWX84" s="23"/>
      <c r="VWY84" s="50"/>
      <c r="VWZ84" s="51"/>
      <c r="VXA84" s="50"/>
      <c r="VXB84" s="23"/>
      <c r="VXC84" s="50"/>
      <c r="VXD84" s="51"/>
      <c r="VXE84" s="50"/>
      <c r="VXF84" s="23"/>
      <c r="VXG84" s="50"/>
      <c r="VXH84" s="51"/>
      <c r="VXI84" s="50"/>
      <c r="VXJ84" s="23"/>
      <c r="VXK84" s="50"/>
      <c r="VXL84" s="51"/>
      <c r="VXM84" s="50"/>
      <c r="VXN84" s="23"/>
      <c r="VXO84" s="50"/>
      <c r="VXP84" s="51"/>
      <c r="VXQ84" s="50"/>
      <c r="VXR84" s="23"/>
      <c r="VXS84" s="50"/>
      <c r="VXT84" s="51"/>
      <c r="VXU84" s="50"/>
      <c r="VXV84" s="23"/>
      <c r="VXW84" s="50"/>
      <c r="VXX84" s="51"/>
      <c r="VXY84" s="50"/>
      <c r="VXZ84" s="23"/>
      <c r="VYA84" s="50"/>
      <c r="VYB84" s="51"/>
      <c r="VYC84" s="50"/>
      <c r="VYD84" s="23"/>
      <c r="VYE84" s="50"/>
      <c r="VYF84" s="51"/>
      <c r="VYG84" s="50"/>
      <c r="VYH84" s="23"/>
      <c r="VYI84" s="50"/>
      <c r="VYJ84" s="51"/>
      <c r="VYK84" s="50"/>
      <c r="VYL84" s="23"/>
      <c r="VYM84" s="50"/>
      <c r="VYN84" s="51"/>
      <c r="VYO84" s="50"/>
      <c r="VYP84" s="23"/>
      <c r="VYQ84" s="50"/>
      <c r="VYR84" s="51"/>
      <c r="VYS84" s="50"/>
      <c r="VYT84" s="23"/>
      <c r="VYU84" s="50"/>
      <c r="VYV84" s="51"/>
      <c r="VYW84" s="50"/>
      <c r="VYX84" s="23"/>
      <c r="VYY84" s="50"/>
      <c r="VYZ84" s="51"/>
      <c r="VZA84" s="50"/>
      <c r="VZB84" s="23"/>
      <c r="VZC84" s="50"/>
      <c r="VZD84" s="51"/>
      <c r="VZE84" s="50"/>
      <c r="VZF84" s="23"/>
      <c r="VZG84" s="50"/>
      <c r="VZH84" s="51"/>
      <c r="VZI84" s="50"/>
      <c r="VZJ84" s="23"/>
      <c r="VZK84" s="50"/>
      <c r="VZL84" s="51"/>
      <c r="VZM84" s="50"/>
      <c r="VZN84" s="23"/>
      <c r="VZO84" s="50"/>
      <c r="VZP84" s="51"/>
      <c r="VZQ84" s="50"/>
      <c r="VZR84" s="23"/>
      <c r="VZS84" s="50"/>
      <c r="VZT84" s="51"/>
      <c r="VZU84" s="50"/>
      <c r="VZV84" s="23"/>
      <c r="VZW84" s="50"/>
      <c r="VZX84" s="51"/>
      <c r="VZY84" s="50"/>
      <c r="VZZ84" s="23"/>
      <c r="WAA84" s="50"/>
      <c r="WAB84" s="51"/>
      <c r="WAC84" s="50"/>
      <c r="WAD84" s="23"/>
      <c r="WAE84" s="50"/>
      <c r="WAF84" s="51"/>
      <c r="WAG84" s="50"/>
      <c r="WAH84" s="23"/>
      <c r="WAI84" s="50"/>
      <c r="WAJ84" s="51"/>
      <c r="WAK84" s="50"/>
      <c r="WAL84" s="23"/>
      <c r="WAM84" s="50"/>
      <c r="WAN84" s="51"/>
      <c r="WAO84" s="50"/>
      <c r="WAP84" s="23"/>
      <c r="WAQ84" s="50"/>
      <c r="WAR84" s="51"/>
      <c r="WAS84" s="50"/>
      <c r="WAT84" s="23"/>
      <c r="WAU84" s="50"/>
      <c r="WAV84" s="51"/>
      <c r="WAW84" s="50"/>
      <c r="WAX84" s="23"/>
      <c r="WAY84" s="50"/>
      <c r="WAZ84" s="51"/>
      <c r="WBA84" s="50"/>
      <c r="WBB84" s="23"/>
      <c r="WBC84" s="50"/>
      <c r="WBD84" s="51"/>
      <c r="WBE84" s="50"/>
      <c r="WBF84" s="23"/>
      <c r="WBG84" s="50"/>
      <c r="WBH84" s="51"/>
      <c r="WBI84" s="50"/>
      <c r="WBJ84" s="23"/>
      <c r="WBK84" s="50"/>
      <c r="WBL84" s="51"/>
      <c r="WBM84" s="50"/>
      <c r="WBN84" s="23"/>
      <c r="WBO84" s="50"/>
      <c r="WBP84" s="51"/>
      <c r="WBQ84" s="50"/>
      <c r="WBR84" s="23"/>
      <c r="WBS84" s="50"/>
      <c r="WBT84" s="51"/>
      <c r="WBU84" s="50"/>
      <c r="WBV84" s="23"/>
      <c r="WBW84" s="50"/>
      <c r="WBX84" s="51"/>
      <c r="WBY84" s="50"/>
      <c r="WBZ84" s="23"/>
      <c r="WCA84" s="50"/>
      <c r="WCB84" s="51"/>
      <c r="WCC84" s="50"/>
      <c r="WCD84" s="23"/>
      <c r="WCE84" s="50"/>
      <c r="WCF84" s="51"/>
      <c r="WCG84" s="50"/>
      <c r="WCH84" s="23"/>
      <c r="WCI84" s="50"/>
      <c r="WCJ84" s="51"/>
      <c r="WCK84" s="50"/>
      <c r="WCL84" s="23"/>
      <c r="WCM84" s="50"/>
      <c r="WCN84" s="51"/>
      <c r="WCO84" s="50"/>
      <c r="WCP84" s="23"/>
      <c r="WCQ84" s="50"/>
      <c r="WCR84" s="51"/>
      <c r="WCS84" s="50"/>
      <c r="WCT84" s="23"/>
      <c r="WCU84" s="50"/>
      <c r="WCV84" s="51"/>
      <c r="WCW84" s="50"/>
      <c r="WCX84" s="23"/>
      <c r="WCY84" s="50"/>
      <c r="WCZ84" s="51"/>
      <c r="WDA84" s="50"/>
      <c r="WDB84" s="23"/>
      <c r="WDC84" s="50"/>
      <c r="WDD84" s="51"/>
      <c r="WDE84" s="50"/>
      <c r="WDF84" s="23"/>
      <c r="WDG84" s="50"/>
      <c r="WDH84" s="51"/>
      <c r="WDI84" s="50"/>
      <c r="WDJ84" s="23"/>
      <c r="WDK84" s="50"/>
      <c r="WDL84" s="51"/>
      <c r="WDM84" s="50"/>
      <c r="WDN84" s="23"/>
      <c r="WDO84" s="50"/>
      <c r="WDP84" s="51"/>
      <c r="WDQ84" s="50"/>
      <c r="WDR84" s="23"/>
      <c r="WDS84" s="50"/>
      <c r="WDT84" s="51"/>
      <c r="WDU84" s="50"/>
      <c r="WDV84" s="23"/>
      <c r="WDW84" s="50"/>
      <c r="WDX84" s="51"/>
      <c r="WDY84" s="50"/>
      <c r="WDZ84" s="23"/>
      <c r="WEA84" s="50"/>
      <c r="WEB84" s="51"/>
      <c r="WEC84" s="50"/>
      <c r="WED84" s="23"/>
      <c r="WEE84" s="50"/>
      <c r="WEF84" s="51"/>
      <c r="WEG84" s="50"/>
      <c r="WEH84" s="23"/>
      <c r="WEI84" s="50"/>
      <c r="WEJ84" s="51"/>
      <c r="WEK84" s="50"/>
      <c r="WEL84" s="23"/>
      <c r="WEM84" s="50"/>
      <c r="WEN84" s="51"/>
      <c r="WEO84" s="50"/>
      <c r="WEP84" s="23"/>
      <c r="WEQ84" s="50"/>
      <c r="WER84" s="51"/>
      <c r="WES84" s="50"/>
      <c r="WET84" s="23"/>
      <c r="WEU84" s="50"/>
      <c r="WEV84" s="51"/>
      <c r="WEW84" s="50"/>
      <c r="WEX84" s="23"/>
      <c r="WEY84" s="50"/>
      <c r="WEZ84" s="51"/>
      <c r="WFA84" s="50"/>
      <c r="WFB84" s="23"/>
      <c r="WFC84" s="50"/>
      <c r="WFD84" s="51"/>
      <c r="WFE84" s="50"/>
      <c r="WFF84" s="23"/>
      <c r="WFG84" s="50"/>
      <c r="WFH84" s="51"/>
      <c r="WFI84" s="50"/>
      <c r="WFJ84" s="23"/>
      <c r="WFK84" s="50"/>
      <c r="WFL84" s="51"/>
      <c r="WFM84" s="50"/>
      <c r="WFN84" s="23"/>
      <c r="WFO84" s="50"/>
      <c r="WFP84" s="51"/>
      <c r="WFQ84" s="50"/>
      <c r="WFR84" s="23"/>
      <c r="WFS84" s="50"/>
      <c r="WFT84" s="51"/>
      <c r="WFU84" s="50"/>
      <c r="WFV84" s="23"/>
      <c r="WFW84" s="50"/>
      <c r="WFX84" s="51"/>
      <c r="WFY84" s="50"/>
      <c r="WFZ84" s="23"/>
      <c r="WGA84" s="50"/>
      <c r="WGB84" s="51"/>
      <c r="WGC84" s="50"/>
      <c r="WGD84" s="23"/>
      <c r="WGE84" s="50"/>
      <c r="WGF84" s="51"/>
      <c r="WGG84" s="50"/>
      <c r="WGH84" s="23"/>
      <c r="WGI84" s="50"/>
      <c r="WGJ84" s="51"/>
      <c r="WGK84" s="50"/>
      <c r="WGL84" s="23"/>
      <c r="WGM84" s="50"/>
      <c r="WGN84" s="51"/>
      <c r="WGO84" s="50"/>
      <c r="WGP84" s="23"/>
      <c r="WGQ84" s="50"/>
      <c r="WGR84" s="51"/>
      <c r="WGS84" s="50"/>
      <c r="WGT84" s="23"/>
      <c r="WGU84" s="50"/>
      <c r="WGV84" s="51"/>
      <c r="WGW84" s="50"/>
      <c r="WGX84" s="23"/>
      <c r="WGY84" s="50"/>
      <c r="WGZ84" s="51"/>
      <c r="WHA84" s="50"/>
      <c r="WHB84" s="23"/>
      <c r="WHC84" s="50"/>
      <c r="WHD84" s="51"/>
      <c r="WHE84" s="50"/>
      <c r="WHF84" s="23"/>
      <c r="WHG84" s="50"/>
      <c r="WHH84" s="51"/>
      <c r="WHI84" s="50"/>
      <c r="WHJ84" s="23"/>
      <c r="WHK84" s="50"/>
      <c r="WHL84" s="51"/>
      <c r="WHM84" s="50"/>
      <c r="WHN84" s="23"/>
      <c r="WHO84" s="50"/>
      <c r="WHP84" s="51"/>
      <c r="WHQ84" s="50"/>
      <c r="WHR84" s="23"/>
      <c r="WHS84" s="50"/>
      <c r="WHT84" s="51"/>
      <c r="WHU84" s="50"/>
      <c r="WHV84" s="23"/>
      <c r="WHW84" s="50"/>
      <c r="WHX84" s="51"/>
      <c r="WHY84" s="50"/>
      <c r="WHZ84" s="23"/>
      <c r="WIA84" s="50"/>
      <c r="WIB84" s="51"/>
      <c r="WIC84" s="50"/>
      <c r="WID84" s="23"/>
      <c r="WIE84" s="50"/>
      <c r="WIF84" s="51"/>
      <c r="WIG84" s="50"/>
      <c r="WIH84" s="23"/>
      <c r="WII84" s="50"/>
      <c r="WIJ84" s="51"/>
      <c r="WIK84" s="50"/>
      <c r="WIL84" s="23"/>
      <c r="WIM84" s="50"/>
      <c r="WIN84" s="51"/>
      <c r="WIO84" s="50"/>
      <c r="WIP84" s="23"/>
      <c r="WIQ84" s="50"/>
      <c r="WIR84" s="51"/>
      <c r="WIS84" s="50"/>
      <c r="WIT84" s="23"/>
      <c r="WIU84" s="50"/>
      <c r="WIV84" s="51"/>
      <c r="WIW84" s="50"/>
      <c r="WIX84" s="23"/>
      <c r="WIY84" s="50"/>
      <c r="WIZ84" s="51"/>
      <c r="WJA84" s="50"/>
      <c r="WJB84" s="23"/>
      <c r="WJC84" s="50"/>
      <c r="WJD84" s="51"/>
      <c r="WJE84" s="50"/>
      <c r="WJF84" s="23"/>
      <c r="WJG84" s="50"/>
      <c r="WJH84" s="51"/>
      <c r="WJI84" s="50"/>
      <c r="WJJ84" s="23"/>
      <c r="WJK84" s="50"/>
      <c r="WJL84" s="51"/>
      <c r="WJM84" s="50"/>
      <c r="WJN84" s="23"/>
      <c r="WJO84" s="50"/>
      <c r="WJP84" s="51"/>
      <c r="WJQ84" s="50"/>
      <c r="WJR84" s="23"/>
      <c r="WJS84" s="50"/>
      <c r="WJT84" s="51"/>
      <c r="WJU84" s="50"/>
      <c r="WJV84" s="23"/>
      <c r="WJW84" s="50"/>
      <c r="WJX84" s="51"/>
      <c r="WJY84" s="50"/>
      <c r="WJZ84" s="23"/>
      <c r="WKA84" s="50"/>
      <c r="WKB84" s="51"/>
      <c r="WKC84" s="50"/>
      <c r="WKD84" s="23"/>
      <c r="WKE84" s="50"/>
      <c r="WKF84" s="51"/>
      <c r="WKG84" s="50"/>
      <c r="WKH84" s="23"/>
      <c r="WKI84" s="50"/>
      <c r="WKJ84" s="51"/>
      <c r="WKK84" s="50"/>
      <c r="WKL84" s="23"/>
      <c r="WKM84" s="50"/>
      <c r="WKN84" s="51"/>
      <c r="WKO84" s="50"/>
      <c r="WKP84" s="23"/>
      <c r="WKQ84" s="50"/>
      <c r="WKR84" s="51"/>
      <c r="WKS84" s="50"/>
      <c r="WKT84" s="23"/>
      <c r="WKU84" s="50"/>
      <c r="WKV84" s="51"/>
      <c r="WKW84" s="50"/>
      <c r="WKX84" s="23"/>
      <c r="WKY84" s="50"/>
      <c r="WKZ84" s="51"/>
      <c r="WLA84" s="50"/>
      <c r="WLB84" s="23"/>
      <c r="WLC84" s="50"/>
      <c r="WLD84" s="51"/>
      <c r="WLE84" s="50"/>
      <c r="WLF84" s="23"/>
      <c r="WLG84" s="50"/>
      <c r="WLH84" s="51"/>
      <c r="WLI84" s="50"/>
      <c r="WLJ84" s="23"/>
      <c r="WLK84" s="50"/>
      <c r="WLL84" s="51"/>
      <c r="WLM84" s="50"/>
      <c r="WLN84" s="23"/>
      <c r="WLO84" s="50"/>
      <c r="WLP84" s="51"/>
      <c r="WLQ84" s="50"/>
      <c r="WLR84" s="23"/>
      <c r="WLS84" s="50"/>
      <c r="WLT84" s="51"/>
      <c r="WLU84" s="50"/>
      <c r="WLV84" s="23"/>
      <c r="WLW84" s="50"/>
      <c r="WLX84" s="51"/>
      <c r="WLY84" s="50"/>
      <c r="WLZ84" s="23"/>
      <c r="WMA84" s="50"/>
      <c r="WMB84" s="51"/>
      <c r="WMC84" s="50"/>
      <c r="WMD84" s="23"/>
      <c r="WME84" s="50"/>
      <c r="WMF84" s="51"/>
      <c r="WMG84" s="50"/>
      <c r="WMH84" s="23"/>
      <c r="WMI84" s="50"/>
      <c r="WMJ84" s="51"/>
      <c r="WMK84" s="50"/>
      <c r="WML84" s="23"/>
      <c r="WMM84" s="50"/>
      <c r="WMN84" s="51"/>
      <c r="WMO84" s="50"/>
      <c r="WMP84" s="23"/>
      <c r="WMQ84" s="50"/>
      <c r="WMR84" s="51"/>
      <c r="WMS84" s="50"/>
      <c r="WMT84" s="23"/>
      <c r="WMU84" s="50"/>
      <c r="WMV84" s="51"/>
      <c r="WMW84" s="50"/>
      <c r="WMX84" s="23"/>
      <c r="WMY84" s="50"/>
      <c r="WMZ84" s="51"/>
      <c r="WNA84" s="50"/>
      <c r="WNB84" s="23"/>
      <c r="WNC84" s="50"/>
      <c r="WND84" s="51"/>
      <c r="WNE84" s="50"/>
      <c r="WNF84" s="23"/>
      <c r="WNG84" s="50"/>
      <c r="WNH84" s="51"/>
      <c r="WNI84" s="50"/>
      <c r="WNJ84" s="23"/>
      <c r="WNK84" s="50"/>
      <c r="WNL84" s="51"/>
      <c r="WNM84" s="50"/>
      <c r="WNN84" s="23"/>
      <c r="WNO84" s="50"/>
      <c r="WNP84" s="51"/>
      <c r="WNQ84" s="50"/>
      <c r="WNR84" s="23"/>
      <c r="WNS84" s="50"/>
      <c r="WNT84" s="51"/>
      <c r="WNU84" s="50"/>
      <c r="WNV84" s="23"/>
      <c r="WNW84" s="50"/>
      <c r="WNX84" s="51"/>
      <c r="WNY84" s="50"/>
      <c r="WNZ84" s="23"/>
      <c r="WOA84" s="50"/>
      <c r="WOB84" s="51"/>
      <c r="WOC84" s="50"/>
      <c r="WOD84" s="23"/>
      <c r="WOE84" s="50"/>
      <c r="WOF84" s="51"/>
      <c r="WOG84" s="50"/>
      <c r="WOH84" s="23"/>
      <c r="WOI84" s="50"/>
      <c r="WOJ84" s="51"/>
      <c r="WOK84" s="50"/>
      <c r="WOL84" s="23"/>
      <c r="WOM84" s="50"/>
      <c r="WON84" s="51"/>
      <c r="WOO84" s="50"/>
      <c r="WOP84" s="23"/>
      <c r="WOQ84" s="50"/>
      <c r="WOR84" s="51"/>
      <c r="WOS84" s="50"/>
      <c r="WOT84" s="23"/>
      <c r="WOU84" s="50"/>
      <c r="WOV84" s="51"/>
      <c r="WOW84" s="50"/>
      <c r="WOX84" s="23"/>
      <c r="WOY84" s="50"/>
      <c r="WOZ84" s="51"/>
      <c r="WPA84" s="50"/>
      <c r="WPB84" s="23"/>
      <c r="WPC84" s="50"/>
      <c r="WPD84" s="51"/>
      <c r="WPE84" s="50"/>
      <c r="WPF84" s="23"/>
      <c r="WPG84" s="50"/>
      <c r="WPH84" s="51"/>
      <c r="WPI84" s="50"/>
      <c r="WPJ84" s="23"/>
      <c r="WPK84" s="50"/>
      <c r="WPL84" s="51"/>
      <c r="WPM84" s="50"/>
      <c r="WPN84" s="23"/>
      <c r="WPO84" s="50"/>
      <c r="WPP84" s="51"/>
      <c r="WPQ84" s="50"/>
      <c r="WPR84" s="23"/>
      <c r="WPS84" s="50"/>
      <c r="WPT84" s="51"/>
      <c r="WPU84" s="50"/>
      <c r="WPV84" s="23"/>
      <c r="WPW84" s="50"/>
      <c r="WPX84" s="51"/>
      <c r="WPY84" s="50"/>
      <c r="WPZ84" s="23"/>
      <c r="WQA84" s="50"/>
      <c r="WQB84" s="51"/>
      <c r="WQC84" s="50"/>
      <c r="WQD84" s="23"/>
      <c r="WQE84" s="50"/>
      <c r="WQF84" s="51"/>
      <c r="WQG84" s="50"/>
      <c r="WQH84" s="23"/>
      <c r="WQI84" s="50"/>
      <c r="WQJ84" s="51"/>
      <c r="WQK84" s="50"/>
      <c r="WQL84" s="23"/>
      <c r="WQM84" s="50"/>
      <c r="WQN84" s="51"/>
      <c r="WQO84" s="50"/>
      <c r="WQP84" s="23"/>
      <c r="WQQ84" s="50"/>
      <c r="WQR84" s="51"/>
      <c r="WQS84" s="50"/>
      <c r="WQT84" s="23"/>
      <c r="WQU84" s="50"/>
      <c r="WQV84" s="51"/>
      <c r="WQW84" s="50"/>
      <c r="WQX84" s="23"/>
      <c r="WQY84" s="50"/>
      <c r="WQZ84" s="51"/>
      <c r="WRA84" s="50"/>
      <c r="WRB84" s="23"/>
      <c r="WRC84" s="50"/>
      <c r="WRD84" s="51"/>
      <c r="WRE84" s="50"/>
      <c r="WRF84" s="23"/>
      <c r="WRG84" s="50"/>
      <c r="WRH84" s="51"/>
      <c r="WRI84" s="50"/>
      <c r="WRJ84" s="23"/>
      <c r="WRK84" s="50"/>
      <c r="WRL84" s="51"/>
      <c r="WRM84" s="50"/>
      <c r="WRN84" s="23"/>
      <c r="WRO84" s="50"/>
      <c r="WRP84" s="51"/>
      <c r="WRQ84" s="50"/>
      <c r="WRR84" s="23"/>
      <c r="WRS84" s="50"/>
      <c r="WRT84" s="51"/>
      <c r="WRU84" s="50"/>
      <c r="WRV84" s="23"/>
      <c r="WRW84" s="50"/>
      <c r="WRX84" s="51"/>
      <c r="WRY84" s="50"/>
      <c r="WRZ84" s="23"/>
      <c r="WSA84" s="50"/>
      <c r="WSB84" s="51"/>
      <c r="WSC84" s="50"/>
      <c r="WSD84" s="23"/>
      <c r="WSE84" s="50"/>
      <c r="WSF84" s="51"/>
      <c r="WSG84" s="50"/>
      <c r="WSH84" s="23"/>
      <c r="WSI84" s="50"/>
      <c r="WSJ84" s="51"/>
      <c r="WSK84" s="50"/>
      <c r="WSL84" s="23"/>
      <c r="WSM84" s="50"/>
      <c r="WSN84" s="51"/>
      <c r="WSO84" s="50"/>
      <c r="WSP84" s="23"/>
      <c r="WSQ84" s="50"/>
      <c r="WSR84" s="51"/>
      <c r="WSS84" s="50"/>
      <c r="WST84" s="23"/>
      <c r="WSU84" s="50"/>
      <c r="WSV84" s="51"/>
      <c r="WSW84" s="50"/>
      <c r="WSX84" s="23"/>
      <c r="WSY84" s="50"/>
      <c r="WSZ84" s="51"/>
      <c r="WTA84" s="50"/>
      <c r="WTB84" s="23"/>
      <c r="WTC84" s="50"/>
      <c r="WTD84" s="51"/>
      <c r="WTE84" s="50"/>
      <c r="WTF84" s="23"/>
      <c r="WTG84" s="50"/>
      <c r="WTH84" s="51"/>
      <c r="WTI84" s="50"/>
      <c r="WTJ84" s="23"/>
      <c r="WTK84" s="50"/>
      <c r="WTL84" s="51"/>
      <c r="WTM84" s="50"/>
      <c r="WTN84" s="23"/>
      <c r="WTO84" s="50"/>
      <c r="WTP84" s="51"/>
      <c r="WTQ84" s="50"/>
      <c r="WTR84" s="23"/>
      <c r="WTS84" s="50"/>
      <c r="WTT84" s="51"/>
      <c r="WTU84" s="50"/>
      <c r="WTV84" s="23"/>
      <c r="WTW84" s="50"/>
      <c r="WTX84" s="51"/>
      <c r="WTY84" s="50"/>
      <c r="WTZ84" s="23"/>
      <c r="WUA84" s="50"/>
      <c r="WUB84" s="51"/>
      <c r="WUC84" s="50"/>
      <c r="WUD84" s="23"/>
      <c r="WUE84" s="50"/>
      <c r="WUF84" s="51"/>
      <c r="WUG84" s="50"/>
      <c r="WUH84" s="23"/>
      <c r="WUI84" s="50"/>
      <c r="WUJ84" s="51"/>
      <c r="WUK84" s="50"/>
      <c r="WUL84" s="23"/>
      <c r="WUM84" s="50"/>
      <c r="WUN84" s="51"/>
      <c r="WUO84" s="50"/>
      <c r="WUP84" s="23"/>
      <c r="WUQ84" s="50"/>
      <c r="WUR84" s="51"/>
      <c r="WUS84" s="50"/>
      <c r="WUT84" s="23"/>
      <c r="WUU84" s="50"/>
      <c r="WUV84" s="51"/>
      <c r="WUW84" s="50"/>
      <c r="WUX84" s="23"/>
      <c r="WUY84" s="50"/>
      <c r="WUZ84" s="51"/>
      <c r="WVA84" s="50"/>
      <c r="WVB84" s="23"/>
      <c r="WVC84" s="50"/>
      <c r="WVD84" s="51"/>
      <c r="WVE84" s="50"/>
      <c r="WVF84" s="23"/>
      <c r="WVG84" s="50"/>
      <c r="WVH84" s="51"/>
      <c r="WVI84" s="50"/>
      <c r="WVJ84" s="23"/>
      <c r="WVK84" s="50"/>
      <c r="WVL84" s="51"/>
      <c r="WVM84" s="50"/>
      <c r="WVN84" s="23"/>
      <c r="WVO84" s="50"/>
      <c r="WVP84" s="51"/>
      <c r="WVQ84" s="50"/>
      <c r="WVR84" s="23"/>
      <c r="WVS84" s="50"/>
      <c r="WVT84" s="51"/>
      <c r="WVU84" s="50"/>
      <c r="WVV84" s="23"/>
      <c r="WVW84" s="50"/>
      <c r="WVX84" s="51"/>
      <c r="WVY84" s="50"/>
      <c r="WVZ84" s="23"/>
      <c r="WWA84" s="50"/>
      <c r="WWB84" s="51"/>
      <c r="WWC84" s="50"/>
      <c r="WWD84" s="23"/>
      <c r="WWE84" s="50"/>
      <c r="WWF84" s="51"/>
      <c r="WWG84" s="50"/>
      <c r="WWH84" s="23"/>
      <c r="WWI84" s="50"/>
      <c r="WWJ84" s="51"/>
      <c r="WWK84" s="50"/>
      <c r="WWL84" s="23"/>
      <c r="WWM84" s="50"/>
      <c r="WWN84" s="51"/>
      <c r="WWO84" s="50"/>
      <c r="WWP84" s="23"/>
      <c r="WWQ84" s="50"/>
      <c r="WWR84" s="51"/>
      <c r="WWS84" s="50"/>
      <c r="WWT84" s="23"/>
      <c r="WWU84" s="50"/>
      <c r="WWV84" s="51"/>
      <c r="WWW84" s="50"/>
      <c r="WWX84" s="23"/>
      <c r="WWY84" s="50"/>
      <c r="WWZ84" s="51"/>
      <c r="WXA84" s="50"/>
      <c r="WXB84" s="23"/>
      <c r="WXC84" s="50"/>
      <c r="WXD84" s="51"/>
      <c r="WXE84" s="50"/>
      <c r="WXF84" s="23"/>
      <c r="WXG84" s="50"/>
      <c r="WXH84" s="51"/>
      <c r="WXI84" s="50"/>
      <c r="WXJ84" s="23"/>
      <c r="WXK84" s="50"/>
      <c r="WXL84" s="51"/>
      <c r="WXM84" s="50"/>
      <c r="WXN84" s="23"/>
      <c r="WXO84" s="50"/>
      <c r="WXP84" s="51"/>
      <c r="WXQ84" s="50"/>
      <c r="WXR84" s="23"/>
      <c r="WXS84" s="50"/>
      <c r="WXT84" s="51"/>
      <c r="WXU84" s="50"/>
      <c r="WXV84" s="23"/>
      <c r="WXW84" s="50"/>
      <c r="WXX84" s="51"/>
      <c r="WXY84" s="50"/>
      <c r="WXZ84" s="23"/>
      <c r="WYA84" s="50"/>
      <c r="WYB84" s="51"/>
      <c r="WYC84" s="50"/>
      <c r="WYD84" s="23"/>
      <c r="WYE84" s="50"/>
      <c r="WYF84" s="51"/>
      <c r="WYG84" s="50"/>
      <c r="WYH84" s="23"/>
      <c r="WYI84" s="50"/>
      <c r="WYJ84" s="51"/>
      <c r="WYK84" s="50"/>
      <c r="WYL84" s="23"/>
      <c r="WYM84" s="50"/>
      <c r="WYN84" s="51"/>
      <c r="WYO84" s="50"/>
      <c r="WYP84" s="23"/>
      <c r="WYQ84" s="50"/>
      <c r="WYR84" s="51"/>
      <c r="WYS84" s="50"/>
      <c r="WYT84" s="23"/>
      <c r="WYU84" s="50"/>
      <c r="WYV84" s="51"/>
      <c r="WYW84" s="50"/>
      <c r="WYX84" s="23"/>
      <c r="WYY84" s="50"/>
      <c r="WYZ84" s="51"/>
      <c r="WZA84" s="50"/>
      <c r="WZB84" s="23"/>
      <c r="WZC84" s="50"/>
      <c r="WZD84" s="51"/>
      <c r="WZE84" s="50"/>
      <c r="WZF84" s="23"/>
      <c r="WZG84" s="50"/>
      <c r="WZH84" s="51"/>
      <c r="WZI84" s="50"/>
      <c r="WZJ84" s="23"/>
      <c r="WZK84" s="50"/>
      <c r="WZL84" s="51"/>
      <c r="WZM84" s="50"/>
      <c r="WZN84" s="23"/>
      <c r="WZO84" s="50"/>
      <c r="WZP84" s="51"/>
      <c r="WZQ84" s="50"/>
      <c r="WZR84" s="23"/>
      <c r="WZS84" s="50"/>
      <c r="WZT84" s="51"/>
      <c r="WZU84" s="50"/>
      <c r="WZV84" s="23"/>
      <c r="WZW84" s="50"/>
      <c r="WZX84" s="51"/>
      <c r="WZY84" s="50"/>
      <c r="WZZ84" s="23"/>
      <c r="XAA84" s="50"/>
      <c r="XAB84" s="51"/>
      <c r="XAC84" s="50"/>
      <c r="XAD84" s="23"/>
      <c r="XAE84" s="50"/>
      <c r="XAF84" s="51"/>
      <c r="XAG84" s="50"/>
      <c r="XAH84" s="23"/>
      <c r="XAI84" s="50"/>
      <c r="XAJ84" s="51"/>
      <c r="XAK84" s="50"/>
      <c r="XAL84" s="23"/>
      <c r="XAM84" s="50"/>
      <c r="XAN84" s="51"/>
      <c r="XAO84" s="50"/>
      <c r="XAP84" s="23"/>
      <c r="XAQ84" s="50"/>
      <c r="XAR84" s="51"/>
      <c r="XAS84" s="50"/>
      <c r="XAT84" s="23"/>
      <c r="XAU84" s="50"/>
      <c r="XAV84" s="51"/>
      <c r="XAW84" s="50"/>
      <c r="XAX84" s="23"/>
      <c r="XAY84" s="50"/>
      <c r="XAZ84" s="51"/>
      <c r="XBA84" s="50"/>
      <c r="XBB84" s="23"/>
      <c r="XBC84" s="50"/>
      <c r="XBD84" s="51"/>
      <c r="XBE84" s="50"/>
      <c r="XBF84" s="23"/>
      <c r="XBG84" s="50"/>
      <c r="XBH84" s="51"/>
      <c r="XBI84" s="50"/>
      <c r="XBJ84" s="23"/>
      <c r="XBK84" s="50"/>
      <c r="XBL84" s="51"/>
      <c r="XBM84" s="50"/>
      <c r="XBN84" s="23"/>
      <c r="XBO84" s="50"/>
      <c r="XBP84" s="51"/>
      <c r="XBQ84" s="50"/>
      <c r="XBR84" s="23"/>
      <c r="XBS84" s="50"/>
      <c r="XBT84" s="51"/>
      <c r="XBU84" s="50"/>
      <c r="XBV84" s="23"/>
      <c r="XBW84" s="50"/>
      <c r="XBX84" s="51"/>
      <c r="XBY84" s="50"/>
      <c r="XBZ84" s="23"/>
      <c r="XCA84" s="50"/>
      <c r="XCB84" s="51"/>
      <c r="XCC84" s="50"/>
      <c r="XCD84" s="23"/>
      <c r="XCE84" s="50"/>
      <c r="XCF84" s="51"/>
      <c r="XCG84" s="50"/>
      <c r="XCH84" s="23"/>
      <c r="XCI84" s="50"/>
      <c r="XCJ84" s="51"/>
      <c r="XCK84" s="50"/>
      <c r="XCL84" s="23"/>
      <c r="XCM84" s="50"/>
      <c r="XCN84" s="51"/>
      <c r="XCO84" s="50"/>
      <c r="XCP84" s="23"/>
      <c r="XCQ84" s="50"/>
      <c r="XCR84" s="51"/>
      <c r="XCS84" s="50"/>
      <c r="XCT84" s="23"/>
      <c r="XCU84" s="50"/>
      <c r="XCV84" s="51"/>
      <c r="XCW84" s="50"/>
      <c r="XCX84" s="23"/>
      <c r="XCY84" s="50"/>
      <c r="XCZ84" s="51"/>
      <c r="XDA84" s="50"/>
      <c r="XDB84" s="23"/>
      <c r="XDC84" s="50"/>
      <c r="XDD84" s="51"/>
      <c r="XDE84" s="50"/>
      <c r="XDF84" s="23"/>
      <c r="XDG84" s="50"/>
      <c r="XDH84" s="51"/>
      <c r="XDI84" s="50"/>
      <c r="XDJ84" s="23"/>
      <c r="XDK84" s="50"/>
      <c r="XDL84" s="51"/>
      <c r="XDM84" s="50"/>
      <c r="XDN84" s="23"/>
      <c r="XDO84" s="50"/>
      <c r="XDP84" s="51"/>
      <c r="XDQ84" s="50"/>
      <c r="XDR84" s="23"/>
      <c r="XDS84" s="50"/>
      <c r="XDT84" s="51"/>
      <c r="XDU84" s="50"/>
      <c r="XDV84" s="23"/>
      <c r="XDW84" s="50"/>
      <c r="XDX84" s="51"/>
      <c r="XDY84" s="50"/>
      <c r="XDZ84" s="23"/>
      <c r="XEA84" s="50"/>
      <c r="XEB84" s="51"/>
      <c r="XEC84" s="50"/>
      <c r="XED84" s="23"/>
      <c r="XEE84" s="50"/>
      <c r="XEF84" s="51"/>
      <c r="XEG84" s="50"/>
      <c r="XEH84" s="23"/>
      <c r="XEI84" s="50"/>
      <c r="XEJ84" s="51"/>
      <c r="XEK84" s="50"/>
      <c r="XEL84" s="23"/>
      <c r="XEM84" s="50"/>
      <c r="XEN84" s="51"/>
      <c r="XEO84" s="50"/>
      <c r="XEP84" s="23"/>
      <c r="XEQ84" s="50"/>
      <c r="XER84" s="51"/>
      <c r="XES84" s="50"/>
      <c r="XET84" s="23"/>
      <c r="XEU84" s="50"/>
      <c r="XEV84" s="51"/>
      <c r="XEW84" s="50"/>
      <c r="XEX84" s="23"/>
      <c r="XEY84" s="50"/>
      <c r="XEZ84" s="51"/>
      <c r="XFA84" s="50"/>
      <c r="XFB84" s="23"/>
      <c r="XFC84" s="50"/>
      <c r="XFD84" s="51"/>
    </row>
    <row r="85" spans="1:16384" ht="19.5" customHeight="1" x14ac:dyDescent="0.3">
      <c r="A85" s="129" t="s">
        <v>299</v>
      </c>
      <c r="B85" s="127" t="s">
        <v>300</v>
      </c>
      <c r="C85" s="128" t="s">
        <v>39</v>
      </c>
      <c r="D85" s="128">
        <v>1</v>
      </c>
      <c r="E85" s="126">
        <f t="shared" si="0"/>
        <v>42693</v>
      </c>
      <c r="F85" s="316">
        <v>39900</v>
      </c>
      <c r="J85" s="301"/>
    </row>
    <row r="86" spans="1:16384" ht="19.5" customHeight="1" x14ac:dyDescent="0.3">
      <c r="A86" s="129" t="s">
        <v>301</v>
      </c>
      <c r="B86" s="127" t="s">
        <v>302</v>
      </c>
      <c r="C86" s="128" t="s">
        <v>39</v>
      </c>
      <c r="D86" s="128">
        <v>1</v>
      </c>
      <c r="E86" s="126">
        <f t="shared" si="0"/>
        <v>24075</v>
      </c>
      <c r="F86" s="295">
        <v>22500</v>
      </c>
      <c r="J86" s="301"/>
    </row>
    <row r="87" spans="1:16384" ht="19.5" customHeight="1" x14ac:dyDescent="0.3">
      <c r="A87" s="129" t="s">
        <v>303</v>
      </c>
      <c r="B87" s="127" t="s">
        <v>304</v>
      </c>
      <c r="C87" s="128" t="s">
        <v>39</v>
      </c>
      <c r="D87" s="128">
        <v>1</v>
      </c>
      <c r="E87" s="126">
        <f t="shared" si="0"/>
        <v>53500</v>
      </c>
      <c r="F87" s="295">
        <v>50000</v>
      </c>
      <c r="J87" s="301"/>
    </row>
    <row r="88" spans="1:16384" ht="19.5" customHeight="1" x14ac:dyDescent="0.3">
      <c r="A88" s="129" t="s">
        <v>305</v>
      </c>
      <c r="B88" s="127" t="s">
        <v>306</v>
      </c>
      <c r="C88" s="128" t="s">
        <v>218</v>
      </c>
      <c r="D88" s="128">
        <v>1</v>
      </c>
      <c r="E88" s="126">
        <f t="shared" si="0"/>
        <v>48792</v>
      </c>
      <c r="F88" s="295">
        <v>45600</v>
      </c>
      <c r="J88" s="301"/>
    </row>
    <row r="89" spans="1:16384" ht="19.5" customHeight="1" x14ac:dyDescent="0.3">
      <c r="A89" s="129" t="s">
        <v>307</v>
      </c>
      <c r="B89" s="304" t="s">
        <v>308</v>
      </c>
      <c r="C89" s="128" t="s">
        <v>4</v>
      </c>
      <c r="D89" s="128">
        <v>1</v>
      </c>
      <c r="E89" s="126">
        <f t="shared" si="0"/>
        <v>14980</v>
      </c>
      <c r="F89" s="295">
        <v>14000</v>
      </c>
      <c r="J89" s="301"/>
    </row>
    <row r="90" spans="1:16384" ht="19.5" customHeight="1" x14ac:dyDescent="0.3">
      <c r="A90" s="129" t="s">
        <v>309</v>
      </c>
      <c r="B90" s="127" t="s">
        <v>310</v>
      </c>
      <c r="C90" s="128" t="s">
        <v>26</v>
      </c>
      <c r="D90" s="128">
        <v>1</v>
      </c>
      <c r="E90" s="126">
        <f t="shared" si="0"/>
        <v>8025.0000000000009</v>
      </c>
      <c r="F90" s="295">
        <v>7500</v>
      </c>
      <c r="J90" s="301"/>
    </row>
    <row r="91" spans="1:16384" ht="19.5" customHeight="1" x14ac:dyDescent="0.3">
      <c r="A91" s="129" t="s">
        <v>311</v>
      </c>
      <c r="B91" s="127" t="s">
        <v>312</v>
      </c>
      <c r="C91" s="128" t="s">
        <v>26</v>
      </c>
      <c r="D91" s="128">
        <v>1</v>
      </c>
      <c r="E91" s="126">
        <f t="shared" si="0"/>
        <v>8025.0000000000009</v>
      </c>
      <c r="F91" s="295">
        <v>7500</v>
      </c>
      <c r="J91" s="301"/>
    </row>
    <row r="92" spans="1:16384" ht="19.5" customHeight="1" x14ac:dyDescent="0.3">
      <c r="A92" s="129" t="s">
        <v>313</v>
      </c>
      <c r="B92" s="127" t="s">
        <v>314</v>
      </c>
      <c r="C92" s="128" t="s">
        <v>26</v>
      </c>
      <c r="D92" s="128">
        <v>1</v>
      </c>
      <c r="E92" s="126">
        <f t="shared" si="0"/>
        <v>8453</v>
      </c>
      <c r="F92" s="295">
        <v>7900</v>
      </c>
      <c r="I92" s="23"/>
      <c r="J92" s="301"/>
    </row>
    <row r="93" spans="1:16384" ht="19.5" customHeight="1" x14ac:dyDescent="0.3">
      <c r="A93" s="129" t="s">
        <v>315</v>
      </c>
      <c r="B93" s="127" t="s">
        <v>316</v>
      </c>
      <c r="C93" s="128" t="s">
        <v>26</v>
      </c>
      <c r="D93" s="128">
        <v>1</v>
      </c>
      <c r="E93" s="126">
        <f t="shared" si="0"/>
        <v>2966.04</v>
      </c>
      <c r="F93" s="295">
        <v>2772</v>
      </c>
      <c r="J93" s="301"/>
    </row>
    <row r="94" spans="1:16384" ht="19.5" customHeight="1" x14ac:dyDescent="0.3">
      <c r="A94" s="129" t="s">
        <v>317</v>
      </c>
      <c r="B94" s="127" t="s">
        <v>318</v>
      </c>
      <c r="C94" s="128" t="s">
        <v>26</v>
      </c>
      <c r="D94" s="128">
        <v>1</v>
      </c>
      <c r="E94" s="126">
        <f t="shared" si="0"/>
        <v>3213.21</v>
      </c>
      <c r="F94" s="295">
        <v>3003</v>
      </c>
      <c r="J94" s="301"/>
    </row>
    <row r="95" spans="1:16384" ht="19.5" customHeight="1" x14ac:dyDescent="0.3">
      <c r="A95" s="129" t="s">
        <v>319</v>
      </c>
      <c r="B95" s="127" t="s">
        <v>320</v>
      </c>
      <c r="C95" s="128" t="s">
        <v>26</v>
      </c>
      <c r="D95" s="128">
        <v>1</v>
      </c>
      <c r="E95" s="126">
        <f t="shared" si="0"/>
        <v>10593</v>
      </c>
      <c r="F95" s="295">
        <v>9900</v>
      </c>
      <c r="J95" s="301"/>
    </row>
    <row r="96" spans="1:16384" ht="19.5" customHeight="1" x14ac:dyDescent="0.3">
      <c r="A96" s="129" t="s">
        <v>321</v>
      </c>
      <c r="B96" s="127" t="s">
        <v>322</v>
      </c>
      <c r="C96" s="128" t="s">
        <v>26</v>
      </c>
      <c r="D96" s="128">
        <v>1</v>
      </c>
      <c r="E96" s="126">
        <f t="shared" ref="E96:E159" si="2">+F96*(1+$E$29)</f>
        <v>3103</v>
      </c>
      <c r="F96" s="295">
        <v>2900</v>
      </c>
      <c r="J96" s="301"/>
    </row>
    <row r="97" spans="1:10" ht="19.5" customHeight="1" x14ac:dyDescent="0.3">
      <c r="A97" s="129" t="s">
        <v>323</v>
      </c>
      <c r="B97" s="127" t="s">
        <v>324</v>
      </c>
      <c r="C97" s="128" t="s">
        <v>26</v>
      </c>
      <c r="D97" s="128">
        <v>1</v>
      </c>
      <c r="E97" s="126">
        <f t="shared" si="2"/>
        <v>18966.82</v>
      </c>
      <c r="F97" s="295">
        <v>17726</v>
      </c>
      <c r="J97" s="301"/>
    </row>
    <row r="98" spans="1:10" ht="19.5" customHeight="1" x14ac:dyDescent="0.3">
      <c r="A98" s="129" t="s">
        <v>325</v>
      </c>
      <c r="B98" s="127" t="s">
        <v>326</v>
      </c>
      <c r="C98" s="128" t="s">
        <v>26</v>
      </c>
      <c r="D98" s="128">
        <v>1</v>
      </c>
      <c r="E98" s="126">
        <f t="shared" si="2"/>
        <v>18966.82</v>
      </c>
      <c r="F98" s="295">
        <v>17726</v>
      </c>
      <c r="J98" s="301"/>
    </row>
    <row r="99" spans="1:10" ht="19.5" customHeight="1" x14ac:dyDescent="0.3">
      <c r="A99" s="129" t="s">
        <v>327</v>
      </c>
      <c r="B99" s="127" t="s">
        <v>328</v>
      </c>
      <c r="C99" s="128" t="s">
        <v>25</v>
      </c>
      <c r="D99" s="128">
        <v>1</v>
      </c>
      <c r="E99" s="126">
        <f t="shared" si="2"/>
        <v>4686.6000000000004</v>
      </c>
      <c r="F99" s="295">
        <v>4380</v>
      </c>
      <c r="J99" s="301"/>
    </row>
    <row r="100" spans="1:10" ht="19.5" customHeight="1" x14ac:dyDescent="0.3">
      <c r="A100" s="129" t="s">
        <v>329</v>
      </c>
      <c r="B100" s="127" t="s">
        <v>330</v>
      </c>
      <c r="C100" s="128" t="s">
        <v>25</v>
      </c>
      <c r="D100" s="128">
        <v>1</v>
      </c>
      <c r="E100" s="126">
        <f t="shared" si="2"/>
        <v>3317</v>
      </c>
      <c r="F100" s="295">
        <v>3100</v>
      </c>
      <c r="J100" s="301"/>
    </row>
    <row r="101" spans="1:10" ht="19.5" customHeight="1" x14ac:dyDescent="0.3">
      <c r="A101" s="131" t="s">
        <v>331</v>
      </c>
      <c r="B101" s="127" t="s">
        <v>332</v>
      </c>
      <c r="C101" s="128" t="s">
        <v>26</v>
      </c>
      <c r="D101" s="128">
        <v>1</v>
      </c>
      <c r="E101" s="126">
        <f t="shared" si="2"/>
        <v>30313.100000000002</v>
      </c>
      <c r="F101" s="295">
        <v>28330</v>
      </c>
      <c r="J101" s="301"/>
    </row>
    <row r="102" spans="1:10" ht="19.5" customHeight="1" x14ac:dyDescent="0.3">
      <c r="A102" s="129" t="s">
        <v>333</v>
      </c>
      <c r="B102" s="127" t="s">
        <v>334</v>
      </c>
      <c r="C102" s="128" t="s">
        <v>26</v>
      </c>
      <c r="D102" s="128">
        <v>1</v>
      </c>
      <c r="E102" s="126">
        <f t="shared" si="2"/>
        <v>119690.20000000001</v>
      </c>
      <c r="F102" s="295">
        <v>111860</v>
      </c>
      <c r="J102" s="301"/>
    </row>
    <row r="103" spans="1:10" ht="19.5" customHeight="1" x14ac:dyDescent="0.3">
      <c r="A103" s="129" t="s">
        <v>335</v>
      </c>
      <c r="B103" s="127" t="s">
        <v>336</v>
      </c>
      <c r="C103" s="128" t="s">
        <v>26</v>
      </c>
      <c r="D103" s="128">
        <v>1</v>
      </c>
      <c r="E103" s="126">
        <f t="shared" si="2"/>
        <v>7918.0000000000009</v>
      </c>
      <c r="F103" s="295">
        <v>7400</v>
      </c>
      <c r="J103" s="301"/>
    </row>
    <row r="104" spans="1:10" ht="19.5" customHeight="1" x14ac:dyDescent="0.3">
      <c r="A104" s="129" t="s">
        <v>337</v>
      </c>
      <c r="B104" s="127" t="s">
        <v>1564</v>
      </c>
      <c r="C104" s="128" t="s">
        <v>26</v>
      </c>
      <c r="D104" s="128">
        <v>1</v>
      </c>
      <c r="E104" s="126">
        <f t="shared" si="2"/>
        <v>149800</v>
      </c>
      <c r="F104" s="295">
        <v>140000</v>
      </c>
      <c r="J104" s="301"/>
    </row>
    <row r="105" spans="1:10" ht="19.5" customHeight="1" x14ac:dyDescent="0.3">
      <c r="A105" s="129" t="s">
        <v>338</v>
      </c>
      <c r="B105" s="127" t="s">
        <v>339</v>
      </c>
      <c r="C105" s="128" t="s">
        <v>32</v>
      </c>
      <c r="D105" s="128">
        <v>1</v>
      </c>
      <c r="E105" s="126">
        <f t="shared" si="2"/>
        <v>122261.41</v>
      </c>
      <c r="F105" s="295">
        <v>114263</v>
      </c>
      <c r="J105" s="301"/>
    </row>
    <row r="106" spans="1:10" ht="19.5" customHeight="1" x14ac:dyDescent="0.3">
      <c r="A106" s="129" t="s">
        <v>340</v>
      </c>
      <c r="B106" s="127" t="s">
        <v>341</v>
      </c>
      <c r="C106" s="128" t="s">
        <v>32</v>
      </c>
      <c r="D106" s="128">
        <v>1</v>
      </c>
      <c r="E106" s="126">
        <f t="shared" si="2"/>
        <v>53500</v>
      </c>
      <c r="F106" s="295">
        <v>50000</v>
      </c>
      <c r="J106" s="301"/>
    </row>
    <row r="107" spans="1:10" ht="19.5" customHeight="1" x14ac:dyDescent="0.3">
      <c r="A107" s="129" t="s">
        <v>342</v>
      </c>
      <c r="B107" s="127" t="s">
        <v>343</v>
      </c>
      <c r="C107" s="128" t="s">
        <v>32</v>
      </c>
      <c r="D107" s="128">
        <v>1</v>
      </c>
      <c r="E107" s="126">
        <f t="shared" si="2"/>
        <v>39747.29</v>
      </c>
      <c r="F107" s="295">
        <v>37147</v>
      </c>
      <c r="I107" s="23"/>
      <c r="J107" s="301"/>
    </row>
    <row r="108" spans="1:10" s="23" customFormat="1" ht="19.5" customHeight="1" x14ac:dyDescent="0.3">
      <c r="A108" s="131" t="s">
        <v>344</v>
      </c>
      <c r="B108" s="127" t="s">
        <v>345</v>
      </c>
      <c r="C108" s="128" t="s">
        <v>32</v>
      </c>
      <c r="D108" s="128">
        <v>1</v>
      </c>
      <c r="E108" s="126">
        <f t="shared" si="2"/>
        <v>27392</v>
      </c>
      <c r="F108" s="295">
        <v>25600</v>
      </c>
      <c r="I108" s="25"/>
      <c r="J108" s="301"/>
    </row>
    <row r="109" spans="1:10" ht="19.5" customHeight="1" x14ac:dyDescent="0.3">
      <c r="A109" s="129" t="s">
        <v>346</v>
      </c>
      <c r="B109" s="127" t="s">
        <v>347</v>
      </c>
      <c r="C109" s="128" t="s">
        <v>32</v>
      </c>
      <c r="D109" s="128">
        <v>1</v>
      </c>
      <c r="E109" s="126">
        <f t="shared" si="2"/>
        <v>36475.230000000003</v>
      </c>
      <c r="F109" s="295">
        <v>34089</v>
      </c>
      <c r="J109" s="301"/>
    </row>
    <row r="110" spans="1:10" ht="19.5" customHeight="1" x14ac:dyDescent="0.3">
      <c r="A110" s="129" t="s">
        <v>348</v>
      </c>
      <c r="B110" s="127" t="s">
        <v>349</v>
      </c>
      <c r="C110" s="128" t="s">
        <v>26</v>
      </c>
      <c r="D110" s="128">
        <v>1</v>
      </c>
      <c r="E110" s="126">
        <f t="shared" si="2"/>
        <v>1198.4000000000001</v>
      </c>
      <c r="F110" s="295">
        <v>1120</v>
      </c>
      <c r="J110" s="301"/>
    </row>
    <row r="111" spans="1:10" ht="19.5" customHeight="1" x14ac:dyDescent="0.3">
      <c r="A111" s="129" t="s">
        <v>350</v>
      </c>
      <c r="B111" s="127" t="s">
        <v>351</v>
      </c>
      <c r="C111" s="128" t="s">
        <v>39</v>
      </c>
      <c r="D111" s="128">
        <v>1</v>
      </c>
      <c r="E111" s="126">
        <f t="shared" si="2"/>
        <v>51360</v>
      </c>
      <c r="F111" s="295">
        <v>48000</v>
      </c>
      <c r="J111" s="301"/>
    </row>
    <row r="112" spans="1:10" ht="19.5" customHeight="1" x14ac:dyDescent="0.3">
      <c r="A112" s="129" t="s">
        <v>352</v>
      </c>
      <c r="B112" s="127" t="s">
        <v>353</v>
      </c>
      <c r="C112" s="128" t="s">
        <v>26</v>
      </c>
      <c r="D112" s="128">
        <v>1</v>
      </c>
      <c r="E112" s="126">
        <f t="shared" si="2"/>
        <v>3745</v>
      </c>
      <c r="F112" s="295">
        <v>3500</v>
      </c>
      <c r="J112" s="301"/>
    </row>
    <row r="113" spans="1:10" ht="19.5" customHeight="1" x14ac:dyDescent="0.3">
      <c r="A113" s="129" t="s">
        <v>354</v>
      </c>
      <c r="B113" s="127" t="s">
        <v>355</v>
      </c>
      <c r="C113" s="128" t="s">
        <v>39</v>
      </c>
      <c r="D113" s="128">
        <v>1</v>
      </c>
      <c r="E113" s="126">
        <f t="shared" si="2"/>
        <v>44095.770000000004</v>
      </c>
      <c r="F113" s="295">
        <v>41211</v>
      </c>
      <c r="J113" s="301"/>
    </row>
    <row r="114" spans="1:10" ht="19.5" customHeight="1" x14ac:dyDescent="0.3">
      <c r="A114" s="129" t="s">
        <v>356</v>
      </c>
      <c r="B114" s="127" t="s">
        <v>357</v>
      </c>
      <c r="C114" s="128" t="s">
        <v>26</v>
      </c>
      <c r="D114" s="128">
        <v>1</v>
      </c>
      <c r="E114" s="126">
        <f t="shared" si="2"/>
        <v>4280</v>
      </c>
      <c r="F114" s="295">
        <v>4000</v>
      </c>
      <c r="J114" s="301"/>
    </row>
    <row r="115" spans="1:10" ht="19.5" customHeight="1" x14ac:dyDescent="0.3">
      <c r="A115" s="129" t="s">
        <v>358</v>
      </c>
      <c r="B115" s="127" t="s">
        <v>359</v>
      </c>
      <c r="C115" s="128" t="s">
        <v>32</v>
      </c>
      <c r="D115" s="128">
        <v>1</v>
      </c>
      <c r="E115" s="126">
        <f t="shared" si="2"/>
        <v>25466</v>
      </c>
      <c r="F115" s="295">
        <v>23800</v>
      </c>
      <c r="J115" s="301"/>
    </row>
    <row r="116" spans="1:10" ht="19.5" customHeight="1" x14ac:dyDescent="0.3">
      <c r="A116" s="129" t="s">
        <v>360</v>
      </c>
      <c r="B116" s="127" t="s">
        <v>361</v>
      </c>
      <c r="C116" s="128" t="s">
        <v>26</v>
      </c>
      <c r="D116" s="128">
        <v>1</v>
      </c>
      <c r="E116" s="126">
        <f t="shared" si="2"/>
        <v>32100.000000000004</v>
      </c>
      <c r="F116" s="295">
        <v>30000</v>
      </c>
      <c r="J116" s="301"/>
    </row>
    <row r="117" spans="1:10" ht="17.25" customHeight="1" x14ac:dyDescent="0.3">
      <c r="A117" s="129" t="s">
        <v>297</v>
      </c>
      <c r="B117" s="304" t="s">
        <v>362</v>
      </c>
      <c r="C117" s="128" t="s">
        <v>26</v>
      </c>
      <c r="D117" s="128">
        <v>1</v>
      </c>
      <c r="E117" s="126">
        <f t="shared" si="2"/>
        <v>4280</v>
      </c>
      <c r="F117" s="295">
        <v>4000</v>
      </c>
    </row>
    <row r="118" spans="1:10" ht="19.5" customHeight="1" x14ac:dyDescent="0.3">
      <c r="A118" s="129" t="s">
        <v>363</v>
      </c>
      <c r="B118" s="127" t="s">
        <v>364</v>
      </c>
      <c r="C118" s="128" t="s">
        <v>25</v>
      </c>
      <c r="D118" s="128">
        <v>1</v>
      </c>
      <c r="E118" s="126">
        <f t="shared" si="2"/>
        <v>1166.3</v>
      </c>
      <c r="F118" s="295">
        <v>1090</v>
      </c>
      <c r="J118" s="301"/>
    </row>
    <row r="119" spans="1:10" ht="19.5" customHeight="1" x14ac:dyDescent="0.3">
      <c r="A119" s="129" t="s">
        <v>365</v>
      </c>
      <c r="B119" s="127" t="s">
        <v>366</v>
      </c>
      <c r="C119" s="128" t="s">
        <v>26</v>
      </c>
      <c r="D119" s="128">
        <v>1</v>
      </c>
      <c r="E119" s="126">
        <f t="shared" si="2"/>
        <v>18190</v>
      </c>
      <c r="F119" s="295">
        <v>17000</v>
      </c>
      <c r="J119" s="301"/>
    </row>
    <row r="120" spans="1:10" ht="19.5" customHeight="1" x14ac:dyDescent="0.3">
      <c r="A120" s="129" t="s">
        <v>367</v>
      </c>
      <c r="B120" s="127" t="s">
        <v>368</v>
      </c>
      <c r="C120" s="128" t="s">
        <v>32</v>
      </c>
      <c r="D120" s="128">
        <v>1</v>
      </c>
      <c r="E120" s="126">
        <f t="shared" si="2"/>
        <v>17655</v>
      </c>
      <c r="F120" s="295">
        <v>16500</v>
      </c>
      <c r="J120" s="301"/>
    </row>
    <row r="121" spans="1:10" ht="19.5" customHeight="1" x14ac:dyDescent="0.3">
      <c r="A121" s="129" t="s">
        <v>369</v>
      </c>
      <c r="B121" s="127" t="s">
        <v>370</v>
      </c>
      <c r="C121" s="128" t="s">
        <v>32</v>
      </c>
      <c r="D121" s="128">
        <v>1</v>
      </c>
      <c r="E121" s="126">
        <f t="shared" si="2"/>
        <v>17655</v>
      </c>
      <c r="F121" s="295">
        <v>16500</v>
      </c>
      <c r="J121" s="301"/>
    </row>
    <row r="122" spans="1:10" ht="19.5" customHeight="1" x14ac:dyDescent="0.3">
      <c r="A122" s="129" t="s">
        <v>371</v>
      </c>
      <c r="B122" s="127" t="s">
        <v>372</v>
      </c>
      <c r="C122" s="128" t="s">
        <v>32</v>
      </c>
      <c r="D122" s="128">
        <v>1</v>
      </c>
      <c r="E122" s="126">
        <f t="shared" si="2"/>
        <v>21400</v>
      </c>
      <c r="F122" s="318">
        <v>20000</v>
      </c>
      <c r="J122" s="301"/>
    </row>
    <row r="123" spans="1:10" ht="19.5" customHeight="1" x14ac:dyDescent="0.3">
      <c r="A123" s="129" t="s">
        <v>373</v>
      </c>
      <c r="B123" s="127" t="s">
        <v>374</v>
      </c>
      <c r="C123" s="128" t="s">
        <v>32</v>
      </c>
      <c r="D123" s="128">
        <v>1</v>
      </c>
      <c r="E123" s="126">
        <f t="shared" si="2"/>
        <v>24717</v>
      </c>
      <c r="F123" s="295">
        <v>23100</v>
      </c>
      <c r="J123" s="301"/>
    </row>
    <row r="124" spans="1:10" ht="19.5" customHeight="1" x14ac:dyDescent="0.3">
      <c r="A124" s="129" t="s">
        <v>375</v>
      </c>
      <c r="B124" s="127" t="s">
        <v>376</v>
      </c>
      <c r="C124" s="128" t="s">
        <v>32</v>
      </c>
      <c r="D124" s="128">
        <v>1</v>
      </c>
      <c r="E124" s="126">
        <f t="shared" si="2"/>
        <v>27392</v>
      </c>
      <c r="F124" s="295">
        <v>25600</v>
      </c>
      <c r="J124" s="301"/>
    </row>
    <row r="125" spans="1:10" ht="19.5" customHeight="1" x14ac:dyDescent="0.3">
      <c r="A125" s="129" t="s">
        <v>377</v>
      </c>
      <c r="B125" s="127" t="s">
        <v>378</v>
      </c>
      <c r="C125" s="128" t="s">
        <v>25</v>
      </c>
      <c r="D125" s="128">
        <v>1</v>
      </c>
      <c r="E125" s="126">
        <f t="shared" si="2"/>
        <v>1774.0600000000002</v>
      </c>
      <c r="F125" s="295">
        <v>1658</v>
      </c>
      <c r="J125" s="301"/>
    </row>
    <row r="126" spans="1:10" ht="19.5" customHeight="1" x14ac:dyDescent="0.3">
      <c r="A126" s="129" t="s">
        <v>379</v>
      </c>
      <c r="B126" s="127" t="s">
        <v>380</v>
      </c>
      <c r="C126" s="128" t="s">
        <v>26</v>
      </c>
      <c r="D126" s="128">
        <v>1</v>
      </c>
      <c r="E126" s="126">
        <f t="shared" si="2"/>
        <v>1284</v>
      </c>
      <c r="F126" s="295">
        <v>1200</v>
      </c>
      <c r="J126" s="301"/>
    </row>
    <row r="127" spans="1:10" ht="19.5" customHeight="1" x14ac:dyDescent="0.3">
      <c r="A127" s="129" t="s">
        <v>381</v>
      </c>
      <c r="B127" s="127" t="s">
        <v>382</v>
      </c>
      <c r="C127" s="128" t="s">
        <v>383</v>
      </c>
      <c r="D127" s="128">
        <v>1</v>
      </c>
      <c r="E127" s="126">
        <f t="shared" si="2"/>
        <v>6955</v>
      </c>
      <c r="F127" s="295">
        <v>6500</v>
      </c>
      <c r="J127" s="301"/>
    </row>
    <row r="128" spans="1:10" ht="19.5" customHeight="1" x14ac:dyDescent="0.3">
      <c r="A128" s="129" t="s">
        <v>384</v>
      </c>
      <c r="B128" s="127" t="s">
        <v>385</v>
      </c>
      <c r="C128" s="128" t="s">
        <v>39</v>
      </c>
      <c r="D128" s="128">
        <v>1</v>
      </c>
      <c r="E128" s="126">
        <f t="shared" si="2"/>
        <v>20651</v>
      </c>
      <c r="F128" s="295">
        <v>19300</v>
      </c>
      <c r="J128" s="301"/>
    </row>
    <row r="129" spans="1:10" ht="19.5" customHeight="1" x14ac:dyDescent="0.3">
      <c r="A129" s="129" t="s">
        <v>386</v>
      </c>
      <c r="B129" s="127" t="s">
        <v>387</v>
      </c>
      <c r="C129" s="128" t="s">
        <v>39</v>
      </c>
      <c r="D129" s="128">
        <v>1</v>
      </c>
      <c r="E129" s="126">
        <f t="shared" si="2"/>
        <v>20651</v>
      </c>
      <c r="F129" s="295">
        <v>19300</v>
      </c>
      <c r="J129" s="301"/>
    </row>
    <row r="130" spans="1:10" ht="19.5" customHeight="1" x14ac:dyDescent="0.3">
      <c r="A130" s="129" t="s">
        <v>388</v>
      </c>
      <c r="B130" s="127" t="s">
        <v>389</v>
      </c>
      <c r="C130" s="128" t="s">
        <v>39</v>
      </c>
      <c r="D130" s="128">
        <v>1</v>
      </c>
      <c r="E130" s="126">
        <f t="shared" si="2"/>
        <v>16906</v>
      </c>
      <c r="F130" s="295">
        <v>15800</v>
      </c>
      <c r="J130" s="301"/>
    </row>
    <row r="131" spans="1:10" ht="19.5" customHeight="1" x14ac:dyDescent="0.3">
      <c r="A131" s="129" t="s">
        <v>390</v>
      </c>
      <c r="B131" s="127" t="s">
        <v>391</v>
      </c>
      <c r="C131" s="128" t="s">
        <v>39</v>
      </c>
      <c r="D131" s="128">
        <v>1</v>
      </c>
      <c r="E131" s="126">
        <f t="shared" si="2"/>
        <v>20865</v>
      </c>
      <c r="F131" s="295">
        <v>19500</v>
      </c>
      <c r="J131" s="301"/>
    </row>
    <row r="132" spans="1:10" ht="19.5" customHeight="1" x14ac:dyDescent="0.3">
      <c r="A132" s="129" t="s">
        <v>392</v>
      </c>
      <c r="B132" s="127" t="s">
        <v>393</v>
      </c>
      <c r="C132" s="128" t="s">
        <v>39</v>
      </c>
      <c r="D132" s="128">
        <v>1</v>
      </c>
      <c r="E132" s="126">
        <f t="shared" si="2"/>
        <v>22149</v>
      </c>
      <c r="F132" s="295">
        <v>20700</v>
      </c>
      <c r="J132" s="301"/>
    </row>
    <row r="133" spans="1:10" ht="19.5" customHeight="1" x14ac:dyDescent="0.3">
      <c r="A133" s="129" t="s">
        <v>394</v>
      </c>
      <c r="B133" s="127" t="s">
        <v>395</v>
      </c>
      <c r="C133" s="128" t="s">
        <v>39</v>
      </c>
      <c r="D133" s="128">
        <v>1</v>
      </c>
      <c r="E133" s="126">
        <f t="shared" si="2"/>
        <v>27606</v>
      </c>
      <c r="F133" s="295">
        <v>25800</v>
      </c>
      <c r="J133" s="301"/>
    </row>
    <row r="134" spans="1:10" ht="14.4" x14ac:dyDescent="0.3">
      <c r="A134" s="129" t="s">
        <v>396</v>
      </c>
      <c r="B134" s="127" t="s">
        <v>397</v>
      </c>
      <c r="C134" s="128" t="s">
        <v>39</v>
      </c>
      <c r="D134" s="128">
        <v>1</v>
      </c>
      <c r="E134" s="126">
        <f t="shared" si="2"/>
        <v>28676</v>
      </c>
      <c r="F134" s="295">
        <v>26800</v>
      </c>
      <c r="J134" s="301"/>
    </row>
    <row r="135" spans="1:10" ht="19.5" customHeight="1" x14ac:dyDescent="0.3">
      <c r="A135" s="129" t="s">
        <v>398</v>
      </c>
      <c r="B135" s="127" t="s">
        <v>399</v>
      </c>
      <c r="C135" s="128" t="s">
        <v>39</v>
      </c>
      <c r="D135" s="128">
        <v>1</v>
      </c>
      <c r="E135" s="126">
        <f t="shared" si="2"/>
        <v>37343</v>
      </c>
      <c r="F135" s="295">
        <v>34900</v>
      </c>
      <c r="J135" s="301"/>
    </row>
    <row r="136" spans="1:10" ht="19.5" customHeight="1" x14ac:dyDescent="0.3">
      <c r="A136" s="129" t="s">
        <v>400</v>
      </c>
      <c r="B136" s="127" t="s">
        <v>401</v>
      </c>
      <c r="C136" s="128" t="s">
        <v>32</v>
      </c>
      <c r="D136" s="128">
        <v>1</v>
      </c>
      <c r="E136" s="126">
        <f t="shared" si="2"/>
        <v>141775</v>
      </c>
      <c r="F136" s="295">
        <v>132500</v>
      </c>
      <c r="J136" s="301"/>
    </row>
    <row r="137" spans="1:10" ht="19.5" customHeight="1" x14ac:dyDescent="0.3">
      <c r="A137" s="129" t="s">
        <v>402</v>
      </c>
      <c r="B137" s="127" t="s">
        <v>403</v>
      </c>
      <c r="C137" s="128" t="s">
        <v>26</v>
      </c>
      <c r="D137" s="128">
        <v>1</v>
      </c>
      <c r="E137" s="126">
        <f t="shared" si="2"/>
        <v>23529.300000000003</v>
      </c>
      <c r="F137" s="295">
        <v>21990</v>
      </c>
      <c r="J137" s="301"/>
    </row>
    <row r="138" spans="1:10" ht="19.5" customHeight="1" x14ac:dyDescent="0.3">
      <c r="A138" s="129" t="s">
        <v>404</v>
      </c>
      <c r="B138" s="127" t="s">
        <v>405</v>
      </c>
      <c r="C138" s="128" t="s">
        <v>26</v>
      </c>
      <c r="D138" s="128">
        <v>1</v>
      </c>
      <c r="E138" s="126">
        <f t="shared" si="2"/>
        <v>81213</v>
      </c>
      <c r="F138" s="295">
        <v>75900</v>
      </c>
      <c r="J138" s="301"/>
    </row>
    <row r="139" spans="1:10" ht="19.5" customHeight="1" x14ac:dyDescent="0.3">
      <c r="A139" s="129" t="s">
        <v>406</v>
      </c>
      <c r="B139" s="127" t="s">
        <v>407</v>
      </c>
      <c r="C139" s="128" t="s">
        <v>26</v>
      </c>
      <c r="D139" s="128">
        <v>1</v>
      </c>
      <c r="E139" s="126">
        <f t="shared" si="2"/>
        <v>149693</v>
      </c>
      <c r="F139" s="295">
        <v>139900</v>
      </c>
      <c r="J139" s="301"/>
    </row>
    <row r="140" spans="1:10" ht="19.5" customHeight="1" x14ac:dyDescent="0.3">
      <c r="A140" s="129" t="s">
        <v>408</v>
      </c>
      <c r="B140" s="127" t="s">
        <v>409</v>
      </c>
      <c r="C140" s="128" t="s">
        <v>26</v>
      </c>
      <c r="D140" s="128">
        <v>1</v>
      </c>
      <c r="E140" s="126">
        <f t="shared" si="2"/>
        <v>58743</v>
      </c>
      <c r="F140" s="295">
        <v>54900</v>
      </c>
      <c r="J140" s="301"/>
    </row>
    <row r="141" spans="1:10" ht="19.5" customHeight="1" x14ac:dyDescent="0.3">
      <c r="A141" s="129" t="s">
        <v>410</v>
      </c>
      <c r="B141" s="127" t="s">
        <v>411</v>
      </c>
      <c r="C141" s="128" t="s">
        <v>26</v>
      </c>
      <c r="D141" s="128">
        <v>1</v>
      </c>
      <c r="E141" s="126">
        <f t="shared" si="2"/>
        <v>48043</v>
      </c>
      <c r="F141" s="295">
        <v>44900</v>
      </c>
      <c r="J141" s="301"/>
    </row>
    <row r="142" spans="1:10" ht="19.5" customHeight="1" x14ac:dyDescent="0.3">
      <c r="A142" s="129" t="s">
        <v>412</v>
      </c>
      <c r="B142" s="127" t="s">
        <v>413</v>
      </c>
      <c r="C142" s="128" t="s">
        <v>26</v>
      </c>
      <c r="D142" s="128">
        <v>1</v>
      </c>
      <c r="E142" s="126">
        <f t="shared" si="2"/>
        <v>67399.3</v>
      </c>
      <c r="F142" s="316">
        <v>62990</v>
      </c>
      <c r="J142" s="301"/>
    </row>
    <row r="143" spans="1:10" ht="19.5" customHeight="1" x14ac:dyDescent="0.3">
      <c r="A143" s="129" t="s">
        <v>414</v>
      </c>
      <c r="B143" s="127" t="s">
        <v>415</v>
      </c>
      <c r="C143" s="128" t="s">
        <v>4</v>
      </c>
      <c r="D143" s="128">
        <v>1</v>
      </c>
      <c r="E143" s="126">
        <f t="shared" si="2"/>
        <v>58699.130000000005</v>
      </c>
      <c r="F143" s="295">
        <v>54859</v>
      </c>
    </row>
    <row r="144" spans="1:10" ht="19.5" customHeight="1" x14ac:dyDescent="0.3">
      <c r="A144" s="129" t="s">
        <v>416</v>
      </c>
      <c r="B144" s="127" t="s">
        <v>417</v>
      </c>
      <c r="C144" s="128" t="s">
        <v>4</v>
      </c>
      <c r="D144" s="128">
        <v>1</v>
      </c>
      <c r="E144" s="126">
        <f t="shared" si="2"/>
        <v>79453.919999999998</v>
      </c>
      <c r="F144" s="295">
        <v>74256</v>
      </c>
    </row>
    <row r="145" spans="1:10" ht="19.5" customHeight="1" x14ac:dyDescent="0.3">
      <c r="A145" s="129" t="s">
        <v>418</v>
      </c>
      <c r="B145" s="127" t="s">
        <v>419</v>
      </c>
      <c r="C145" s="128" t="s">
        <v>4</v>
      </c>
      <c r="D145" s="128">
        <v>1</v>
      </c>
      <c r="E145" s="126">
        <f t="shared" si="2"/>
        <v>112687.05</v>
      </c>
      <c r="F145" s="295">
        <v>105315</v>
      </c>
    </row>
    <row r="146" spans="1:10" ht="19.5" customHeight="1" x14ac:dyDescent="0.3">
      <c r="A146" s="129" t="s">
        <v>420</v>
      </c>
      <c r="B146" s="127" t="s">
        <v>421</v>
      </c>
      <c r="C146" s="128" t="s">
        <v>4</v>
      </c>
      <c r="D146" s="128">
        <v>1</v>
      </c>
      <c r="E146" s="126">
        <f t="shared" si="2"/>
        <v>198017.41</v>
      </c>
      <c r="F146" s="295">
        <v>185063</v>
      </c>
    </row>
    <row r="147" spans="1:10" ht="19.5" customHeight="1" x14ac:dyDescent="0.3">
      <c r="A147" s="129" t="s">
        <v>422</v>
      </c>
      <c r="B147" s="127" t="s">
        <v>423</v>
      </c>
      <c r="C147" s="128" t="s">
        <v>42</v>
      </c>
      <c r="D147" s="128">
        <v>1</v>
      </c>
      <c r="E147" s="126">
        <f t="shared" si="2"/>
        <v>17120</v>
      </c>
      <c r="F147" s="295">
        <v>16000</v>
      </c>
      <c r="J147" s="301"/>
    </row>
    <row r="148" spans="1:10" ht="19.5" customHeight="1" x14ac:dyDescent="0.3">
      <c r="A148" s="129" t="s">
        <v>424</v>
      </c>
      <c r="B148" s="127" t="s">
        <v>425</v>
      </c>
      <c r="C148" s="128" t="s">
        <v>39</v>
      </c>
      <c r="D148" s="128">
        <v>1</v>
      </c>
      <c r="E148" s="126">
        <f t="shared" si="2"/>
        <v>16050.000000000002</v>
      </c>
      <c r="F148" s="295">
        <v>15000</v>
      </c>
      <c r="J148" s="301"/>
    </row>
    <row r="149" spans="1:10" ht="19.5" customHeight="1" x14ac:dyDescent="0.3">
      <c r="A149" s="129" t="s">
        <v>426</v>
      </c>
      <c r="B149" s="127" t="s">
        <v>427</v>
      </c>
      <c r="C149" s="128" t="s">
        <v>39</v>
      </c>
      <c r="D149" s="128">
        <v>1</v>
      </c>
      <c r="E149" s="126">
        <f t="shared" si="2"/>
        <v>5350</v>
      </c>
      <c r="F149" s="295">
        <v>5000</v>
      </c>
      <c r="J149" s="301"/>
    </row>
    <row r="150" spans="1:10" ht="19.5" customHeight="1" x14ac:dyDescent="0.3">
      <c r="A150" s="129" t="s">
        <v>428</v>
      </c>
      <c r="B150" s="127" t="s">
        <v>429</v>
      </c>
      <c r="C150" s="128" t="s">
        <v>39</v>
      </c>
      <c r="D150" s="128">
        <v>1</v>
      </c>
      <c r="E150" s="126">
        <f t="shared" si="2"/>
        <v>13375</v>
      </c>
      <c r="F150" s="295">
        <v>12500</v>
      </c>
      <c r="J150" s="301"/>
    </row>
    <row r="151" spans="1:10" ht="19.5" customHeight="1" x14ac:dyDescent="0.3">
      <c r="A151" s="129" t="s">
        <v>430</v>
      </c>
      <c r="B151" s="127" t="s">
        <v>431</v>
      </c>
      <c r="C151" s="128" t="s">
        <v>39</v>
      </c>
      <c r="D151" s="128">
        <v>1</v>
      </c>
      <c r="E151" s="126">
        <f t="shared" si="2"/>
        <v>289007</v>
      </c>
      <c r="F151" s="295">
        <v>270100</v>
      </c>
      <c r="J151" s="301"/>
    </row>
    <row r="152" spans="1:10" ht="19.5" customHeight="1" x14ac:dyDescent="0.3">
      <c r="A152" s="129" t="s">
        <v>432</v>
      </c>
      <c r="B152" s="127" t="s">
        <v>433</v>
      </c>
      <c r="C152" s="128" t="s">
        <v>26</v>
      </c>
      <c r="D152" s="128">
        <v>1</v>
      </c>
      <c r="E152" s="126">
        <f t="shared" si="2"/>
        <v>8025.0000000000009</v>
      </c>
      <c r="F152" s="295">
        <v>7500</v>
      </c>
      <c r="I152" s="26"/>
      <c r="J152" s="301"/>
    </row>
    <row r="153" spans="1:10" s="26" customFormat="1" ht="19.5" customHeight="1" x14ac:dyDescent="0.3">
      <c r="A153" s="129" t="s">
        <v>434</v>
      </c>
      <c r="B153" s="127" t="s">
        <v>435</v>
      </c>
      <c r="C153" s="128" t="s">
        <v>32</v>
      </c>
      <c r="D153" s="128">
        <v>1</v>
      </c>
      <c r="E153" s="126">
        <f t="shared" si="2"/>
        <v>31600.31</v>
      </c>
      <c r="F153" s="319">
        <v>29533</v>
      </c>
      <c r="I153" s="25"/>
      <c r="J153" s="301"/>
    </row>
    <row r="154" spans="1:10" ht="19.5" customHeight="1" x14ac:dyDescent="0.3">
      <c r="A154" s="129" t="s">
        <v>436</v>
      </c>
      <c r="B154" s="127" t="s">
        <v>437</v>
      </c>
      <c r="C154" s="128" t="s">
        <v>32</v>
      </c>
      <c r="D154" s="128">
        <v>1</v>
      </c>
      <c r="E154" s="126">
        <f t="shared" si="2"/>
        <v>4314.2400000000007</v>
      </c>
      <c r="F154" s="295">
        <v>4032</v>
      </c>
      <c r="J154" s="301"/>
    </row>
    <row r="155" spans="1:10" ht="19.5" customHeight="1" x14ac:dyDescent="0.3">
      <c r="A155" s="129" t="s">
        <v>438</v>
      </c>
      <c r="B155" s="127" t="s">
        <v>439</v>
      </c>
      <c r="C155" s="128" t="s">
        <v>32</v>
      </c>
      <c r="D155" s="128">
        <v>1</v>
      </c>
      <c r="E155" s="126">
        <f t="shared" si="2"/>
        <v>2354</v>
      </c>
      <c r="F155" s="295">
        <v>2200</v>
      </c>
      <c r="J155" s="301"/>
    </row>
    <row r="156" spans="1:10" ht="19.5" customHeight="1" x14ac:dyDescent="0.3">
      <c r="A156" s="129" t="s">
        <v>440</v>
      </c>
      <c r="B156" s="127" t="s">
        <v>441</v>
      </c>
      <c r="C156" s="128" t="s">
        <v>32</v>
      </c>
      <c r="D156" s="128">
        <v>1</v>
      </c>
      <c r="E156" s="126">
        <f t="shared" si="2"/>
        <v>160.5</v>
      </c>
      <c r="F156" s="295">
        <v>150</v>
      </c>
      <c r="J156" s="301"/>
    </row>
    <row r="157" spans="1:10" ht="19.5" customHeight="1" x14ac:dyDescent="0.3">
      <c r="A157" s="129" t="s">
        <v>442</v>
      </c>
      <c r="B157" s="127" t="s">
        <v>443</v>
      </c>
      <c r="C157" s="128" t="s">
        <v>26</v>
      </c>
      <c r="D157" s="128">
        <v>1</v>
      </c>
      <c r="E157" s="126">
        <f t="shared" si="2"/>
        <v>2354</v>
      </c>
      <c r="F157" s="295">
        <v>2200</v>
      </c>
      <c r="J157" s="301"/>
    </row>
    <row r="158" spans="1:10" ht="19.5" customHeight="1" x14ac:dyDescent="0.3">
      <c r="A158" s="129" t="s">
        <v>444</v>
      </c>
      <c r="B158" s="127" t="s">
        <v>445</v>
      </c>
      <c r="C158" s="128" t="s">
        <v>446</v>
      </c>
      <c r="D158" s="128">
        <v>1</v>
      </c>
      <c r="E158" s="126">
        <f t="shared" si="2"/>
        <v>82925</v>
      </c>
      <c r="F158" s="295">
        <v>77500</v>
      </c>
      <c r="J158" s="301"/>
    </row>
    <row r="159" spans="1:10" ht="19.5" customHeight="1" x14ac:dyDescent="0.3">
      <c r="A159" s="129" t="s">
        <v>447</v>
      </c>
      <c r="B159" s="127" t="s">
        <v>448</v>
      </c>
      <c r="C159" s="128" t="s">
        <v>32</v>
      </c>
      <c r="D159" s="128">
        <v>1</v>
      </c>
      <c r="E159" s="126">
        <f t="shared" si="2"/>
        <v>11663</v>
      </c>
      <c r="F159" s="295">
        <v>10900</v>
      </c>
      <c r="J159" s="301"/>
    </row>
    <row r="160" spans="1:10" ht="19.5" customHeight="1" x14ac:dyDescent="0.3">
      <c r="A160" s="129" t="s">
        <v>449</v>
      </c>
      <c r="B160" s="127" t="s">
        <v>450</v>
      </c>
      <c r="C160" s="128" t="s">
        <v>32</v>
      </c>
      <c r="D160" s="128">
        <v>1</v>
      </c>
      <c r="E160" s="126">
        <f t="shared" ref="E160:E223" si="3">+F160*(1+$E$29)</f>
        <v>17334</v>
      </c>
      <c r="F160" s="295">
        <v>16200</v>
      </c>
      <c r="J160" s="301"/>
    </row>
    <row r="161" spans="1:10" ht="19.5" customHeight="1" x14ac:dyDescent="0.3">
      <c r="A161" s="129" t="s">
        <v>451</v>
      </c>
      <c r="B161" s="127" t="s">
        <v>452</v>
      </c>
      <c r="C161" s="128" t="s">
        <v>26</v>
      </c>
      <c r="D161" s="128">
        <v>1</v>
      </c>
      <c r="E161" s="126">
        <f t="shared" si="3"/>
        <v>12305</v>
      </c>
      <c r="F161" s="295">
        <v>11500</v>
      </c>
      <c r="J161" s="301"/>
    </row>
    <row r="162" spans="1:10" ht="19.5" customHeight="1" x14ac:dyDescent="0.3">
      <c r="A162" s="129" t="s">
        <v>453</v>
      </c>
      <c r="B162" s="127" t="s">
        <v>454</v>
      </c>
      <c r="C162" s="128" t="s">
        <v>26</v>
      </c>
      <c r="D162" s="128">
        <v>1</v>
      </c>
      <c r="E162" s="126">
        <f t="shared" si="3"/>
        <v>31543.600000000002</v>
      </c>
      <c r="F162" s="295">
        <v>29480</v>
      </c>
      <c r="J162" s="301"/>
    </row>
    <row r="163" spans="1:10" ht="19.5" customHeight="1" x14ac:dyDescent="0.3">
      <c r="A163" s="129" t="s">
        <v>455</v>
      </c>
      <c r="B163" s="127" t="s">
        <v>456</v>
      </c>
      <c r="C163" s="128" t="s">
        <v>26</v>
      </c>
      <c r="D163" s="128">
        <v>1</v>
      </c>
      <c r="E163" s="126">
        <f t="shared" si="3"/>
        <v>10842.310000000001</v>
      </c>
      <c r="F163" s="295">
        <v>10133</v>
      </c>
      <c r="J163" s="301"/>
    </row>
    <row r="164" spans="1:10" ht="19.5" customHeight="1" x14ac:dyDescent="0.3">
      <c r="A164" s="129" t="s">
        <v>457</v>
      </c>
      <c r="B164" s="127" t="s">
        <v>458</v>
      </c>
      <c r="C164" s="128" t="s">
        <v>26</v>
      </c>
      <c r="D164" s="128">
        <v>1</v>
      </c>
      <c r="E164" s="126">
        <f t="shared" si="3"/>
        <v>13803</v>
      </c>
      <c r="F164" s="295">
        <v>12900</v>
      </c>
      <c r="J164" s="301"/>
    </row>
    <row r="165" spans="1:10" ht="19.5" customHeight="1" x14ac:dyDescent="0.3">
      <c r="A165" s="129" t="s">
        <v>459</v>
      </c>
      <c r="B165" s="127" t="s">
        <v>460</v>
      </c>
      <c r="C165" s="128" t="s">
        <v>26</v>
      </c>
      <c r="D165" s="128">
        <v>1</v>
      </c>
      <c r="E165" s="126">
        <f t="shared" si="3"/>
        <v>17149.960000000003</v>
      </c>
      <c r="F165" s="295">
        <v>16028</v>
      </c>
      <c r="J165" s="301"/>
    </row>
    <row r="166" spans="1:10" ht="19.5" customHeight="1" x14ac:dyDescent="0.3">
      <c r="A166" s="129" t="s">
        <v>461</v>
      </c>
      <c r="B166" s="127" t="s">
        <v>462</v>
      </c>
      <c r="C166" s="128" t="s">
        <v>26</v>
      </c>
      <c r="D166" s="128">
        <v>1</v>
      </c>
      <c r="E166" s="126">
        <f t="shared" si="3"/>
        <v>18783.850000000002</v>
      </c>
      <c r="F166" s="295">
        <v>17555</v>
      </c>
      <c r="J166" s="301"/>
    </row>
    <row r="167" spans="1:10" ht="18.75" customHeight="1" x14ac:dyDescent="0.3">
      <c r="A167" s="129" t="s">
        <v>463</v>
      </c>
      <c r="B167" s="127" t="s">
        <v>464</v>
      </c>
      <c r="C167" s="128" t="s">
        <v>26</v>
      </c>
      <c r="D167" s="128">
        <v>1</v>
      </c>
      <c r="E167" s="126">
        <f t="shared" si="3"/>
        <v>60765.3</v>
      </c>
      <c r="F167" s="295">
        <v>56790</v>
      </c>
      <c r="J167" s="301"/>
    </row>
    <row r="168" spans="1:10" ht="40.5" customHeight="1" x14ac:dyDescent="0.3">
      <c r="A168" s="129" t="s">
        <v>465</v>
      </c>
      <c r="B168" s="132" t="s">
        <v>466</v>
      </c>
      <c r="C168" s="128" t="s">
        <v>26</v>
      </c>
      <c r="D168" s="128">
        <v>1</v>
      </c>
      <c r="E168" s="126">
        <f t="shared" si="3"/>
        <v>1337500</v>
      </c>
      <c r="F168" s="295">
        <v>1250000</v>
      </c>
      <c r="J168" s="301"/>
    </row>
    <row r="169" spans="1:10" ht="40.5" customHeight="1" x14ac:dyDescent="0.3">
      <c r="A169" s="129" t="s">
        <v>467</v>
      </c>
      <c r="B169" s="132" t="s">
        <v>468</v>
      </c>
      <c r="C169" s="128" t="s">
        <v>26</v>
      </c>
      <c r="D169" s="128">
        <v>1</v>
      </c>
      <c r="E169" s="126">
        <f t="shared" si="3"/>
        <v>2196257.39</v>
      </c>
      <c r="F169" s="295">
        <v>2052577</v>
      </c>
      <c r="J169" s="301"/>
    </row>
    <row r="170" spans="1:10" ht="19.5" customHeight="1" x14ac:dyDescent="0.3">
      <c r="A170" s="129" t="s">
        <v>469</v>
      </c>
      <c r="B170" s="127" t="s">
        <v>470</v>
      </c>
      <c r="C170" s="128" t="s">
        <v>32</v>
      </c>
      <c r="D170" s="128">
        <v>1</v>
      </c>
      <c r="E170" s="126">
        <f t="shared" si="3"/>
        <v>53714</v>
      </c>
      <c r="F170" s="295">
        <v>50200</v>
      </c>
      <c r="J170" s="301"/>
    </row>
    <row r="171" spans="1:10" ht="19.5" customHeight="1" x14ac:dyDescent="0.3">
      <c r="A171" s="129" t="s">
        <v>471</v>
      </c>
      <c r="B171" s="127" t="s">
        <v>472</v>
      </c>
      <c r="C171" s="128" t="s">
        <v>42</v>
      </c>
      <c r="D171" s="128">
        <v>1</v>
      </c>
      <c r="E171" s="126">
        <f t="shared" si="3"/>
        <v>460100</v>
      </c>
      <c r="F171" s="295">
        <v>430000</v>
      </c>
      <c r="J171" s="301"/>
    </row>
    <row r="172" spans="1:10" s="23" customFormat="1" ht="19.5" customHeight="1" x14ac:dyDescent="0.3">
      <c r="A172" s="129" t="s">
        <v>473</v>
      </c>
      <c r="B172" s="127" t="s">
        <v>474</v>
      </c>
      <c r="C172" s="128" t="s">
        <v>42</v>
      </c>
      <c r="D172" s="128">
        <v>1</v>
      </c>
      <c r="E172" s="126">
        <f t="shared" si="3"/>
        <v>400326.59</v>
      </c>
      <c r="F172" s="295">
        <v>374137</v>
      </c>
      <c r="I172" s="25"/>
      <c r="J172" s="301"/>
    </row>
    <row r="173" spans="1:10" ht="19.5" customHeight="1" x14ac:dyDescent="0.3">
      <c r="A173" s="129" t="s">
        <v>475</v>
      </c>
      <c r="B173" s="127" t="s">
        <v>476</v>
      </c>
      <c r="C173" s="128" t="s">
        <v>32</v>
      </c>
      <c r="D173" s="128">
        <v>1</v>
      </c>
      <c r="E173" s="126">
        <f t="shared" si="3"/>
        <v>12023.59</v>
      </c>
      <c r="F173" s="295">
        <v>11237</v>
      </c>
      <c r="J173" s="301"/>
    </row>
    <row r="174" spans="1:10" ht="18.75" customHeight="1" x14ac:dyDescent="0.3">
      <c r="A174" s="129" t="s">
        <v>477</v>
      </c>
      <c r="B174" s="127" t="s">
        <v>478</v>
      </c>
      <c r="C174" s="128" t="s">
        <v>26</v>
      </c>
      <c r="D174" s="128">
        <v>1</v>
      </c>
      <c r="E174" s="126">
        <f t="shared" si="3"/>
        <v>20009</v>
      </c>
      <c r="F174" s="320">
        <v>18700</v>
      </c>
      <c r="J174" s="301"/>
    </row>
    <row r="175" spans="1:10" ht="19.5" customHeight="1" x14ac:dyDescent="0.3">
      <c r="A175" s="129" t="s">
        <v>479</v>
      </c>
      <c r="B175" s="127" t="s">
        <v>480</v>
      </c>
      <c r="C175" s="128" t="s">
        <v>26</v>
      </c>
      <c r="D175" s="128">
        <v>1</v>
      </c>
      <c r="E175" s="126">
        <f t="shared" si="3"/>
        <v>246.10000000000002</v>
      </c>
      <c r="F175" s="295">
        <v>230</v>
      </c>
      <c r="J175" s="301"/>
    </row>
    <row r="176" spans="1:10" ht="19.5" customHeight="1" x14ac:dyDescent="0.3">
      <c r="A176" s="129" t="s">
        <v>481</v>
      </c>
      <c r="B176" s="127" t="s">
        <v>482</v>
      </c>
      <c r="C176" s="128" t="s">
        <v>26</v>
      </c>
      <c r="D176" s="128">
        <v>1</v>
      </c>
      <c r="E176" s="126">
        <f t="shared" si="3"/>
        <v>53733.26</v>
      </c>
      <c r="F176" s="295">
        <v>50218</v>
      </c>
      <c r="J176" s="301"/>
    </row>
    <row r="177" spans="1:10" ht="19.5" customHeight="1" x14ac:dyDescent="0.3">
      <c r="A177" s="129" t="s">
        <v>483</v>
      </c>
      <c r="B177" s="127" t="s">
        <v>484</v>
      </c>
      <c r="C177" s="128" t="s">
        <v>32</v>
      </c>
      <c r="D177" s="128">
        <v>1</v>
      </c>
      <c r="E177" s="126">
        <f t="shared" si="3"/>
        <v>2247</v>
      </c>
      <c r="F177" s="295">
        <v>2100</v>
      </c>
      <c r="J177" s="301"/>
    </row>
    <row r="178" spans="1:10" ht="19.5" customHeight="1" x14ac:dyDescent="0.3">
      <c r="A178" s="129" t="s">
        <v>485</v>
      </c>
      <c r="B178" s="127" t="s">
        <v>486</v>
      </c>
      <c r="C178" s="128" t="s">
        <v>32</v>
      </c>
      <c r="D178" s="128">
        <v>1</v>
      </c>
      <c r="E178" s="126">
        <f t="shared" si="3"/>
        <v>66340</v>
      </c>
      <c r="F178" s="295">
        <v>62000</v>
      </c>
      <c r="I178" s="50"/>
      <c r="J178" s="301"/>
    </row>
    <row r="179" spans="1:10" ht="19.5" customHeight="1" x14ac:dyDescent="0.3">
      <c r="A179" s="129" t="s">
        <v>487</v>
      </c>
      <c r="B179" s="127" t="s">
        <v>488</v>
      </c>
      <c r="C179" s="128" t="s">
        <v>32</v>
      </c>
      <c r="D179" s="128">
        <v>1</v>
      </c>
      <c r="E179" s="126">
        <f t="shared" si="3"/>
        <v>79180</v>
      </c>
      <c r="F179" s="295">
        <v>74000</v>
      </c>
      <c r="J179" s="301"/>
    </row>
    <row r="180" spans="1:10" ht="19.5" customHeight="1" x14ac:dyDescent="0.3">
      <c r="A180" s="129" t="s">
        <v>489</v>
      </c>
      <c r="B180" s="127" t="s">
        <v>490</v>
      </c>
      <c r="C180" s="128" t="s">
        <v>26</v>
      </c>
      <c r="D180" s="128">
        <v>1</v>
      </c>
      <c r="E180" s="126">
        <f t="shared" si="3"/>
        <v>29371.5</v>
      </c>
      <c r="F180" s="295">
        <v>27450</v>
      </c>
      <c r="J180" s="301"/>
    </row>
    <row r="181" spans="1:10" ht="18.75" customHeight="1" x14ac:dyDescent="0.3">
      <c r="A181" s="129" t="s">
        <v>491</v>
      </c>
      <c r="B181" s="127" t="s">
        <v>492</v>
      </c>
      <c r="C181" s="128" t="s">
        <v>26</v>
      </c>
      <c r="D181" s="128">
        <v>1</v>
      </c>
      <c r="E181" s="126">
        <f t="shared" si="3"/>
        <v>74900</v>
      </c>
      <c r="F181" s="295">
        <v>70000</v>
      </c>
      <c r="J181" s="301"/>
    </row>
    <row r="182" spans="1:10" ht="27.75" customHeight="1" x14ac:dyDescent="0.3">
      <c r="A182" s="129" t="s">
        <v>493</v>
      </c>
      <c r="B182" s="132" t="s">
        <v>494</v>
      </c>
      <c r="C182" s="128" t="s">
        <v>32</v>
      </c>
      <c r="D182" s="128">
        <v>1</v>
      </c>
      <c r="E182" s="126">
        <f t="shared" si="3"/>
        <v>462454</v>
      </c>
      <c r="F182" s="295">
        <v>432200</v>
      </c>
      <c r="J182" s="301"/>
    </row>
    <row r="183" spans="1:10" ht="19.5" customHeight="1" x14ac:dyDescent="0.3">
      <c r="A183" s="129" t="s">
        <v>495</v>
      </c>
      <c r="B183" s="133" t="s">
        <v>496</v>
      </c>
      <c r="C183" s="27" t="s">
        <v>26</v>
      </c>
      <c r="D183" s="128">
        <v>1</v>
      </c>
      <c r="E183" s="126">
        <f t="shared" si="3"/>
        <v>1712</v>
      </c>
      <c r="F183" s="295">
        <v>1600</v>
      </c>
      <c r="J183" s="301"/>
    </row>
    <row r="184" spans="1:10" ht="18.75" customHeight="1" x14ac:dyDescent="0.3">
      <c r="A184" s="129" t="s">
        <v>497</v>
      </c>
      <c r="B184" s="127" t="s">
        <v>498</v>
      </c>
      <c r="C184" s="128" t="s">
        <v>32</v>
      </c>
      <c r="D184" s="128">
        <v>1</v>
      </c>
      <c r="E184" s="126">
        <f t="shared" si="3"/>
        <v>4494</v>
      </c>
      <c r="F184" s="295">
        <v>4200</v>
      </c>
      <c r="J184" s="301"/>
    </row>
    <row r="185" spans="1:10" ht="18.75" customHeight="1" x14ac:dyDescent="0.3">
      <c r="A185" s="129" t="s">
        <v>499</v>
      </c>
      <c r="B185" s="127" t="s">
        <v>500</v>
      </c>
      <c r="C185" s="128" t="s">
        <v>32</v>
      </c>
      <c r="D185" s="128">
        <v>1</v>
      </c>
      <c r="E185" s="126">
        <f t="shared" si="3"/>
        <v>252520.00000000003</v>
      </c>
      <c r="F185" s="295">
        <v>236000</v>
      </c>
      <c r="J185" s="301"/>
    </row>
    <row r="186" spans="1:10" ht="18.75" customHeight="1" x14ac:dyDescent="0.3">
      <c r="A186" s="129" t="s">
        <v>501</v>
      </c>
      <c r="B186" s="127" t="s">
        <v>502</v>
      </c>
      <c r="C186" s="128" t="s">
        <v>26</v>
      </c>
      <c r="D186" s="128">
        <v>1</v>
      </c>
      <c r="E186" s="126">
        <f t="shared" si="3"/>
        <v>1712</v>
      </c>
      <c r="F186" s="295">
        <v>1600</v>
      </c>
      <c r="J186" s="301"/>
    </row>
    <row r="187" spans="1:10" ht="18.75" customHeight="1" x14ac:dyDescent="0.3">
      <c r="A187" s="129" t="s">
        <v>503</v>
      </c>
      <c r="B187" s="127" t="s">
        <v>504</v>
      </c>
      <c r="C187" s="128" t="s">
        <v>32</v>
      </c>
      <c r="D187" s="128">
        <v>1</v>
      </c>
      <c r="E187" s="126">
        <f t="shared" si="3"/>
        <v>13610.400000000001</v>
      </c>
      <c r="F187" s="295">
        <v>12720</v>
      </c>
      <c r="J187" s="301"/>
    </row>
    <row r="188" spans="1:10" ht="19.5" customHeight="1" x14ac:dyDescent="0.3">
      <c r="A188" s="129" t="s">
        <v>505</v>
      </c>
      <c r="B188" s="127" t="s">
        <v>506</v>
      </c>
      <c r="C188" s="128" t="s">
        <v>32</v>
      </c>
      <c r="D188" s="128">
        <v>1</v>
      </c>
      <c r="E188" s="126">
        <f t="shared" si="3"/>
        <v>321</v>
      </c>
      <c r="F188" s="295">
        <v>300</v>
      </c>
      <c r="J188" s="301"/>
    </row>
    <row r="189" spans="1:10" ht="19.5" customHeight="1" x14ac:dyDescent="0.3">
      <c r="A189" s="129" t="s">
        <v>507</v>
      </c>
      <c r="B189" s="127" t="s">
        <v>508</v>
      </c>
      <c r="C189" s="128" t="s">
        <v>32</v>
      </c>
      <c r="D189" s="128">
        <v>1</v>
      </c>
      <c r="E189" s="126">
        <f t="shared" si="3"/>
        <v>3060.2000000000003</v>
      </c>
      <c r="F189" s="295">
        <v>2860</v>
      </c>
      <c r="J189" s="301"/>
    </row>
    <row r="190" spans="1:10" ht="19.5" customHeight="1" x14ac:dyDescent="0.3">
      <c r="A190" s="129" t="s">
        <v>509</v>
      </c>
      <c r="B190" s="127" t="s">
        <v>510</v>
      </c>
      <c r="C190" s="128" t="s">
        <v>25</v>
      </c>
      <c r="D190" s="128">
        <v>1</v>
      </c>
      <c r="E190" s="126">
        <f t="shared" si="3"/>
        <v>16050.000000000002</v>
      </c>
      <c r="F190" s="295">
        <v>15000</v>
      </c>
      <c r="J190" s="301"/>
    </row>
    <row r="191" spans="1:10" ht="19.5" customHeight="1" x14ac:dyDescent="0.3">
      <c r="A191" s="129" t="s">
        <v>511</v>
      </c>
      <c r="B191" s="127" t="s">
        <v>512</v>
      </c>
      <c r="C191" s="128" t="s">
        <v>513</v>
      </c>
      <c r="D191" s="128">
        <v>1</v>
      </c>
      <c r="E191" s="126">
        <f t="shared" si="3"/>
        <v>33422.520000000004</v>
      </c>
      <c r="F191" s="295">
        <v>31236</v>
      </c>
      <c r="J191" s="301"/>
    </row>
    <row r="192" spans="1:10" ht="18.75" customHeight="1" x14ac:dyDescent="0.3">
      <c r="A192" s="129" t="s">
        <v>514</v>
      </c>
      <c r="B192" s="127" t="s">
        <v>515</v>
      </c>
      <c r="C192" s="128" t="s">
        <v>513</v>
      </c>
      <c r="D192" s="128">
        <v>1</v>
      </c>
      <c r="E192" s="126">
        <f t="shared" si="3"/>
        <v>31019.300000000003</v>
      </c>
      <c r="F192" s="295">
        <v>28990</v>
      </c>
      <c r="J192" s="301"/>
    </row>
    <row r="193" spans="1:10" ht="19.5" customHeight="1" x14ac:dyDescent="0.3">
      <c r="A193" s="129" t="s">
        <v>516</v>
      </c>
      <c r="B193" s="127" t="s">
        <v>517</v>
      </c>
      <c r="C193" s="128" t="s">
        <v>513</v>
      </c>
      <c r="D193" s="128">
        <v>1</v>
      </c>
      <c r="E193" s="126">
        <f t="shared" si="3"/>
        <v>14980</v>
      </c>
      <c r="F193" s="295">
        <v>14000</v>
      </c>
      <c r="J193" s="301"/>
    </row>
    <row r="194" spans="1:10" ht="19.5" customHeight="1" x14ac:dyDescent="0.3">
      <c r="A194" s="129" t="s">
        <v>518</v>
      </c>
      <c r="B194" s="127" t="s">
        <v>519</v>
      </c>
      <c r="C194" s="128" t="s">
        <v>39</v>
      </c>
      <c r="D194" s="128">
        <v>1</v>
      </c>
      <c r="E194" s="126">
        <f t="shared" si="3"/>
        <v>535000</v>
      </c>
      <c r="F194" s="295">
        <v>500000</v>
      </c>
      <c r="J194" s="301"/>
    </row>
    <row r="195" spans="1:10" ht="19.5" customHeight="1" x14ac:dyDescent="0.3">
      <c r="A195" s="129" t="s">
        <v>520</v>
      </c>
      <c r="B195" s="127" t="s">
        <v>521</v>
      </c>
      <c r="C195" s="128" t="s">
        <v>39</v>
      </c>
      <c r="D195" s="128">
        <v>1</v>
      </c>
      <c r="E195" s="126">
        <f t="shared" si="3"/>
        <v>139100</v>
      </c>
      <c r="F195" s="295">
        <v>130000</v>
      </c>
      <c r="J195" s="301"/>
    </row>
    <row r="196" spans="1:10" ht="18.75" customHeight="1" x14ac:dyDescent="0.3">
      <c r="A196" s="129" t="s">
        <v>522</v>
      </c>
      <c r="B196" s="127" t="s">
        <v>523</v>
      </c>
      <c r="C196" s="128" t="s">
        <v>26</v>
      </c>
      <c r="D196" s="128">
        <v>1</v>
      </c>
      <c r="E196" s="126">
        <f t="shared" si="3"/>
        <v>285583</v>
      </c>
      <c r="F196" s="295">
        <v>266900</v>
      </c>
      <c r="J196" s="301"/>
    </row>
    <row r="197" spans="1:10" ht="19.5" customHeight="1" x14ac:dyDescent="0.3">
      <c r="A197" s="129" t="s">
        <v>524</v>
      </c>
      <c r="B197" s="127" t="s">
        <v>525</v>
      </c>
      <c r="C197" s="128" t="s">
        <v>218</v>
      </c>
      <c r="D197" s="128">
        <v>1</v>
      </c>
      <c r="E197" s="126">
        <f t="shared" si="3"/>
        <v>15729.000000000002</v>
      </c>
      <c r="F197" s="295">
        <v>14700</v>
      </c>
      <c r="G197" s="303"/>
      <c r="J197" s="301"/>
    </row>
    <row r="198" spans="1:10" ht="19.5" customHeight="1" x14ac:dyDescent="0.3">
      <c r="A198" s="129" t="s">
        <v>526</v>
      </c>
      <c r="B198" s="127" t="s">
        <v>527</v>
      </c>
      <c r="C198" s="128" t="s">
        <v>32</v>
      </c>
      <c r="D198" s="128">
        <v>1</v>
      </c>
      <c r="E198" s="126">
        <f t="shared" si="3"/>
        <v>1605</v>
      </c>
      <c r="F198" s="295">
        <v>1500</v>
      </c>
      <c r="J198" s="301"/>
    </row>
    <row r="199" spans="1:10" ht="19.5" customHeight="1" x14ac:dyDescent="0.3">
      <c r="A199" s="129" t="s">
        <v>528</v>
      </c>
      <c r="B199" s="127" t="s">
        <v>529</v>
      </c>
      <c r="C199" s="128" t="s">
        <v>32</v>
      </c>
      <c r="D199" s="128">
        <v>1</v>
      </c>
      <c r="E199" s="126">
        <f t="shared" si="3"/>
        <v>963</v>
      </c>
      <c r="F199" s="295">
        <v>900</v>
      </c>
      <c r="J199" s="301"/>
    </row>
    <row r="200" spans="1:10" ht="19.5" customHeight="1" x14ac:dyDescent="0.3">
      <c r="A200" s="129" t="s">
        <v>530</v>
      </c>
      <c r="B200" s="127" t="s">
        <v>531</v>
      </c>
      <c r="C200" s="128" t="s">
        <v>26</v>
      </c>
      <c r="D200" s="128">
        <v>1</v>
      </c>
      <c r="E200" s="126">
        <f t="shared" si="3"/>
        <v>535</v>
      </c>
      <c r="F200" s="295">
        <v>500</v>
      </c>
      <c r="J200" s="301"/>
    </row>
    <row r="201" spans="1:10" ht="19.5" customHeight="1" x14ac:dyDescent="0.3">
      <c r="A201" s="129" t="s">
        <v>532</v>
      </c>
      <c r="B201" s="127" t="s">
        <v>533</v>
      </c>
      <c r="C201" s="128" t="s">
        <v>26</v>
      </c>
      <c r="D201" s="128">
        <v>1</v>
      </c>
      <c r="E201" s="126">
        <f t="shared" si="3"/>
        <v>5350</v>
      </c>
      <c r="F201" s="295">
        <v>5000</v>
      </c>
      <c r="J201" s="301"/>
    </row>
    <row r="202" spans="1:10" ht="19.5" customHeight="1" x14ac:dyDescent="0.3">
      <c r="A202" s="129" t="s">
        <v>534</v>
      </c>
      <c r="B202" s="127" t="s">
        <v>535</v>
      </c>
      <c r="C202" s="128" t="s">
        <v>4</v>
      </c>
      <c r="D202" s="128">
        <v>1</v>
      </c>
      <c r="E202" s="126">
        <f t="shared" si="3"/>
        <v>428</v>
      </c>
      <c r="F202" s="295">
        <v>400</v>
      </c>
      <c r="J202" s="301"/>
    </row>
    <row r="203" spans="1:10" ht="19.5" customHeight="1" x14ac:dyDescent="0.3">
      <c r="A203" s="129" t="s">
        <v>536</v>
      </c>
      <c r="B203" s="127" t="s">
        <v>537</v>
      </c>
      <c r="C203" s="128" t="s">
        <v>39</v>
      </c>
      <c r="D203" s="128">
        <v>1</v>
      </c>
      <c r="E203" s="126">
        <f t="shared" si="3"/>
        <v>126004.27</v>
      </c>
      <c r="F203" s="295">
        <v>117761</v>
      </c>
      <c r="J203" s="301"/>
    </row>
    <row r="204" spans="1:10" ht="19.5" customHeight="1" x14ac:dyDescent="0.3">
      <c r="A204" s="129" t="s">
        <v>538</v>
      </c>
      <c r="B204" s="127" t="s">
        <v>539</v>
      </c>
      <c r="C204" s="128" t="s">
        <v>25</v>
      </c>
      <c r="D204" s="128">
        <v>1</v>
      </c>
      <c r="E204" s="126">
        <f t="shared" si="3"/>
        <v>1155.6000000000001</v>
      </c>
      <c r="F204" s="295">
        <v>1080</v>
      </c>
      <c r="J204" s="301"/>
    </row>
    <row r="205" spans="1:10" ht="19.5" customHeight="1" x14ac:dyDescent="0.3">
      <c r="A205" s="129" t="s">
        <v>540</v>
      </c>
      <c r="B205" s="127" t="s">
        <v>541</v>
      </c>
      <c r="C205" s="128" t="s">
        <v>25</v>
      </c>
      <c r="D205" s="128">
        <v>1</v>
      </c>
      <c r="E205" s="126">
        <f t="shared" si="3"/>
        <v>1155.6000000000001</v>
      </c>
      <c r="F205" s="295">
        <v>1080</v>
      </c>
      <c r="J205" s="301"/>
    </row>
    <row r="206" spans="1:10" ht="19.5" customHeight="1" x14ac:dyDescent="0.3">
      <c r="A206" s="129" t="s">
        <v>542</v>
      </c>
      <c r="B206" s="127" t="s">
        <v>543</v>
      </c>
      <c r="C206" s="128" t="s">
        <v>218</v>
      </c>
      <c r="D206" s="128">
        <v>1</v>
      </c>
      <c r="E206" s="126">
        <f t="shared" si="3"/>
        <v>1568.6200000000001</v>
      </c>
      <c r="F206" s="295">
        <v>1466</v>
      </c>
      <c r="J206" s="301"/>
    </row>
    <row r="207" spans="1:10" ht="19.5" customHeight="1" x14ac:dyDescent="0.3">
      <c r="A207" s="129" t="s">
        <v>544</v>
      </c>
      <c r="B207" s="127" t="s">
        <v>545</v>
      </c>
      <c r="C207" s="128" t="s">
        <v>26</v>
      </c>
      <c r="D207" s="128">
        <v>1</v>
      </c>
      <c r="E207" s="126">
        <f t="shared" si="3"/>
        <v>12612.09</v>
      </c>
      <c r="F207" s="295">
        <v>11787</v>
      </c>
      <c r="G207" s="75"/>
      <c r="J207" s="301"/>
    </row>
    <row r="208" spans="1:10" ht="19.5" customHeight="1" x14ac:dyDescent="0.3">
      <c r="A208" s="129" t="s">
        <v>546</v>
      </c>
      <c r="B208" s="127" t="s">
        <v>547</v>
      </c>
      <c r="C208" s="128" t="s">
        <v>39</v>
      </c>
      <c r="D208" s="128">
        <v>1</v>
      </c>
      <c r="E208" s="126">
        <f t="shared" si="3"/>
        <v>15194</v>
      </c>
      <c r="F208" s="295">
        <v>14200</v>
      </c>
      <c r="J208" s="301"/>
    </row>
    <row r="209" spans="1:10" ht="19.5" customHeight="1" x14ac:dyDescent="0.3">
      <c r="A209" s="129" t="s">
        <v>548</v>
      </c>
      <c r="B209" s="127" t="s">
        <v>549</v>
      </c>
      <c r="C209" s="128" t="s">
        <v>25</v>
      </c>
      <c r="D209" s="128">
        <v>1</v>
      </c>
      <c r="E209" s="126">
        <f t="shared" si="3"/>
        <v>37450</v>
      </c>
      <c r="F209" s="295">
        <v>35000</v>
      </c>
      <c r="J209" s="301"/>
    </row>
    <row r="210" spans="1:10" ht="19.5" customHeight="1" x14ac:dyDescent="0.3">
      <c r="A210" s="129" t="s">
        <v>550</v>
      </c>
      <c r="B210" s="127" t="s">
        <v>551</v>
      </c>
      <c r="C210" s="128" t="s">
        <v>26</v>
      </c>
      <c r="D210" s="128">
        <v>1</v>
      </c>
      <c r="E210" s="126">
        <f t="shared" si="3"/>
        <v>4269.3</v>
      </c>
      <c r="F210" s="295">
        <v>3990</v>
      </c>
      <c r="J210" s="301"/>
    </row>
    <row r="211" spans="1:10" ht="19.5" customHeight="1" x14ac:dyDescent="0.3">
      <c r="A211" s="129" t="s">
        <v>552</v>
      </c>
      <c r="B211" s="127" t="s">
        <v>553</v>
      </c>
      <c r="C211" s="128" t="s">
        <v>25</v>
      </c>
      <c r="D211" s="128">
        <v>1</v>
      </c>
      <c r="E211" s="126">
        <f t="shared" si="3"/>
        <v>1337.5</v>
      </c>
      <c r="F211" s="295">
        <v>1250</v>
      </c>
      <c r="J211" s="301"/>
    </row>
    <row r="212" spans="1:10" ht="33.75" customHeight="1" x14ac:dyDescent="0.3">
      <c r="A212" s="129" t="s">
        <v>554</v>
      </c>
      <c r="B212" s="132" t="s">
        <v>555</v>
      </c>
      <c r="C212" s="128" t="s">
        <v>26</v>
      </c>
      <c r="D212" s="128">
        <v>1</v>
      </c>
      <c r="E212" s="126">
        <f t="shared" si="3"/>
        <v>2643231.7000000002</v>
      </c>
      <c r="F212" s="295">
        <v>2470310</v>
      </c>
      <c r="J212" s="301"/>
    </row>
    <row r="213" spans="1:10" ht="33.75" customHeight="1" x14ac:dyDescent="0.3">
      <c r="A213" s="129" t="s">
        <v>556</v>
      </c>
      <c r="B213" s="132" t="s">
        <v>557</v>
      </c>
      <c r="C213" s="128" t="s">
        <v>26</v>
      </c>
      <c r="D213" s="128">
        <v>1</v>
      </c>
      <c r="E213" s="126">
        <f t="shared" si="3"/>
        <v>6348042.5</v>
      </c>
      <c r="F213" s="295">
        <v>5932750</v>
      </c>
      <c r="J213" s="301"/>
    </row>
    <row r="214" spans="1:10" ht="19.5" customHeight="1" x14ac:dyDescent="0.3">
      <c r="A214" s="129" t="s">
        <v>558</v>
      </c>
      <c r="B214" s="127" t="s">
        <v>559</v>
      </c>
      <c r="C214" s="128" t="s">
        <v>39</v>
      </c>
      <c r="D214" s="128">
        <v>1</v>
      </c>
      <c r="E214" s="126">
        <f t="shared" si="3"/>
        <v>17590.8</v>
      </c>
      <c r="F214" s="295">
        <v>16440</v>
      </c>
      <c r="J214" s="301"/>
    </row>
    <row r="215" spans="1:10" ht="19.5" customHeight="1" x14ac:dyDescent="0.3">
      <c r="A215" s="129" t="s">
        <v>560</v>
      </c>
      <c r="B215" s="127" t="s">
        <v>561</v>
      </c>
      <c r="C215" s="128" t="s">
        <v>25</v>
      </c>
      <c r="D215" s="128">
        <v>1</v>
      </c>
      <c r="E215" s="126">
        <f t="shared" si="3"/>
        <v>6456.38</v>
      </c>
      <c r="F215" s="295">
        <v>6034</v>
      </c>
      <c r="J215" s="301"/>
    </row>
    <row r="216" spans="1:10" ht="19.5" customHeight="1" x14ac:dyDescent="0.3">
      <c r="A216" s="129" t="s">
        <v>562</v>
      </c>
      <c r="B216" s="127" t="s">
        <v>563</v>
      </c>
      <c r="C216" s="128" t="s">
        <v>26</v>
      </c>
      <c r="D216" s="128">
        <v>1</v>
      </c>
      <c r="E216" s="126">
        <f t="shared" si="3"/>
        <v>774038</v>
      </c>
      <c r="F216" s="295">
        <v>723400</v>
      </c>
      <c r="J216" s="301"/>
    </row>
    <row r="217" spans="1:10" ht="19.5" customHeight="1" x14ac:dyDescent="0.3">
      <c r="A217" s="129" t="s">
        <v>564</v>
      </c>
      <c r="B217" s="127" t="s">
        <v>565</v>
      </c>
      <c r="C217" s="128" t="s">
        <v>26</v>
      </c>
      <c r="D217" s="128">
        <v>1</v>
      </c>
      <c r="E217" s="126">
        <f t="shared" si="3"/>
        <v>750070</v>
      </c>
      <c r="F217" s="295">
        <v>701000</v>
      </c>
      <c r="J217" s="301"/>
    </row>
    <row r="218" spans="1:10" ht="19.5" customHeight="1" x14ac:dyDescent="0.3">
      <c r="A218" s="129" t="s">
        <v>566</v>
      </c>
      <c r="B218" s="127" t="s">
        <v>567</v>
      </c>
      <c r="C218" s="128" t="s">
        <v>39</v>
      </c>
      <c r="D218" s="128">
        <v>1</v>
      </c>
      <c r="E218" s="126">
        <f t="shared" si="3"/>
        <v>37450</v>
      </c>
      <c r="F218" s="295">
        <v>35000</v>
      </c>
      <c r="J218" s="301"/>
    </row>
    <row r="219" spans="1:10" ht="19.5" customHeight="1" x14ac:dyDescent="0.3">
      <c r="A219" s="129" t="s">
        <v>568</v>
      </c>
      <c r="B219" s="127" t="s">
        <v>569</v>
      </c>
      <c r="C219" s="128" t="s">
        <v>39</v>
      </c>
      <c r="D219" s="128">
        <v>1</v>
      </c>
      <c r="E219" s="126">
        <f t="shared" si="3"/>
        <v>9420.2800000000007</v>
      </c>
      <c r="F219" s="295">
        <v>8804</v>
      </c>
      <c r="J219" s="301"/>
    </row>
    <row r="220" spans="1:10" ht="19.5" customHeight="1" x14ac:dyDescent="0.3">
      <c r="A220" s="129" t="s">
        <v>570</v>
      </c>
      <c r="B220" s="127" t="s">
        <v>571</v>
      </c>
      <c r="C220" s="128" t="s">
        <v>26</v>
      </c>
      <c r="D220" s="128">
        <v>1</v>
      </c>
      <c r="E220" s="126">
        <f t="shared" si="3"/>
        <v>706200</v>
      </c>
      <c r="F220" s="295">
        <v>660000</v>
      </c>
      <c r="J220" s="301"/>
    </row>
    <row r="221" spans="1:10" ht="19.5" customHeight="1" x14ac:dyDescent="0.3">
      <c r="A221" s="129" t="s">
        <v>572</v>
      </c>
      <c r="B221" s="127" t="s">
        <v>573</v>
      </c>
      <c r="C221" s="128" t="s">
        <v>26</v>
      </c>
      <c r="D221" s="128">
        <v>1</v>
      </c>
      <c r="E221" s="126">
        <f t="shared" si="3"/>
        <v>631.30000000000007</v>
      </c>
      <c r="F221" s="295">
        <v>590</v>
      </c>
      <c r="J221" s="301"/>
    </row>
    <row r="222" spans="1:10" ht="19.5" customHeight="1" x14ac:dyDescent="0.3">
      <c r="A222" s="129" t="s">
        <v>574</v>
      </c>
      <c r="B222" s="127" t="s">
        <v>575</v>
      </c>
      <c r="C222" s="128" t="s">
        <v>218</v>
      </c>
      <c r="D222" s="128">
        <v>1</v>
      </c>
      <c r="E222" s="126">
        <f t="shared" si="3"/>
        <v>10191.75</v>
      </c>
      <c r="F222" s="295">
        <v>9525</v>
      </c>
      <c r="J222" s="301"/>
    </row>
    <row r="223" spans="1:10" ht="19.5" customHeight="1" x14ac:dyDescent="0.3">
      <c r="A223" s="129" t="s">
        <v>576</v>
      </c>
      <c r="B223" s="127" t="s">
        <v>577</v>
      </c>
      <c r="C223" s="128" t="s">
        <v>39</v>
      </c>
      <c r="D223" s="128">
        <v>1</v>
      </c>
      <c r="E223" s="126">
        <f t="shared" si="3"/>
        <v>70836.14</v>
      </c>
      <c r="F223" s="295">
        <v>66202</v>
      </c>
      <c r="J223" s="301"/>
    </row>
    <row r="224" spans="1:10" ht="19.5" customHeight="1" x14ac:dyDescent="0.3">
      <c r="A224" s="129" t="s">
        <v>578</v>
      </c>
      <c r="B224" s="127" t="s">
        <v>579</v>
      </c>
      <c r="C224" s="128" t="s">
        <v>39</v>
      </c>
      <c r="D224" s="128">
        <v>1</v>
      </c>
      <c r="E224" s="126">
        <f t="shared" ref="E224:E287" si="4">+F224*(1+$E$29)</f>
        <v>57745.760000000002</v>
      </c>
      <c r="F224" s="295">
        <v>53968</v>
      </c>
      <c r="J224" s="301"/>
    </row>
    <row r="225" spans="1:10" ht="19.5" customHeight="1" x14ac:dyDescent="0.3">
      <c r="A225" s="129" t="s">
        <v>580</v>
      </c>
      <c r="B225" s="127" t="s">
        <v>581</v>
      </c>
      <c r="C225" s="128" t="s">
        <v>39</v>
      </c>
      <c r="D225" s="128">
        <v>1</v>
      </c>
      <c r="E225" s="126">
        <f t="shared" si="4"/>
        <v>93250.5</v>
      </c>
      <c r="F225" s="295">
        <v>87150</v>
      </c>
      <c r="J225" s="301"/>
    </row>
    <row r="226" spans="1:10" ht="19.5" customHeight="1" x14ac:dyDescent="0.3">
      <c r="A226" s="129" t="s">
        <v>582</v>
      </c>
      <c r="B226" s="127" t="s">
        <v>583</v>
      </c>
      <c r="C226" s="128" t="s">
        <v>39</v>
      </c>
      <c r="D226" s="128">
        <v>1</v>
      </c>
      <c r="E226" s="126">
        <f t="shared" si="4"/>
        <v>111752.94</v>
      </c>
      <c r="F226" s="295">
        <v>104442</v>
      </c>
      <c r="J226" s="301"/>
    </row>
    <row r="227" spans="1:10" ht="19.5" customHeight="1" x14ac:dyDescent="0.3">
      <c r="A227" s="129" t="s">
        <v>584</v>
      </c>
      <c r="B227" s="127" t="s">
        <v>585</v>
      </c>
      <c r="C227" s="128" t="s">
        <v>39</v>
      </c>
      <c r="D227" s="128">
        <v>1</v>
      </c>
      <c r="E227" s="126">
        <f t="shared" si="4"/>
        <v>33727.47</v>
      </c>
      <c r="F227" s="295">
        <v>31521</v>
      </c>
      <c r="J227" s="301"/>
    </row>
    <row r="228" spans="1:10" ht="19.5" customHeight="1" x14ac:dyDescent="0.3">
      <c r="A228" s="129" t="s">
        <v>586</v>
      </c>
      <c r="B228" s="127" t="s">
        <v>587</v>
      </c>
      <c r="C228" s="128" t="s">
        <v>39</v>
      </c>
      <c r="D228" s="128">
        <v>1</v>
      </c>
      <c r="E228" s="126">
        <f t="shared" si="4"/>
        <v>19099.5</v>
      </c>
      <c r="F228" s="295">
        <v>17850</v>
      </c>
      <c r="J228" s="301"/>
    </row>
    <row r="229" spans="1:10" ht="19.5" customHeight="1" x14ac:dyDescent="0.3">
      <c r="A229" s="129" t="s">
        <v>588</v>
      </c>
      <c r="B229" s="127" t="s">
        <v>589</v>
      </c>
      <c r="C229" s="50" t="s">
        <v>1519</v>
      </c>
      <c r="D229" s="128">
        <v>1</v>
      </c>
      <c r="E229" s="126">
        <f t="shared" si="4"/>
        <v>6271.27</v>
      </c>
      <c r="F229" s="295">
        <v>5861</v>
      </c>
      <c r="J229" s="301"/>
    </row>
    <row r="230" spans="1:10" ht="19.5" customHeight="1" x14ac:dyDescent="0.3">
      <c r="A230" s="129" t="s">
        <v>591</v>
      </c>
      <c r="B230" s="127" t="s">
        <v>592</v>
      </c>
      <c r="C230" s="128" t="s">
        <v>39</v>
      </c>
      <c r="D230" s="128">
        <v>1</v>
      </c>
      <c r="E230" s="126">
        <f t="shared" si="4"/>
        <v>4000.73</v>
      </c>
      <c r="F230" s="295">
        <v>3739</v>
      </c>
      <c r="J230" s="301"/>
    </row>
    <row r="231" spans="1:10" ht="19.5" customHeight="1" x14ac:dyDescent="0.3">
      <c r="A231" s="129" t="s">
        <v>593</v>
      </c>
      <c r="B231" s="127" t="s">
        <v>594</v>
      </c>
      <c r="C231" s="128" t="s">
        <v>39</v>
      </c>
      <c r="D231" s="128">
        <v>1</v>
      </c>
      <c r="E231" s="126">
        <f t="shared" si="4"/>
        <v>4668.41</v>
      </c>
      <c r="F231" s="295">
        <v>4363</v>
      </c>
      <c r="J231" s="301"/>
    </row>
    <row r="232" spans="1:10" ht="19.5" customHeight="1" x14ac:dyDescent="0.3">
      <c r="A232" s="129" t="s">
        <v>595</v>
      </c>
      <c r="B232" s="127" t="s">
        <v>596</v>
      </c>
      <c r="C232" s="128" t="s">
        <v>597</v>
      </c>
      <c r="D232" s="128">
        <v>1</v>
      </c>
      <c r="E232" s="126">
        <f t="shared" si="4"/>
        <v>668.75</v>
      </c>
      <c r="F232" s="295">
        <v>625</v>
      </c>
      <c r="J232" s="301"/>
    </row>
    <row r="233" spans="1:10" ht="19.5" customHeight="1" x14ac:dyDescent="0.3">
      <c r="A233" s="23" t="s">
        <v>598</v>
      </c>
      <c r="B233" s="304" t="s">
        <v>599</v>
      </c>
      <c r="C233" s="128" t="s">
        <v>187</v>
      </c>
      <c r="D233" s="128">
        <v>1</v>
      </c>
      <c r="E233" s="126">
        <f t="shared" si="4"/>
        <v>18297</v>
      </c>
      <c r="F233" s="295">
        <v>17100</v>
      </c>
      <c r="J233" s="301"/>
    </row>
    <row r="234" spans="1:10" ht="19.5" customHeight="1" x14ac:dyDescent="0.3">
      <c r="A234" s="129" t="s">
        <v>600</v>
      </c>
      <c r="B234" s="127" t="s">
        <v>601</v>
      </c>
      <c r="C234" s="128" t="s">
        <v>602</v>
      </c>
      <c r="D234" s="128">
        <v>1</v>
      </c>
      <c r="E234" s="126">
        <f t="shared" si="4"/>
        <v>104432</v>
      </c>
      <c r="F234" s="295">
        <v>97600</v>
      </c>
      <c r="J234" s="301"/>
    </row>
    <row r="235" spans="1:10" ht="19.5" customHeight="1" x14ac:dyDescent="0.3">
      <c r="A235" s="129" t="s">
        <v>603</v>
      </c>
      <c r="B235" s="127" t="s">
        <v>604</v>
      </c>
      <c r="C235" s="128" t="s">
        <v>25</v>
      </c>
      <c r="D235" s="128">
        <v>1</v>
      </c>
      <c r="E235" s="126">
        <f t="shared" si="4"/>
        <v>7597</v>
      </c>
      <c r="F235" s="295">
        <v>7100</v>
      </c>
      <c r="J235" s="301"/>
    </row>
    <row r="236" spans="1:10" ht="19.5" customHeight="1" x14ac:dyDescent="0.3">
      <c r="A236" s="129" t="s">
        <v>605</v>
      </c>
      <c r="B236" s="127" t="s">
        <v>606</v>
      </c>
      <c r="C236" s="128" t="s">
        <v>187</v>
      </c>
      <c r="D236" s="128">
        <v>1</v>
      </c>
      <c r="E236" s="126">
        <f t="shared" si="4"/>
        <v>10700</v>
      </c>
      <c r="F236" s="295">
        <v>10000</v>
      </c>
      <c r="J236" s="301"/>
    </row>
    <row r="237" spans="1:10" ht="19.5" customHeight="1" x14ac:dyDescent="0.3">
      <c r="A237" s="129" t="s">
        <v>607</v>
      </c>
      <c r="B237" s="127" t="s">
        <v>608</v>
      </c>
      <c r="C237" s="128" t="s">
        <v>26</v>
      </c>
      <c r="D237" s="128">
        <v>1</v>
      </c>
      <c r="E237" s="126">
        <f t="shared" si="4"/>
        <v>242569</v>
      </c>
      <c r="F237" s="295">
        <v>226700</v>
      </c>
      <c r="J237" s="301"/>
    </row>
    <row r="238" spans="1:10" ht="19.5" customHeight="1" x14ac:dyDescent="0.3">
      <c r="A238" s="129" t="s">
        <v>609</v>
      </c>
      <c r="B238" s="127" t="s">
        <v>610</v>
      </c>
      <c r="C238" s="128" t="s">
        <v>26</v>
      </c>
      <c r="D238" s="128">
        <v>1</v>
      </c>
      <c r="E238" s="126">
        <f t="shared" si="4"/>
        <v>159323</v>
      </c>
      <c r="F238" s="295">
        <v>148900</v>
      </c>
      <c r="J238" s="301"/>
    </row>
    <row r="239" spans="1:10" ht="19.5" customHeight="1" x14ac:dyDescent="0.3">
      <c r="A239" s="129" t="s">
        <v>611</v>
      </c>
      <c r="B239" s="127" t="s">
        <v>612</v>
      </c>
      <c r="C239" s="128" t="s">
        <v>26</v>
      </c>
      <c r="D239" s="128">
        <v>1</v>
      </c>
      <c r="E239" s="126">
        <f t="shared" si="4"/>
        <v>195168</v>
      </c>
      <c r="F239" s="295">
        <v>182400</v>
      </c>
      <c r="J239" s="301"/>
    </row>
    <row r="240" spans="1:10" ht="19.5" customHeight="1" x14ac:dyDescent="0.3">
      <c r="A240" s="129" t="s">
        <v>613</v>
      </c>
      <c r="B240" s="127" t="s">
        <v>614</v>
      </c>
      <c r="C240" s="128" t="s">
        <v>26</v>
      </c>
      <c r="D240" s="128">
        <v>1</v>
      </c>
      <c r="E240" s="126">
        <f t="shared" si="4"/>
        <v>302703</v>
      </c>
      <c r="F240" s="295">
        <v>282900</v>
      </c>
      <c r="J240" s="301"/>
    </row>
    <row r="241" spans="1:10" ht="19.5" customHeight="1" x14ac:dyDescent="0.3">
      <c r="A241" s="129" t="s">
        <v>615</v>
      </c>
      <c r="B241" s="127" t="s">
        <v>616</v>
      </c>
      <c r="C241" s="128" t="s">
        <v>26</v>
      </c>
      <c r="D241" s="128">
        <v>1</v>
      </c>
      <c r="E241" s="126">
        <f t="shared" si="4"/>
        <v>48257</v>
      </c>
      <c r="F241" s="295">
        <v>45100</v>
      </c>
      <c r="J241" s="301"/>
    </row>
    <row r="242" spans="1:10" ht="18.75" customHeight="1" x14ac:dyDescent="0.3">
      <c r="A242" s="129" t="s">
        <v>617</v>
      </c>
      <c r="B242" s="127" t="s">
        <v>618</v>
      </c>
      <c r="C242" s="128" t="s">
        <v>26</v>
      </c>
      <c r="D242" s="128">
        <v>1</v>
      </c>
      <c r="E242" s="126">
        <f t="shared" si="4"/>
        <v>69978</v>
      </c>
      <c r="F242" s="295">
        <v>65400</v>
      </c>
      <c r="J242" s="301"/>
    </row>
    <row r="243" spans="1:10" ht="19.5" customHeight="1" x14ac:dyDescent="0.3">
      <c r="A243" s="129" t="s">
        <v>619</v>
      </c>
      <c r="B243" s="127" t="s">
        <v>620</v>
      </c>
      <c r="C243" s="128" t="s">
        <v>26</v>
      </c>
      <c r="D243" s="128">
        <v>1</v>
      </c>
      <c r="E243" s="126">
        <f t="shared" si="4"/>
        <v>382204</v>
      </c>
      <c r="F243" s="295">
        <v>357200</v>
      </c>
      <c r="J243" s="301"/>
    </row>
    <row r="244" spans="1:10" ht="19.5" customHeight="1" x14ac:dyDescent="0.3">
      <c r="A244" s="129" t="s">
        <v>621</v>
      </c>
      <c r="B244" s="127" t="s">
        <v>622</v>
      </c>
      <c r="C244" s="128" t="s">
        <v>26</v>
      </c>
      <c r="D244" s="128">
        <v>1</v>
      </c>
      <c r="E244" s="126">
        <f t="shared" si="4"/>
        <v>283550</v>
      </c>
      <c r="F244" s="295">
        <v>265000</v>
      </c>
      <c r="J244" s="301"/>
    </row>
    <row r="245" spans="1:10" ht="19.5" customHeight="1" x14ac:dyDescent="0.3">
      <c r="A245" s="129" t="s">
        <v>623</v>
      </c>
      <c r="B245" s="127" t="s">
        <v>624</v>
      </c>
      <c r="C245" s="128" t="s">
        <v>26</v>
      </c>
      <c r="D245" s="128">
        <v>1</v>
      </c>
      <c r="E245" s="126">
        <f t="shared" si="4"/>
        <v>73241.5</v>
      </c>
      <c r="F245" s="295">
        <v>68450</v>
      </c>
      <c r="J245" s="301"/>
    </row>
    <row r="246" spans="1:10" ht="19.5" customHeight="1" x14ac:dyDescent="0.3">
      <c r="A246" s="129" t="s">
        <v>625</v>
      </c>
      <c r="B246" s="127" t="s">
        <v>626</v>
      </c>
      <c r="C246" s="128" t="s">
        <v>42</v>
      </c>
      <c r="D246" s="128">
        <v>1</v>
      </c>
      <c r="E246" s="126">
        <f t="shared" si="4"/>
        <v>49535.65</v>
      </c>
      <c r="F246" s="295">
        <v>46295</v>
      </c>
      <c r="J246" s="301"/>
    </row>
    <row r="247" spans="1:10" ht="18.75" customHeight="1" x14ac:dyDescent="0.3">
      <c r="A247" s="129" t="s">
        <v>627</v>
      </c>
      <c r="B247" s="127" t="s">
        <v>628</v>
      </c>
      <c r="C247" s="128" t="s">
        <v>26</v>
      </c>
      <c r="D247" s="128">
        <v>1</v>
      </c>
      <c r="E247" s="126">
        <f t="shared" si="4"/>
        <v>6420</v>
      </c>
      <c r="F247" s="295">
        <v>6000</v>
      </c>
      <c r="J247" s="301"/>
    </row>
    <row r="248" spans="1:10" ht="19.5" customHeight="1" x14ac:dyDescent="0.3">
      <c r="A248" s="129" t="s">
        <v>629</v>
      </c>
      <c r="B248" s="127" t="s">
        <v>630</v>
      </c>
      <c r="C248" s="128" t="s">
        <v>26</v>
      </c>
      <c r="D248" s="128">
        <v>1</v>
      </c>
      <c r="E248" s="126">
        <f t="shared" si="4"/>
        <v>6420</v>
      </c>
      <c r="F248" s="295">
        <v>6000</v>
      </c>
      <c r="J248" s="301"/>
    </row>
    <row r="249" spans="1:10" ht="18.75" customHeight="1" x14ac:dyDescent="0.3">
      <c r="A249" s="129" t="s">
        <v>631</v>
      </c>
      <c r="B249" s="127" t="s">
        <v>632</v>
      </c>
      <c r="C249" s="128" t="s">
        <v>32</v>
      </c>
      <c r="D249" s="128">
        <v>1</v>
      </c>
      <c r="E249" s="126">
        <f t="shared" si="4"/>
        <v>11056.310000000001</v>
      </c>
      <c r="F249" s="295">
        <v>10333</v>
      </c>
      <c r="J249" s="301"/>
    </row>
    <row r="250" spans="1:10" ht="18.75" customHeight="1" x14ac:dyDescent="0.3">
      <c r="A250" s="129" t="s">
        <v>633</v>
      </c>
      <c r="B250" s="127" t="s">
        <v>634</v>
      </c>
      <c r="C250" s="128" t="s">
        <v>32</v>
      </c>
      <c r="D250" s="128">
        <v>1</v>
      </c>
      <c r="E250" s="126">
        <f t="shared" si="4"/>
        <v>21400</v>
      </c>
      <c r="F250" s="295">
        <v>20000</v>
      </c>
      <c r="J250" s="301"/>
    </row>
    <row r="251" spans="1:10" ht="18.75" customHeight="1" x14ac:dyDescent="0.3">
      <c r="A251" s="129" t="s">
        <v>635</v>
      </c>
      <c r="B251" s="127" t="s">
        <v>636</v>
      </c>
      <c r="C251" s="128" t="s">
        <v>253</v>
      </c>
      <c r="D251" s="128">
        <v>1</v>
      </c>
      <c r="E251" s="126">
        <f t="shared" si="4"/>
        <v>42693</v>
      </c>
      <c r="F251" s="295">
        <v>39900</v>
      </c>
      <c r="J251" s="301"/>
    </row>
    <row r="252" spans="1:10" ht="19.5" customHeight="1" x14ac:dyDescent="0.3">
      <c r="A252" s="129" t="s">
        <v>637</v>
      </c>
      <c r="B252" s="127" t="s">
        <v>638</v>
      </c>
      <c r="C252" s="128" t="s">
        <v>26</v>
      </c>
      <c r="D252" s="128">
        <v>1</v>
      </c>
      <c r="E252" s="126">
        <f t="shared" si="4"/>
        <v>2996000</v>
      </c>
      <c r="F252" s="295">
        <v>2800000</v>
      </c>
      <c r="J252" s="301"/>
    </row>
    <row r="253" spans="1:10" ht="19.5" customHeight="1" x14ac:dyDescent="0.3">
      <c r="A253" s="129" t="s">
        <v>639</v>
      </c>
      <c r="B253" s="127" t="s">
        <v>640</v>
      </c>
      <c r="C253" s="128" t="s">
        <v>26</v>
      </c>
      <c r="D253" s="128">
        <v>1</v>
      </c>
      <c r="E253" s="126">
        <f t="shared" si="4"/>
        <v>1562510.3</v>
      </c>
      <c r="F253" s="295">
        <v>1460290</v>
      </c>
      <c r="J253" s="301"/>
    </row>
    <row r="254" spans="1:10" ht="19.5" customHeight="1" x14ac:dyDescent="0.3">
      <c r="A254" s="129" t="s">
        <v>641</v>
      </c>
      <c r="B254" s="127" t="s">
        <v>642</v>
      </c>
      <c r="C254" s="128" t="s">
        <v>26</v>
      </c>
      <c r="D254" s="128">
        <v>1</v>
      </c>
      <c r="E254" s="126">
        <f t="shared" si="4"/>
        <v>2253.42</v>
      </c>
      <c r="F254" s="295">
        <v>2106</v>
      </c>
      <c r="J254" s="301"/>
    </row>
    <row r="255" spans="1:10" ht="19.5" customHeight="1" x14ac:dyDescent="0.3">
      <c r="A255" s="129" t="s">
        <v>643</v>
      </c>
      <c r="B255" s="127" t="s">
        <v>644</v>
      </c>
      <c r="C255" s="128" t="s">
        <v>26</v>
      </c>
      <c r="D255" s="128">
        <v>1</v>
      </c>
      <c r="E255" s="126">
        <f t="shared" si="4"/>
        <v>3666.8900000000003</v>
      </c>
      <c r="F255" s="295">
        <v>3427</v>
      </c>
      <c r="J255" s="301"/>
    </row>
    <row r="256" spans="1:10" ht="19.5" customHeight="1" x14ac:dyDescent="0.3">
      <c r="A256" s="131" t="s">
        <v>645</v>
      </c>
      <c r="B256" s="127" t="s">
        <v>646</v>
      </c>
      <c r="C256" s="128" t="s">
        <v>26</v>
      </c>
      <c r="D256" s="128">
        <v>1</v>
      </c>
      <c r="E256" s="126">
        <f t="shared" si="4"/>
        <v>76184</v>
      </c>
      <c r="F256" s="295">
        <v>71200</v>
      </c>
      <c r="J256" s="301"/>
    </row>
    <row r="257" spans="1:10" ht="19.5" customHeight="1" x14ac:dyDescent="0.3">
      <c r="A257" s="129" t="s">
        <v>647</v>
      </c>
      <c r="B257" s="127" t="s">
        <v>648</v>
      </c>
      <c r="C257" s="128" t="s">
        <v>39</v>
      </c>
      <c r="D257" s="128">
        <v>1</v>
      </c>
      <c r="E257" s="126">
        <f t="shared" si="4"/>
        <v>4173</v>
      </c>
      <c r="F257" s="316">
        <v>3900</v>
      </c>
      <c r="J257" s="301"/>
    </row>
    <row r="258" spans="1:10" ht="18.75" customHeight="1" x14ac:dyDescent="0.3">
      <c r="A258" s="129" t="s">
        <v>649</v>
      </c>
      <c r="B258" s="127" t="s">
        <v>650</v>
      </c>
      <c r="C258" s="128" t="s">
        <v>25</v>
      </c>
      <c r="D258" s="128">
        <v>1</v>
      </c>
      <c r="E258" s="126">
        <f t="shared" si="4"/>
        <v>9463.08</v>
      </c>
      <c r="F258" s="295">
        <v>8844</v>
      </c>
      <c r="J258" s="301"/>
    </row>
    <row r="259" spans="1:10" ht="19.5" customHeight="1" x14ac:dyDescent="0.3">
      <c r="A259" s="129" t="s">
        <v>651</v>
      </c>
      <c r="B259" s="305" t="s">
        <v>652</v>
      </c>
      <c r="C259" s="128" t="s">
        <v>25</v>
      </c>
      <c r="D259" s="128">
        <v>1</v>
      </c>
      <c r="E259" s="126">
        <f t="shared" si="4"/>
        <v>13463.810000000001</v>
      </c>
      <c r="F259" s="295">
        <v>12583</v>
      </c>
      <c r="J259" s="301"/>
    </row>
    <row r="260" spans="1:10" ht="19.5" customHeight="1" x14ac:dyDescent="0.3">
      <c r="A260" s="129" t="s">
        <v>653</v>
      </c>
      <c r="B260" s="127" t="s">
        <v>654</v>
      </c>
      <c r="C260" s="128" t="s">
        <v>25</v>
      </c>
      <c r="D260" s="128">
        <v>1</v>
      </c>
      <c r="E260" s="126">
        <f t="shared" si="4"/>
        <v>11744.320000000002</v>
      </c>
      <c r="F260" s="321">
        <v>10976</v>
      </c>
      <c r="J260" s="301"/>
    </row>
    <row r="261" spans="1:10" ht="19.5" customHeight="1" x14ac:dyDescent="0.3">
      <c r="A261" s="129" t="s">
        <v>655</v>
      </c>
      <c r="B261" s="127" t="s">
        <v>656</v>
      </c>
      <c r="C261" s="128" t="s">
        <v>39</v>
      </c>
      <c r="D261" s="128">
        <v>1</v>
      </c>
      <c r="E261" s="126">
        <f t="shared" si="4"/>
        <v>9871.82</v>
      </c>
      <c r="F261" s="295">
        <v>9226</v>
      </c>
      <c r="J261" s="301"/>
    </row>
    <row r="262" spans="1:10" ht="19.5" customHeight="1" x14ac:dyDescent="0.3">
      <c r="A262" s="129" t="s">
        <v>657</v>
      </c>
      <c r="B262" s="127" t="s">
        <v>658</v>
      </c>
      <c r="C262" s="128" t="s">
        <v>26</v>
      </c>
      <c r="D262" s="128">
        <v>1</v>
      </c>
      <c r="E262" s="126">
        <f t="shared" si="4"/>
        <v>51253</v>
      </c>
      <c r="F262" s="295">
        <v>47900</v>
      </c>
      <c r="J262" s="301"/>
    </row>
    <row r="263" spans="1:10" ht="19.5" customHeight="1" x14ac:dyDescent="0.3">
      <c r="A263" s="129" t="s">
        <v>659</v>
      </c>
      <c r="B263" s="127" t="s">
        <v>660</v>
      </c>
      <c r="C263" s="128" t="s">
        <v>26</v>
      </c>
      <c r="D263" s="128">
        <v>1</v>
      </c>
      <c r="E263" s="126">
        <f t="shared" si="4"/>
        <v>60027</v>
      </c>
      <c r="F263" s="295">
        <v>56100</v>
      </c>
      <c r="J263" s="301"/>
    </row>
    <row r="264" spans="1:10" ht="19.5" customHeight="1" x14ac:dyDescent="0.3">
      <c r="A264" s="129" t="s">
        <v>661</v>
      </c>
      <c r="B264" s="127" t="s">
        <v>662</v>
      </c>
      <c r="C264" s="128" t="s">
        <v>25</v>
      </c>
      <c r="D264" s="128">
        <v>1</v>
      </c>
      <c r="E264" s="126">
        <f t="shared" si="4"/>
        <v>48043</v>
      </c>
      <c r="F264" s="295">
        <v>44900</v>
      </c>
      <c r="J264" s="301"/>
    </row>
    <row r="265" spans="1:10" ht="19.5" customHeight="1" x14ac:dyDescent="0.3">
      <c r="A265" s="129" t="s">
        <v>663</v>
      </c>
      <c r="B265" s="127" t="s">
        <v>664</v>
      </c>
      <c r="C265" s="128" t="s">
        <v>26</v>
      </c>
      <c r="D265" s="128">
        <v>1</v>
      </c>
      <c r="E265" s="126">
        <f t="shared" si="4"/>
        <v>16585</v>
      </c>
      <c r="F265" s="295">
        <v>15500</v>
      </c>
      <c r="J265" s="301"/>
    </row>
    <row r="266" spans="1:10" ht="19.5" customHeight="1" x14ac:dyDescent="0.3">
      <c r="A266" s="129" t="s">
        <v>665</v>
      </c>
      <c r="B266" s="127" t="s">
        <v>666</v>
      </c>
      <c r="C266" s="128" t="s">
        <v>26</v>
      </c>
      <c r="D266" s="128">
        <v>1</v>
      </c>
      <c r="E266" s="126">
        <f t="shared" si="4"/>
        <v>5136</v>
      </c>
      <c r="F266" s="295">
        <v>4800</v>
      </c>
      <c r="J266" s="301"/>
    </row>
    <row r="267" spans="1:10" ht="19.5" customHeight="1" x14ac:dyDescent="0.3">
      <c r="A267" s="129" t="s">
        <v>667</v>
      </c>
      <c r="B267" s="127" t="s">
        <v>668</v>
      </c>
      <c r="C267" s="128" t="s">
        <v>26</v>
      </c>
      <c r="D267" s="128">
        <v>1</v>
      </c>
      <c r="E267" s="126">
        <f t="shared" si="4"/>
        <v>6420</v>
      </c>
      <c r="F267" s="295">
        <v>6000</v>
      </c>
      <c r="J267" s="301"/>
    </row>
    <row r="268" spans="1:10" ht="79.2" x14ac:dyDescent="0.3">
      <c r="A268" s="129" t="s">
        <v>669</v>
      </c>
      <c r="B268" s="304" t="s">
        <v>670</v>
      </c>
      <c r="C268" s="128" t="s">
        <v>4</v>
      </c>
      <c r="D268" s="128">
        <v>1</v>
      </c>
      <c r="E268" s="126">
        <f t="shared" si="4"/>
        <v>3164150.5</v>
      </c>
      <c r="F268" s="295">
        <v>2957150</v>
      </c>
    </row>
    <row r="269" spans="1:10" ht="19.5" customHeight="1" x14ac:dyDescent="0.3">
      <c r="A269" s="129" t="s">
        <v>671</v>
      </c>
      <c r="B269" s="127" t="s">
        <v>672</v>
      </c>
      <c r="C269" s="128" t="s">
        <v>26</v>
      </c>
      <c r="D269" s="128">
        <v>1</v>
      </c>
      <c r="E269" s="126">
        <f t="shared" si="4"/>
        <v>2854929.06</v>
      </c>
      <c r="F269" s="295">
        <v>2668158</v>
      </c>
      <c r="J269" s="301"/>
    </row>
    <row r="270" spans="1:10" ht="19.5" customHeight="1" x14ac:dyDescent="0.3">
      <c r="A270" s="129" t="s">
        <v>673</v>
      </c>
      <c r="B270" s="127" t="s">
        <v>674</v>
      </c>
      <c r="C270" s="128" t="s">
        <v>26</v>
      </c>
      <c r="D270" s="128">
        <v>1</v>
      </c>
      <c r="E270" s="126">
        <f t="shared" si="4"/>
        <v>2148397.3600000003</v>
      </c>
      <c r="F270" s="295">
        <v>2007848</v>
      </c>
      <c r="J270" s="301"/>
    </row>
    <row r="271" spans="1:10" ht="19.5" customHeight="1" x14ac:dyDescent="0.3">
      <c r="A271" s="129" t="s">
        <v>675</v>
      </c>
      <c r="B271" s="127" t="s">
        <v>676</v>
      </c>
      <c r="C271" s="128" t="s">
        <v>26</v>
      </c>
      <c r="D271" s="128">
        <v>1</v>
      </c>
      <c r="E271" s="126">
        <f t="shared" si="4"/>
        <v>249407.37000000002</v>
      </c>
      <c r="F271" s="295">
        <v>233091</v>
      </c>
      <c r="J271" s="301"/>
    </row>
    <row r="272" spans="1:10" ht="19.5" customHeight="1" x14ac:dyDescent="0.3">
      <c r="A272" s="129" t="s">
        <v>677</v>
      </c>
      <c r="B272" s="127" t="s">
        <v>678</v>
      </c>
      <c r="C272" s="128" t="s">
        <v>26</v>
      </c>
      <c r="D272" s="128">
        <v>1</v>
      </c>
      <c r="E272" s="126">
        <f t="shared" si="4"/>
        <v>434634</v>
      </c>
      <c r="F272" s="295">
        <v>406200</v>
      </c>
      <c r="J272" s="301"/>
    </row>
    <row r="273" spans="1:10" ht="19.5" customHeight="1" x14ac:dyDescent="0.3">
      <c r="A273" s="129" t="s">
        <v>679</v>
      </c>
      <c r="B273" s="127" t="s">
        <v>680</v>
      </c>
      <c r="C273" s="128" t="s">
        <v>26</v>
      </c>
      <c r="D273" s="128">
        <v>1</v>
      </c>
      <c r="E273" s="126">
        <f t="shared" si="4"/>
        <v>1680896.1700000002</v>
      </c>
      <c r="F273" s="295">
        <v>1570931</v>
      </c>
      <c r="J273" s="301"/>
    </row>
    <row r="274" spans="1:10" ht="19.5" customHeight="1" x14ac:dyDescent="0.3">
      <c r="A274" s="129" t="s">
        <v>681</v>
      </c>
      <c r="B274" s="127" t="s">
        <v>682</v>
      </c>
      <c r="C274" s="128" t="s">
        <v>26</v>
      </c>
      <c r="D274" s="128">
        <v>1</v>
      </c>
      <c r="E274" s="126">
        <f t="shared" si="4"/>
        <v>770.40000000000009</v>
      </c>
      <c r="F274" s="295">
        <v>720</v>
      </c>
      <c r="J274" s="301"/>
    </row>
    <row r="275" spans="1:10" ht="19.5" customHeight="1" x14ac:dyDescent="0.3">
      <c r="A275" s="129" t="s">
        <v>683</v>
      </c>
      <c r="B275" s="127" t="s">
        <v>684</v>
      </c>
      <c r="C275" s="128" t="s">
        <v>26</v>
      </c>
      <c r="D275" s="128">
        <v>1</v>
      </c>
      <c r="E275" s="126">
        <f t="shared" si="4"/>
        <v>770.40000000000009</v>
      </c>
      <c r="F275" s="295">
        <v>720</v>
      </c>
      <c r="J275" s="301"/>
    </row>
    <row r="276" spans="1:10" ht="19.5" customHeight="1" x14ac:dyDescent="0.3">
      <c r="A276" s="129" t="s">
        <v>685</v>
      </c>
      <c r="B276" s="127" t="s">
        <v>686</v>
      </c>
      <c r="C276" s="128" t="s">
        <v>26</v>
      </c>
      <c r="D276" s="128">
        <v>1</v>
      </c>
      <c r="E276" s="126">
        <f t="shared" si="4"/>
        <v>535</v>
      </c>
      <c r="F276" s="295">
        <v>500</v>
      </c>
      <c r="J276" s="301"/>
    </row>
    <row r="277" spans="1:10" ht="19.5" customHeight="1" x14ac:dyDescent="0.3">
      <c r="A277" s="129" t="s">
        <v>687</v>
      </c>
      <c r="B277" s="127" t="s">
        <v>688</v>
      </c>
      <c r="C277" s="128" t="s">
        <v>26</v>
      </c>
      <c r="D277" s="128">
        <v>1</v>
      </c>
      <c r="E277" s="126">
        <f t="shared" si="4"/>
        <v>588.5</v>
      </c>
      <c r="F277" s="295">
        <v>550</v>
      </c>
      <c r="J277" s="301"/>
    </row>
    <row r="278" spans="1:10" ht="20.25" customHeight="1" x14ac:dyDescent="0.3">
      <c r="A278" s="134" t="s">
        <v>689</v>
      </c>
      <c r="B278" s="127" t="s">
        <v>690</v>
      </c>
      <c r="C278" s="128" t="s">
        <v>26</v>
      </c>
      <c r="D278" s="128">
        <v>1</v>
      </c>
      <c r="E278" s="126">
        <f t="shared" si="4"/>
        <v>770.40000000000009</v>
      </c>
      <c r="F278" s="295">
        <v>720</v>
      </c>
      <c r="J278" s="301"/>
    </row>
    <row r="279" spans="1:10" ht="19.5" customHeight="1" x14ac:dyDescent="0.3">
      <c r="A279" s="129" t="s">
        <v>691</v>
      </c>
      <c r="B279" s="305" t="s">
        <v>692</v>
      </c>
      <c r="C279" s="128" t="s">
        <v>26</v>
      </c>
      <c r="D279" s="128">
        <v>1</v>
      </c>
      <c r="E279" s="126">
        <f t="shared" si="4"/>
        <v>33589.440000000002</v>
      </c>
      <c r="F279" s="295">
        <v>31392</v>
      </c>
      <c r="J279" s="301"/>
    </row>
    <row r="280" spans="1:10" s="50" customFormat="1" ht="19.5" customHeight="1" x14ac:dyDescent="0.3">
      <c r="A280" s="129" t="s">
        <v>693</v>
      </c>
      <c r="B280" s="127" t="s">
        <v>694</v>
      </c>
      <c r="C280" s="128" t="s">
        <v>26</v>
      </c>
      <c r="D280" s="128">
        <v>1</v>
      </c>
      <c r="E280" s="126">
        <f t="shared" si="4"/>
        <v>3638</v>
      </c>
      <c r="F280" s="295">
        <v>3400</v>
      </c>
      <c r="I280" s="25"/>
      <c r="J280" s="301"/>
    </row>
    <row r="281" spans="1:10" ht="19.5" customHeight="1" x14ac:dyDescent="0.3">
      <c r="A281" s="129" t="s">
        <v>695</v>
      </c>
      <c r="B281" s="127" t="s">
        <v>696</v>
      </c>
      <c r="C281" s="128" t="s">
        <v>26</v>
      </c>
      <c r="D281" s="128">
        <v>1</v>
      </c>
      <c r="E281" s="126">
        <f t="shared" si="4"/>
        <v>4494</v>
      </c>
      <c r="F281" s="295">
        <v>4200</v>
      </c>
      <c r="J281" s="301"/>
    </row>
    <row r="282" spans="1:10" ht="19.5" customHeight="1" x14ac:dyDescent="0.3">
      <c r="A282" s="129" t="s">
        <v>697</v>
      </c>
      <c r="B282" s="127" t="s">
        <v>698</v>
      </c>
      <c r="C282" s="128" t="s">
        <v>26</v>
      </c>
      <c r="D282" s="128">
        <v>1</v>
      </c>
      <c r="E282" s="126">
        <f t="shared" si="4"/>
        <v>4280</v>
      </c>
      <c r="F282" s="295">
        <v>4000</v>
      </c>
      <c r="J282" s="301"/>
    </row>
    <row r="283" spans="1:10" ht="19.5" customHeight="1" x14ac:dyDescent="0.3">
      <c r="A283" s="129" t="s">
        <v>699</v>
      </c>
      <c r="B283" s="127" t="s">
        <v>700</v>
      </c>
      <c r="C283" s="128" t="s">
        <v>39</v>
      </c>
      <c r="D283" s="128">
        <v>1</v>
      </c>
      <c r="E283" s="126">
        <f t="shared" si="4"/>
        <v>25680</v>
      </c>
      <c r="F283" s="295">
        <v>24000</v>
      </c>
      <c r="J283" s="301"/>
    </row>
    <row r="284" spans="1:10" ht="19.5" customHeight="1" x14ac:dyDescent="0.3">
      <c r="A284" s="129" t="s">
        <v>701</v>
      </c>
      <c r="B284" s="127" t="s">
        <v>702</v>
      </c>
      <c r="C284" s="128" t="s">
        <v>39</v>
      </c>
      <c r="D284" s="128">
        <v>1</v>
      </c>
      <c r="E284" s="126">
        <f t="shared" si="4"/>
        <v>17655</v>
      </c>
      <c r="F284" s="295">
        <v>16500</v>
      </c>
      <c r="J284" s="301"/>
    </row>
    <row r="285" spans="1:10" ht="19.5" customHeight="1" x14ac:dyDescent="0.3">
      <c r="A285" s="129" t="s">
        <v>703</v>
      </c>
      <c r="B285" s="127" t="s">
        <v>704</v>
      </c>
      <c r="C285" s="128" t="s">
        <v>39</v>
      </c>
      <c r="D285" s="128">
        <v>1</v>
      </c>
      <c r="E285" s="126">
        <f t="shared" si="4"/>
        <v>224700</v>
      </c>
      <c r="F285" s="295">
        <v>210000</v>
      </c>
      <c r="J285" s="301"/>
    </row>
    <row r="286" spans="1:10" ht="19.5" customHeight="1" x14ac:dyDescent="0.3">
      <c r="A286" s="129" t="s">
        <v>705</v>
      </c>
      <c r="B286" s="127" t="s">
        <v>706</v>
      </c>
      <c r="C286" s="128" t="s">
        <v>39</v>
      </c>
      <c r="D286" s="128">
        <v>1</v>
      </c>
      <c r="E286" s="126">
        <f t="shared" si="4"/>
        <v>8538.6</v>
      </c>
      <c r="F286" s="295">
        <v>7980</v>
      </c>
      <c r="J286" s="301"/>
    </row>
    <row r="287" spans="1:10" ht="19.5" customHeight="1" x14ac:dyDescent="0.3">
      <c r="A287" s="129" t="s">
        <v>707</v>
      </c>
      <c r="B287" s="127" t="s">
        <v>708</v>
      </c>
      <c r="C287" s="128" t="s">
        <v>39</v>
      </c>
      <c r="D287" s="128">
        <v>1</v>
      </c>
      <c r="E287" s="126">
        <f t="shared" si="4"/>
        <v>32100.000000000004</v>
      </c>
      <c r="F287" s="295">
        <v>30000</v>
      </c>
      <c r="J287" s="301"/>
    </row>
    <row r="288" spans="1:10" ht="19.5" customHeight="1" x14ac:dyDescent="0.3">
      <c r="A288" s="129" t="s">
        <v>709</v>
      </c>
      <c r="B288" s="127" t="s">
        <v>710</v>
      </c>
      <c r="C288" s="128" t="s">
        <v>39</v>
      </c>
      <c r="D288" s="128">
        <v>1</v>
      </c>
      <c r="E288" s="126">
        <f t="shared" ref="E288:E351" si="5">+F288*(1+$E$29)</f>
        <v>10700</v>
      </c>
      <c r="F288" s="295">
        <v>10000</v>
      </c>
      <c r="J288" s="301"/>
    </row>
    <row r="289" spans="1:10" ht="19.5" customHeight="1" x14ac:dyDescent="0.3">
      <c r="A289" s="129" t="s">
        <v>711</v>
      </c>
      <c r="B289" s="127" t="s">
        <v>712</v>
      </c>
      <c r="C289" s="128" t="s">
        <v>39</v>
      </c>
      <c r="D289" s="128">
        <v>1</v>
      </c>
      <c r="E289" s="126">
        <f t="shared" si="5"/>
        <v>22047.764309764309</v>
      </c>
      <c r="F289" s="295">
        <v>20605.387205387204</v>
      </c>
      <c r="J289" s="301"/>
    </row>
    <row r="290" spans="1:10" ht="18.75" customHeight="1" x14ac:dyDescent="0.3">
      <c r="A290" s="129" t="s">
        <v>713</v>
      </c>
      <c r="B290" s="127" t="s">
        <v>714</v>
      </c>
      <c r="C290" s="128" t="s">
        <v>39</v>
      </c>
      <c r="D290" s="128">
        <v>1</v>
      </c>
      <c r="E290" s="126">
        <f t="shared" si="5"/>
        <v>2238716.06</v>
      </c>
      <c r="F290" s="295">
        <v>2092258</v>
      </c>
      <c r="J290" s="301"/>
    </row>
    <row r="291" spans="1:10" ht="19.5" customHeight="1" x14ac:dyDescent="0.3">
      <c r="A291" s="129" t="s">
        <v>715</v>
      </c>
      <c r="B291" s="127" t="s">
        <v>716</v>
      </c>
      <c r="C291" s="128" t="s">
        <v>26</v>
      </c>
      <c r="D291" s="128">
        <v>1</v>
      </c>
      <c r="E291" s="126">
        <f t="shared" si="5"/>
        <v>120770.90000000001</v>
      </c>
      <c r="F291" s="295">
        <v>112870</v>
      </c>
      <c r="J291" s="301"/>
    </row>
    <row r="292" spans="1:10" ht="19.5" customHeight="1" x14ac:dyDescent="0.3">
      <c r="A292" s="129" t="s">
        <v>717</v>
      </c>
      <c r="B292" s="127" t="s">
        <v>718</v>
      </c>
      <c r="C292" s="128" t="s">
        <v>26</v>
      </c>
      <c r="D292" s="128">
        <v>1</v>
      </c>
      <c r="E292" s="126">
        <f t="shared" si="5"/>
        <v>138030</v>
      </c>
      <c r="F292" s="295">
        <v>129000</v>
      </c>
      <c r="J292" s="301"/>
    </row>
    <row r="293" spans="1:10" ht="19.5" customHeight="1" x14ac:dyDescent="0.3">
      <c r="A293" s="129" t="s">
        <v>719</v>
      </c>
      <c r="B293" s="127" t="s">
        <v>720</v>
      </c>
      <c r="C293" s="128" t="s">
        <v>26</v>
      </c>
      <c r="D293" s="128">
        <v>1</v>
      </c>
      <c r="E293" s="126">
        <f t="shared" si="5"/>
        <v>192600</v>
      </c>
      <c r="F293" s="295">
        <v>180000</v>
      </c>
      <c r="J293" s="301"/>
    </row>
    <row r="294" spans="1:10" ht="19.5" customHeight="1" x14ac:dyDescent="0.3">
      <c r="A294" s="129" t="s">
        <v>721</v>
      </c>
      <c r="B294" s="304" t="s">
        <v>722</v>
      </c>
      <c r="C294" s="128" t="s">
        <v>4</v>
      </c>
      <c r="D294" s="128">
        <v>1</v>
      </c>
      <c r="E294" s="126">
        <f t="shared" si="5"/>
        <v>197950</v>
      </c>
      <c r="F294" s="295">
        <v>185000</v>
      </c>
      <c r="J294" s="301"/>
    </row>
    <row r="295" spans="1:10" ht="19.5" customHeight="1" x14ac:dyDescent="0.3">
      <c r="A295" s="129" t="s">
        <v>723</v>
      </c>
      <c r="B295" s="127" t="s">
        <v>724</v>
      </c>
      <c r="C295" s="128" t="s">
        <v>26</v>
      </c>
      <c r="D295" s="128">
        <v>1</v>
      </c>
      <c r="E295" s="126">
        <f t="shared" si="5"/>
        <v>61311</v>
      </c>
      <c r="F295" s="295">
        <v>57300</v>
      </c>
      <c r="J295" s="301"/>
    </row>
    <row r="296" spans="1:10" ht="19.5" customHeight="1" x14ac:dyDescent="0.3">
      <c r="A296" s="129" t="s">
        <v>725</v>
      </c>
      <c r="B296" s="127" t="s">
        <v>726</v>
      </c>
      <c r="C296" s="128" t="s">
        <v>26</v>
      </c>
      <c r="D296" s="128">
        <v>1</v>
      </c>
      <c r="E296" s="126">
        <f t="shared" si="5"/>
        <v>100580</v>
      </c>
      <c r="F296" s="295">
        <v>94000</v>
      </c>
      <c r="J296" s="301"/>
    </row>
    <row r="297" spans="1:10" ht="19.5" customHeight="1" x14ac:dyDescent="0.3">
      <c r="A297" s="129" t="s">
        <v>727</v>
      </c>
      <c r="B297" s="127" t="s">
        <v>728</v>
      </c>
      <c r="C297" s="128" t="s">
        <v>26</v>
      </c>
      <c r="D297" s="128">
        <v>1</v>
      </c>
      <c r="E297" s="126">
        <f t="shared" si="5"/>
        <v>111173</v>
      </c>
      <c r="F297" s="295">
        <v>103900</v>
      </c>
      <c r="J297" s="301"/>
    </row>
    <row r="298" spans="1:10" ht="19.5" customHeight="1" x14ac:dyDescent="0.3">
      <c r="A298" s="129" t="s">
        <v>729</v>
      </c>
      <c r="B298" s="127" t="s">
        <v>730</v>
      </c>
      <c r="C298" s="128" t="s">
        <v>26</v>
      </c>
      <c r="D298" s="128">
        <v>1</v>
      </c>
      <c r="E298" s="126">
        <f t="shared" si="5"/>
        <v>130754.00000000001</v>
      </c>
      <c r="F298" s="295">
        <v>122200</v>
      </c>
      <c r="J298" s="301"/>
    </row>
    <row r="299" spans="1:10" ht="19.5" customHeight="1" x14ac:dyDescent="0.3">
      <c r="A299" s="129" t="s">
        <v>731</v>
      </c>
      <c r="B299" s="127" t="s">
        <v>732</v>
      </c>
      <c r="C299" s="128" t="s">
        <v>26</v>
      </c>
      <c r="D299" s="128">
        <v>1</v>
      </c>
      <c r="E299" s="126">
        <f t="shared" si="5"/>
        <v>82283</v>
      </c>
      <c r="F299" s="295">
        <v>76900</v>
      </c>
      <c r="J299" s="301"/>
    </row>
    <row r="300" spans="1:10" ht="19.5" customHeight="1" x14ac:dyDescent="0.3">
      <c r="A300" s="129" t="s">
        <v>733</v>
      </c>
      <c r="B300" s="127" t="s">
        <v>734</v>
      </c>
      <c r="C300" s="128" t="s">
        <v>26</v>
      </c>
      <c r="D300" s="128">
        <v>1</v>
      </c>
      <c r="E300" s="126">
        <f t="shared" si="5"/>
        <v>147874</v>
      </c>
      <c r="F300" s="295">
        <v>138200</v>
      </c>
      <c r="G300" s="303"/>
      <c r="J300" s="301"/>
    </row>
    <row r="301" spans="1:10" ht="19.5" customHeight="1" x14ac:dyDescent="0.3">
      <c r="A301" s="129" t="s">
        <v>735</v>
      </c>
      <c r="B301" s="127" t="s">
        <v>736</v>
      </c>
      <c r="C301" s="128" t="s">
        <v>26</v>
      </c>
      <c r="D301" s="128">
        <v>1</v>
      </c>
      <c r="E301" s="126">
        <f t="shared" si="5"/>
        <v>228873</v>
      </c>
      <c r="F301" s="295">
        <v>213900</v>
      </c>
      <c r="J301" s="301"/>
    </row>
    <row r="302" spans="1:10" ht="19.5" customHeight="1" x14ac:dyDescent="0.3">
      <c r="A302" s="129" t="s">
        <v>737</v>
      </c>
      <c r="B302" s="127" t="s">
        <v>738</v>
      </c>
      <c r="C302" s="128" t="s">
        <v>26</v>
      </c>
      <c r="D302" s="128">
        <v>1</v>
      </c>
      <c r="E302" s="126">
        <f t="shared" si="5"/>
        <v>69443</v>
      </c>
      <c r="F302" s="295">
        <v>64900</v>
      </c>
      <c r="J302" s="301"/>
    </row>
    <row r="303" spans="1:10" ht="19.5" customHeight="1" x14ac:dyDescent="0.3">
      <c r="A303" s="129" t="s">
        <v>739</v>
      </c>
      <c r="B303" s="127" t="s">
        <v>740</v>
      </c>
      <c r="C303" s="128" t="s">
        <v>26</v>
      </c>
      <c r="D303" s="128">
        <v>1</v>
      </c>
      <c r="E303" s="126">
        <f t="shared" si="5"/>
        <v>1284</v>
      </c>
      <c r="F303" s="295">
        <v>1200</v>
      </c>
      <c r="J303" s="301"/>
    </row>
    <row r="304" spans="1:10" ht="19.5" customHeight="1" x14ac:dyDescent="0.3">
      <c r="A304" s="129" t="s">
        <v>741</v>
      </c>
      <c r="B304" s="127" t="s">
        <v>742</v>
      </c>
      <c r="C304" s="128" t="s">
        <v>26</v>
      </c>
      <c r="D304" s="128">
        <v>1</v>
      </c>
      <c r="E304" s="126">
        <f t="shared" si="5"/>
        <v>20437</v>
      </c>
      <c r="F304" s="295">
        <v>19100</v>
      </c>
      <c r="J304" s="301"/>
    </row>
    <row r="305" spans="1:10" ht="19.5" customHeight="1" x14ac:dyDescent="0.3">
      <c r="A305" s="129" t="s">
        <v>743</v>
      </c>
      <c r="B305" s="127" t="s">
        <v>744</v>
      </c>
      <c r="C305" s="128" t="s">
        <v>32</v>
      </c>
      <c r="D305" s="128">
        <v>1</v>
      </c>
      <c r="E305" s="126">
        <f t="shared" si="5"/>
        <v>57673</v>
      </c>
      <c r="F305" s="295">
        <v>53900</v>
      </c>
      <c r="J305" s="301"/>
    </row>
    <row r="306" spans="1:10" ht="19.5" customHeight="1" x14ac:dyDescent="0.3">
      <c r="A306" s="129" t="s">
        <v>745</v>
      </c>
      <c r="B306" s="127" t="s">
        <v>746</v>
      </c>
      <c r="C306" s="128" t="s">
        <v>26</v>
      </c>
      <c r="D306" s="128">
        <v>1</v>
      </c>
      <c r="E306" s="126">
        <f t="shared" si="5"/>
        <v>43809.01</v>
      </c>
      <c r="F306" s="295">
        <v>40943</v>
      </c>
      <c r="J306" s="301"/>
    </row>
    <row r="307" spans="1:10" ht="19.5" customHeight="1" x14ac:dyDescent="0.3">
      <c r="A307" s="129" t="s">
        <v>747</v>
      </c>
      <c r="B307" s="127" t="s">
        <v>748</v>
      </c>
      <c r="C307" s="128" t="s">
        <v>32</v>
      </c>
      <c r="D307" s="128">
        <v>1</v>
      </c>
      <c r="E307" s="126">
        <f t="shared" si="5"/>
        <v>2675</v>
      </c>
      <c r="F307" s="295">
        <v>2500</v>
      </c>
      <c r="J307" s="301"/>
    </row>
    <row r="308" spans="1:10" ht="19.5" customHeight="1" x14ac:dyDescent="0.3">
      <c r="A308" s="129" t="s">
        <v>749</v>
      </c>
      <c r="B308" s="127" t="s">
        <v>750</v>
      </c>
      <c r="C308" s="128" t="s">
        <v>26</v>
      </c>
      <c r="D308" s="128">
        <v>1</v>
      </c>
      <c r="E308" s="126">
        <f t="shared" si="5"/>
        <v>179981.49000000002</v>
      </c>
      <c r="F308" s="295">
        <v>168207</v>
      </c>
      <c r="J308" s="301"/>
    </row>
    <row r="309" spans="1:10" ht="19.5" customHeight="1" x14ac:dyDescent="0.3">
      <c r="A309" s="129" t="s">
        <v>751</v>
      </c>
      <c r="B309" s="127" t="s">
        <v>752</v>
      </c>
      <c r="C309" s="128" t="s">
        <v>26</v>
      </c>
      <c r="D309" s="128">
        <v>1</v>
      </c>
      <c r="E309" s="126">
        <f t="shared" si="5"/>
        <v>99763.590000000011</v>
      </c>
      <c r="F309" s="295">
        <v>93237</v>
      </c>
      <c r="J309" s="301"/>
    </row>
    <row r="310" spans="1:10" ht="19.5" customHeight="1" x14ac:dyDescent="0.3">
      <c r="A310" s="129" t="s">
        <v>753</v>
      </c>
      <c r="B310" s="127" t="s">
        <v>754</v>
      </c>
      <c r="C310" s="128" t="s">
        <v>26</v>
      </c>
      <c r="D310" s="128">
        <v>1</v>
      </c>
      <c r="E310" s="126">
        <f t="shared" si="5"/>
        <v>56025.200000000004</v>
      </c>
      <c r="F310" s="295">
        <v>52360</v>
      </c>
      <c r="J310" s="301"/>
    </row>
    <row r="311" spans="1:10" ht="19.5" customHeight="1" x14ac:dyDescent="0.3">
      <c r="A311" s="129" t="s">
        <v>755</v>
      </c>
      <c r="B311" s="127" t="s">
        <v>756</v>
      </c>
      <c r="C311" s="128" t="s">
        <v>26</v>
      </c>
      <c r="D311" s="128">
        <v>1</v>
      </c>
      <c r="E311" s="126">
        <f t="shared" si="5"/>
        <v>290949.05</v>
      </c>
      <c r="F311" s="295">
        <v>271915</v>
      </c>
      <c r="J311" s="301"/>
    </row>
    <row r="312" spans="1:10" ht="19.5" customHeight="1" x14ac:dyDescent="0.3">
      <c r="A312" s="129" t="s">
        <v>757</v>
      </c>
      <c r="B312" s="127" t="s">
        <v>758</v>
      </c>
      <c r="C312" s="128" t="s">
        <v>26</v>
      </c>
      <c r="D312" s="128">
        <v>1</v>
      </c>
      <c r="E312" s="126">
        <f t="shared" si="5"/>
        <v>70350.36</v>
      </c>
      <c r="F312" s="295">
        <v>65748</v>
      </c>
      <c r="J312" s="301"/>
    </row>
    <row r="313" spans="1:10" ht="19.5" customHeight="1" x14ac:dyDescent="0.3">
      <c r="A313" s="129" t="s">
        <v>759</v>
      </c>
      <c r="B313" s="127" t="s">
        <v>760</v>
      </c>
      <c r="C313" s="128" t="s">
        <v>26</v>
      </c>
      <c r="D313" s="128">
        <v>1</v>
      </c>
      <c r="E313" s="126">
        <f t="shared" si="5"/>
        <v>32100.000000000004</v>
      </c>
      <c r="F313" s="295">
        <v>30000</v>
      </c>
      <c r="J313" s="301"/>
    </row>
    <row r="314" spans="1:10" ht="19.5" customHeight="1" x14ac:dyDescent="0.3">
      <c r="A314" s="129" t="s">
        <v>761</v>
      </c>
      <c r="B314" s="127" t="s">
        <v>762</v>
      </c>
      <c r="C314" s="128" t="s">
        <v>26</v>
      </c>
      <c r="D314" s="128">
        <v>1</v>
      </c>
      <c r="E314" s="126">
        <f t="shared" si="5"/>
        <v>22363</v>
      </c>
      <c r="F314" s="295">
        <v>20900</v>
      </c>
      <c r="J314" s="301"/>
    </row>
    <row r="315" spans="1:10" ht="19.5" customHeight="1" x14ac:dyDescent="0.3">
      <c r="A315" s="129" t="s">
        <v>763</v>
      </c>
      <c r="B315" s="127" t="s">
        <v>764</v>
      </c>
      <c r="C315" s="128" t="s">
        <v>39</v>
      </c>
      <c r="D315" s="128">
        <v>1</v>
      </c>
      <c r="E315" s="126">
        <f t="shared" si="5"/>
        <v>42800</v>
      </c>
      <c r="F315" s="295">
        <v>40000</v>
      </c>
      <c r="J315" s="301"/>
    </row>
    <row r="316" spans="1:10" ht="19.5" customHeight="1" x14ac:dyDescent="0.3">
      <c r="A316" s="129" t="s">
        <v>765</v>
      </c>
      <c r="B316" s="127" t="s">
        <v>766</v>
      </c>
      <c r="C316" s="128" t="s">
        <v>26</v>
      </c>
      <c r="D316" s="128">
        <v>1</v>
      </c>
      <c r="E316" s="126">
        <f t="shared" si="5"/>
        <v>28890</v>
      </c>
      <c r="F316" s="295">
        <v>27000</v>
      </c>
      <c r="J316" s="301"/>
    </row>
    <row r="317" spans="1:10" ht="19.5" customHeight="1" x14ac:dyDescent="0.3">
      <c r="A317" s="129" t="s">
        <v>767</v>
      </c>
      <c r="B317" s="127" t="s">
        <v>768</v>
      </c>
      <c r="C317" s="128" t="s">
        <v>39</v>
      </c>
      <c r="D317" s="128">
        <v>1</v>
      </c>
      <c r="E317" s="126">
        <f t="shared" si="5"/>
        <v>4655.5700000000006</v>
      </c>
      <c r="F317" s="295">
        <v>4351</v>
      </c>
      <c r="J317" s="301"/>
    </row>
    <row r="318" spans="1:10" ht="19.5" customHeight="1" x14ac:dyDescent="0.3">
      <c r="A318" s="129" t="s">
        <v>769</v>
      </c>
      <c r="B318" s="127" t="s">
        <v>770</v>
      </c>
      <c r="C318" s="128" t="s">
        <v>39</v>
      </c>
      <c r="D318" s="128">
        <v>1</v>
      </c>
      <c r="E318" s="126">
        <f t="shared" si="5"/>
        <v>1959.17</v>
      </c>
      <c r="F318" s="295">
        <v>1831</v>
      </c>
      <c r="J318" s="301"/>
    </row>
    <row r="319" spans="1:10" ht="27" customHeight="1" x14ac:dyDescent="0.3">
      <c r="A319" s="129" t="s">
        <v>771</v>
      </c>
      <c r="B319" s="127" t="s">
        <v>772</v>
      </c>
      <c r="C319" s="128" t="s">
        <v>39</v>
      </c>
      <c r="D319" s="128">
        <v>1</v>
      </c>
      <c r="E319" s="126">
        <f t="shared" si="5"/>
        <v>10700</v>
      </c>
      <c r="F319" s="295">
        <v>10000</v>
      </c>
      <c r="J319" s="301"/>
    </row>
    <row r="320" spans="1:10" ht="19.5" customHeight="1" x14ac:dyDescent="0.3">
      <c r="A320" s="129" t="s">
        <v>773</v>
      </c>
      <c r="B320" s="127" t="s">
        <v>774</v>
      </c>
      <c r="C320" s="128" t="s">
        <v>25</v>
      </c>
      <c r="D320" s="128">
        <v>1</v>
      </c>
      <c r="E320" s="126">
        <f t="shared" si="5"/>
        <v>3852</v>
      </c>
      <c r="F320" s="295">
        <v>3600</v>
      </c>
      <c r="J320" s="301"/>
    </row>
    <row r="321" spans="1:10" ht="19.5" customHeight="1" x14ac:dyDescent="0.3">
      <c r="A321" s="129" t="s">
        <v>775</v>
      </c>
      <c r="B321" s="127" t="s">
        <v>776</v>
      </c>
      <c r="C321" s="128" t="s">
        <v>39</v>
      </c>
      <c r="D321" s="128">
        <v>1</v>
      </c>
      <c r="E321" s="126">
        <f t="shared" si="5"/>
        <v>4586.0200000000004</v>
      </c>
      <c r="F321" s="295">
        <v>4286</v>
      </c>
      <c r="J321" s="301"/>
    </row>
    <row r="322" spans="1:10" ht="19.5" customHeight="1" x14ac:dyDescent="0.3">
      <c r="A322" s="129" t="s">
        <v>777</v>
      </c>
      <c r="B322" s="127" t="s">
        <v>778</v>
      </c>
      <c r="C322" s="128" t="s">
        <v>26</v>
      </c>
      <c r="D322" s="128">
        <v>1</v>
      </c>
      <c r="E322" s="126">
        <f t="shared" si="5"/>
        <v>74900</v>
      </c>
      <c r="F322" s="295">
        <v>70000</v>
      </c>
      <c r="J322" s="301"/>
    </row>
    <row r="323" spans="1:10" ht="19.5" customHeight="1" x14ac:dyDescent="0.3">
      <c r="A323" s="129" t="s">
        <v>779</v>
      </c>
      <c r="B323" s="127" t="s">
        <v>780</v>
      </c>
      <c r="C323" s="128" t="s">
        <v>32</v>
      </c>
      <c r="D323" s="128">
        <v>1</v>
      </c>
      <c r="E323" s="126">
        <f t="shared" si="5"/>
        <v>1173.79</v>
      </c>
      <c r="F323" s="295">
        <v>1097</v>
      </c>
      <c r="J323" s="301"/>
    </row>
    <row r="324" spans="1:10" ht="18.75" customHeight="1" x14ac:dyDescent="0.3">
      <c r="A324" s="129" t="s">
        <v>781</v>
      </c>
      <c r="B324" s="127" t="s">
        <v>782</v>
      </c>
      <c r="C324" s="128" t="s">
        <v>26</v>
      </c>
      <c r="D324" s="128">
        <v>1</v>
      </c>
      <c r="E324" s="126">
        <f t="shared" si="5"/>
        <v>12840</v>
      </c>
      <c r="F324" s="295">
        <v>12000</v>
      </c>
      <c r="J324" s="301"/>
    </row>
    <row r="325" spans="1:10" ht="18.75" customHeight="1" x14ac:dyDescent="0.3">
      <c r="A325" s="129" t="s">
        <v>783</v>
      </c>
      <c r="B325" s="127" t="s">
        <v>784</v>
      </c>
      <c r="C325" s="128" t="s">
        <v>39</v>
      </c>
      <c r="D325" s="128">
        <v>1</v>
      </c>
      <c r="E325" s="126">
        <f t="shared" si="5"/>
        <v>20030.400000000001</v>
      </c>
      <c r="F325" s="295">
        <v>18720</v>
      </c>
      <c r="J325" s="301"/>
    </row>
    <row r="326" spans="1:10" ht="18.75" customHeight="1" x14ac:dyDescent="0.3">
      <c r="A326" s="129" t="s">
        <v>785</v>
      </c>
      <c r="B326" s="127" t="s">
        <v>786</v>
      </c>
      <c r="C326" s="128" t="s">
        <v>26</v>
      </c>
      <c r="D326" s="128">
        <v>1</v>
      </c>
      <c r="E326" s="126">
        <f t="shared" si="5"/>
        <v>84016.400000000009</v>
      </c>
      <c r="F326" s="295">
        <v>78520</v>
      </c>
      <c r="J326" s="301"/>
    </row>
    <row r="327" spans="1:10" ht="18.75" customHeight="1" x14ac:dyDescent="0.3">
      <c r="A327" s="129" t="s">
        <v>787</v>
      </c>
      <c r="B327" s="127" t="s">
        <v>788</v>
      </c>
      <c r="C327" s="128" t="s">
        <v>26</v>
      </c>
      <c r="D327" s="128">
        <v>1</v>
      </c>
      <c r="E327" s="126">
        <f t="shared" si="5"/>
        <v>94276.63</v>
      </c>
      <c r="F327" s="295">
        <v>88109</v>
      </c>
      <c r="J327" s="301"/>
    </row>
    <row r="328" spans="1:10" ht="18.75" customHeight="1" x14ac:dyDescent="0.3">
      <c r="A328" s="131" t="s">
        <v>789</v>
      </c>
      <c r="B328" s="127" t="s">
        <v>790</v>
      </c>
      <c r="C328" s="128" t="s">
        <v>26</v>
      </c>
      <c r="D328" s="128">
        <v>1</v>
      </c>
      <c r="E328" s="126">
        <f t="shared" si="5"/>
        <v>108432.73000000001</v>
      </c>
      <c r="F328" s="295">
        <v>101339</v>
      </c>
      <c r="G328" s="31"/>
      <c r="J328" s="301"/>
    </row>
    <row r="329" spans="1:10" ht="18.75" customHeight="1" x14ac:dyDescent="0.3">
      <c r="A329" s="131" t="s">
        <v>791</v>
      </c>
      <c r="B329" s="127" t="s">
        <v>792</v>
      </c>
      <c r="C329" s="128" t="s">
        <v>26</v>
      </c>
      <c r="D329" s="128">
        <v>1</v>
      </c>
      <c r="E329" s="126">
        <f t="shared" si="5"/>
        <v>124856.16</v>
      </c>
      <c r="F329" s="295">
        <v>116688</v>
      </c>
      <c r="J329" s="301"/>
    </row>
    <row r="330" spans="1:10" ht="19.5" customHeight="1" x14ac:dyDescent="0.3">
      <c r="A330" s="129" t="s">
        <v>793</v>
      </c>
      <c r="B330" s="127" t="s">
        <v>794</v>
      </c>
      <c r="C330" s="128" t="s">
        <v>26</v>
      </c>
      <c r="D330" s="128">
        <v>1</v>
      </c>
      <c r="E330" s="126">
        <f t="shared" si="5"/>
        <v>137542.08000000002</v>
      </c>
      <c r="F330" s="295">
        <v>128544</v>
      </c>
      <c r="J330" s="301"/>
    </row>
    <row r="331" spans="1:10" ht="19.5" customHeight="1" x14ac:dyDescent="0.3">
      <c r="A331" s="129" t="s">
        <v>795</v>
      </c>
      <c r="B331" s="127" t="s">
        <v>796</v>
      </c>
      <c r="C331" s="128" t="s">
        <v>597</v>
      </c>
      <c r="D331" s="128">
        <v>1</v>
      </c>
      <c r="E331" s="126">
        <f t="shared" si="5"/>
        <v>3552.4</v>
      </c>
      <c r="F331" s="295">
        <v>3320</v>
      </c>
      <c r="J331" s="301"/>
    </row>
    <row r="332" spans="1:10" ht="19.5" customHeight="1" x14ac:dyDescent="0.3">
      <c r="A332" s="129" t="s">
        <v>797</v>
      </c>
      <c r="B332" s="127" t="s">
        <v>798</v>
      </c>
      <c r="C332" s="128" t="s">
        <v>26</v>
      </c>
      <c r="D332" s="128">
        <v>1</v>
      </c>
      <c r="E332" s="126">
        <f t="shared" si="5"/>
        <v>42655.55</v>
      </c>
      <c r="F332" s="295">
        <v>39865</v>
      </c>
      <c r="J332" s="301"/>
    </row>
    <row r="333" spans="1:10" ht="19.5" customHeight="1" x14ac:dyDescent="0.3">
      <c r="A333" s="129" t="s">
        <v>799</v>
      </c>
      <c r="B333" s="127" t="s">
        <v>800</v>
      </c>
      <c r="C333" s="128" t="s">
        <v>218</v>
      </c>
      <c r="D333" s="128">
        <v>1</v>
      </c>
      <c r="E333" s="126">
        <f t="shared" si="5"/>
        <v>13161</v>
      </c>
      <c r="F333" s="295">
        <v>12300</v>
      </c>
      <c r="J333" s="301"/>
    </row>
    <row r="334" spans="1:10" ht="19.5" customHeight="1" x14ac:dyDescent="0.3">
      <c r="A334" s="129" t="s">
        <v>801</v>
      </c>
      <c r="B334" s="127" t="s">
        <v>802</v>
      </c>
      <c r="C334" s="128" t="s">
        <v>42</v>
      </c>
      <c r="D334" s="128">
        <v>1</v>
      </c>
      <c r="E334" s="126">
        <f t="shared" si="5"/>
        <v>38520</v>
      </c>
      <c r="F334" s="295">
        <v>36000</v>
      </c>
      <c r="J334" s="301"/>
    </row>
    <row r="335" spans="1:10" ht="19.5" customHeight="1" x14ac:dyDescent="0.3">
      <c r="A335" s="129" t="s">
        <v>803</v>
      </c>
      <c r="B335" s="127" t="s">
        <v>804</v>
      </c>
      <c r="C335" s="128" t="s">
        <v>42</v>
      </c>
      <c r="D335" s="128">
        <v>1</v>
      </c>
      <c r="E335" s="126">
        <f t="shared" si="5"/>
        <v>32100.000000000004</v>
      </c>
      <c r="F335" s="295">
        <v>30000</v>
      </c>
      <c r="G335" s="303"/>
      <c r="J335" s="301"/>
    </row>
    <row r="336" spans="1:10" ht="19.5" customHeight="1" x14ac:dyDescent="0.3">
      <c r="A336" s="129" t="s">
        <v>805</v>
      </c>
      <c r="B336" s="127" t="s">
        <v>806</v>
      </c>
      <c r="C336" s="128" t="s">
        <v>42</v>
      </c>
      <c r="D336" s="128">
        <v>1</v>
      </c>
      <c r="E336" s="126">
        <f t="shared" si="5"/>
        <v>59920</v>
      </c>
      <c r="F336" s="295">
        <v>56000</v>
      </c>
      <c r="G336" s="303"/>
      <c r="J336" s="301"/>
    </row>
    <row r="337" spans="1:10" ht="19.5" customHeight="1" x14ac:dyDescent="0.3">
      <c r="A337" s="129" t="s">
        <v>807</v>
      </c>
      <c r="B337" s="127" t="s">
        <v>808</v>
      </c>
      <c r="C337" s="128" t="s">
        <v>42</v>
      </c>
      <c r="D337" s="128">
        <v>1</v>
      </c>
      <c r="E337" s="126">
        <f t="shared" si="5"/>
        <v>59920</v>
      </c>
      <c r="F337" s="295">
        <v>56000</v>
      </c>
      <c r="G337" s="303"/>
      <c r="J337" s="301"/>
    </row>
    <row r="338" spans="1:10" ht="18" customHeight="1" x14ac:dyDescent="0.3">
      <c r="A338" s="129" t="s">
        <v>809</v>
      </c>
      <c r="B338" s="127" t="s">
        <v>810</v>
      </c>
      <c r="C338" s="128" t="s">
        <v>42</v>
      </c>
      <c r="D338" s="128">
        <v>1</v>
      </c>
      <c r="E338" s="126">
        <f t="shared" si="5"/>
        <v>64200.000000000007</v>
      </c>
      <c r="F338" s="295">
        <v>60000</v>
      </c>
      <c r="J338" s="301"/>
    </row>
    <row r="339" spans="1:10" ht="19.5" customHeight="1" x14ac:dyDescent="0.3">
      <c r="A339" s="129" t="s">
        <v>811</v>
      </c>
      <c r="B339" s="127" t="s">
        <v>812</v>
      </c>
      <c r="C339" s="128" t="s">
        <v>42</v>
      </c>
      <c r="D339" s="128">
        <v>1</v>
      </c>
      <c r="E339" s="126">
        <f t="shared" si="5"/>
        <v>80250</v>
      </c>
      <c r="F339" s="295">
        <v>75000</v>
      </c>
      <c r="J339" s="301"/>
    </row>
    <row r="340" spans="1:10" ht="19.5" customHeight="1" x14ac:dyDescent="0.3">
      <c r="A340" s="129" t="s">
        <v>813</v>
      </c>
      <c r="B340" s="127" t="s">
        <v>814</v>
      </c>
      <c r="C340" s="128" t="s">
        <v>26</v>
      </c>
      <c r="D340" s="128">
        <v>1</v>
      </c>
      <c r="E340" s="126">
        <f t="shared" si="5"/>
        <v>208543</v>
      </c>
      <c r="F340" s="295">
        <v>194900</v>
      </c>
      <c r="J340" s="301"/>
    </row>
    <row r="341" spans="1:10" ht="19.5" customHeight="1" x14ac:dyDescent="0.3">
      <c r="A341" s="129" t="s">
        <v>815</v>
      </c>
      <c r="B341" s="127" t="s">
        <v>816</v>
      </c>
      <c r="C341" s="128" t="s">
        <v>26</v>
      </c>
      <c r="D341" s="128">
        <v>1</v>
      </c>
      <c r="E341" s="126">
        <f t="shared" si="5"/>
        <v>393513.9</v>
      </c>
      <c r="F341" s="295">
        <v>367770</v>
      </c>
      <c r="J341" s="301"/>
    </row>
    <row r="342" spans="1:10" ht="19.5" customHeight="1" x14ac:dyDescent="0.3">
      <c r="A342" s="129" t="s">
        <v>817</v>
      </c>
      <c r="B342" s="127" t="s">
        <v>818</v>
      </c>
      <c r="C342" s="128" t="s">
        <v>26</v>
      </c>
      <c r="D342" s="128">
        <v>1</v>
      </c>
      <c r="E342" s="126">
        <f t="shared" si="5"/>
        <v>163282</v>
      </c>
      <c r="F342" s="295">
        <v>152600</v>
      </c>
      <c r="I342" s="50"/>
      <c r="J342" s="301"/>
    </row>
    <row r="343" spans="1:10" ht="19.5" customHeight="1" x14ac:dyDescent="0.3">
      <c r="A343" s="129" t="s">
        <v>819</v>
      </c>
      <c r="B343" s="127" t="s">
        <v>820</v>
      </c>
      <c r="C343" s="128" t="s">
        <v>42</v>
      </c>
      <c r="D343" s="128">
        <v>1</v>
      </c>
      <c r="E343" s="126">
        <f t="shared" si="5"/>
        <v>486850</v>
      </c>
      <c r="F343" s="295">
        <v>455000</v>
      </c>
      <c r="J343" s="301"/>
    </row>
    <row r="344" spans="1:10" s="50" customFormat="1" ht="19.5" customHeight="1" x14ac:dyDescent="0.3">
      <c r="A344" s="129" t="s">
        <v>821</v>
      </c>
      <c r="B344" s="127" t="s">
        <v>822</v>
      </c>
      <c r="C344" s="128" t="s">
        <v>26</v>
      </c>
      <c r="D344" s="128">
        <v>1</v>
      </c>
      <c r="E344" s="126">
        <f t="shared" si="5"/>
        <v>55640</v>
      </c>
      <c r="F344" s="318">
        <v>52000</v>
      </c>
      <c r="I344" s="25"/>
      <c r="J344" s="301"/>
    </row>
    <row r="345" spans="1:10" ht="19.5" customHeight="1" x14ac:dyDescent="0.3">
      <c r="A345" s="129" t="s">
        <v>823</v>
      </c>
      <c r="B345" s="127" t="s">
        <v>824</v>
      </c>
      <c r="C345" s="128" t="s">
        <v>25</v>
      </c>
      <c r="D345" s="128">
        <v>1</v>
      </c>
      <c r="E345" s="126">
        <f t="shared" si="5"/>
        <v>5864.67</v>
      </c>
      <c r="F345" s="295">
        <v>5481</v>
      </c>
      <c r="J345" s="301"/>
    </row>
    <row r="346" spans="1:10" ht="27" customHeight="1" x14ac:dyDescent="0.3">
      <c r="A346" s="129" t="s">
        <v>825</v>
      </c>
      <c r="B346" s="127" t="s">
        <v>826</v>
      </c>
      <c r="C346" s="128" t="s">
        <v>25</v>
      </c>
      <c r="D346" s="128">
        <v>1</v>
      </c>
      <c r="E346" s="126">
        <f t="shared" si="5"/>
        <v>5088.92</v>
      </c>
      <c r="F346" s="295">
        <v>4756</v>
      </c>
      <c r="J346" s="301"/>
    </row>
    <row r="347" spans="1:10" ht="19.5" customHeight="1" x14ac:dyDescent="0.3">
      <c r="A347" s="129" t="s">
        <v>827</v>
      </c>
      <c r="B347" s="127" t="s">
        <v>828</v>
      </c>
      <c r="C347" s="128" t="s">
        <v>25</v>
      </c>
      <c r="D347" s="128">
        <v>1</v>
      </c>
      <c r="E347" s="126">
        <f t="shared" si="5"/>
        <v>27499</v>
      </c>
      <c r="F347" s="295">
        <v>25700</v>
      </c>
      <c r="J347" s="301"/>
    </row>
    <row r="348" spans="1:10" ht="19.5" customHeight="1" x14ac:dyDescent="0.3">
      <c r="A348" s="129" t="s">
        <v>829</v>
      </c>
      <c r="B348" s="127" t="s">
        <v>830</v>
      </c>
      <c r="C348" s="128" t="s">
        <v>25</v>
      </c>
      <c r="D348" s="128">
        <v>1</v>
      </c>
      <c r="E348" s="126">
        <f t="shared" si="5"/>
        <v>3745</v>
      </c>
      <c r="F348" s="295">
        <v>3500</v>
      </c>
      <c r="J348" s="301"/>
    </row>
    <row r="349" spans="1:10" ht="19.5" customHeight="1" x14ac:dyDescent="0.3">
      <c r="A349" s="129" t="s">
        <v>831</v>
      </c>
      <c r="B349" s="127" t="s">
        <v>832</v>
      </c>
      <c r="C349" s="128" t="s">
        <v>32</v>
      </c>
      <c r="D349" s="128">
        <v>1</v>
      </c>
      <c r="E349" s="126">
        <f t="shared" si="5"/>
        <v>497550</v>
      </c>
      <c r="F349" s="295">
        <v>465000</v>
      </c>
      <c r="J349" s="301"/>
    </row>
    <row r="350" spans="1:10" ht="18.75" customHeight="1" x14ac:dyDescent="0.3">
      <c r="A350" s="129" t="s">
        <v>833</v>
      </c>
      <c r="B350" s="127" t="s">
        <v>834</v>
      </c>
      <c r="C350" s="128" t="s">
        <v>26</v>
      </c>
      <c r="D350" s="128">
        <v>1</v>
      </c>
      <c r="E350" s="126">
        <f t="shared" si="5"/>
        <v>85493</v>
      </c>
      <c r="F350" s="295">
        <v>79900</v>
      </c>
      <c r="J350" s="301"/>
    </row>
    <row r="351" spans="1:10" ht="18.75" customHeight="1" x14ac:dyDescent="0.3">
      <c r="A351" s="129" t="s">
        <v>835</v>
      </c>
      <c r="B351" s="127" t="s">
        <v>836</v>
      </c>
      <c r="C351" s="128" t="s">
        <v>26</v>
      </c>
      <c r="D351" s="128">
        <v>1</v>
      </c>
      <c r="E351" s="126">
        <f t="shared" si="5"/>
        <v>176550</v>
      </c>
      <c r="F351" s="295">
        <v>165000</v>
      </c>
      <c r="J351" s="301"/>
    </row>
    <row r="352" spans="1:10" ht="18.75" customHeight="1" x14ac:dyDescent="0.3">
      <c r="A352" s="131" t="s">
        <v>837</v>
      </c>
      <c r="B352" s="127" t="s">
        <v>838</v>
      </c>
      <c r="C352" s="128" t="s">
        <v>26</v>
      </c>
      <c r="D352" s="128">
        <v>1</v>
      </c>
      <c r="E352" s="126">
        <f t="shared" ref="E352:E415" si="6">+F352*(1+$E$29)</f>
        <v>176978</v>
      </c>
      <c r="F352" s="295">
        <v>165400</v>
      </c>
      <c r="J352" s="301"/>
    </row>
    <row r="353" spans="1:10" ht="18.75" customHeight="1" x14ac:dyDescent="0.3">
      <c r="A353" s="129" t="s">
        <v>839</v>
      </c>
      <c r="B353" s="127" t="s">
        <v>840</v>
      </c>
      <c r="C353" s="128" t="s">
        <v>26</v>
      </c>
      <c r="D353" s="128">
        <v>1</v>
      </c>
      <c r="E353" s="126">
        <f t="shared" si="6"/>
        <v>194205</v>
      </c>
      <c r="F353" s="295">
        <v>181500</v>
      </c>
      <c r="J353" s="301"/>
    </row>
    <row r="354" spans="1:10" ht="19.5" customHeight="1" x14ac:dyDescent="0.3">
      <c r="A354" s="131" t="s">
        <v>841</v>
      </c>
      <c r="B354" s="127" t="s">
        <v>842</v>
      </c>
      <c r="C354" s="128" t="s">
        <v>26</v>
      </c>
      <c r="D354" s="128">
        <v>1</v>
      </c>
      <c r="E354" s="126">
        <f t="shared" si="6"/>
        <v>220420</v>
      </c>
      <c r="F354" s="295">
        <v>206000</v>
      </c>
      <c r="J354" s="301"/>
    </row>
    <row r="355" spans="1:10" ht="19.5" customHeight="1" x14ac:dyDescent="0.3">
      <c r="A355" s="129" t="s">
        <v>843</v>
      </c>
      <c r="B355" s="127" t="s">
        <v>844</v>
      </c>
      <c r="C355" s="128" t="s">
        <v>26</v>
      </c>
      <c r="D355" s="128">
        <v>1</v>
      </c>
      <c r="E355" s="126">
        <f t="shared" si="6"/>
        <v>2675</v>
      </c>
      <c r="F355" s="295">
        <v>2500</v>
      </c>
      <c r="J355" s="301"/>
    </row>
    <row r="356" spans="1:10" ht="19.5" customHeight="1" x14ac:dyDescent="0.3">
      <c r="A356" s="129" t="s">
        <v>845</v>
      </c>
      <c r="B356" s="127" t="s">
        <v>846</v>
      </c>
      <c r="C356" s="128" t="s">
        <v>26</v>
      </c>
      <c r="D356" s="128">
        <v>1</v>
      </c>
      <c r="E356" s="126">
        <f t="shared" si="6"/>
        <v>2954.27</v>
      </c>
      <c r="F356" s="295">
        <v>2761</v>
      </c>
      <c r="J356" s="301"/>
    </row>
    <row r="357" spans="1:10" ht="19.5" customHeight="1" x14ac:dyDescent="0.3">
      <c r="A357" s="129" t="s">
        <v>847</v>
      </c>
      <c r="B357" s="127" t="s">
        <v>848</v>
      </c>
      <c r="C357" s="128" t="s">
        <v>26</v>
      </c>
      <c r="D357" s="128">
        <v>1</v>
      </c>
      <c r="E357" s="126">
        <f t="shared" si="6"/>
        <v>4815</v>
      </c>
      <c r="F357" s="295">
        <v>4500</v>
      </c>
      <c r="J357" s="301"/>
    </row>
    <row r="358" spans="1:10" ht="19.5" customHeight="1" x14ac:dyDescent="0.3">
      <c r="A358" s="129" t="s">
        <v>849</v>
      </c>
      <c r="B358" s="127" t="s">
        <v>850</v>
      </c>
      <c r="C358" s="128" t="s">
        <v>26</v>
      </c>
      <c r="D358" s="128">
        <v>1</v>
      </c>
      <c r="E358" s="126">
        <f t="shared" si="6"/>
        <v>9202</v>
      </c>
      <c r="F358" s="322">
        <v>8600</v>
      </c>
      <c r="J358" s="301"/>
    </row>
    <row r="359" spans="1:10" ht="19.5" customHeight="1" x14ac:dyDescent="0.3">
      <c r="A359" s="129" t="s">
        <v>851</v>
      </c>
      <c r="B359" s="127" t="s">
        <v>852</v>
      </c>
      <c r="C359" s="128" t="s">
        <v>26</v>
      </c>
      <c r="D359" s="128">
        <v>1</v>
      </c>
      <c r="E359" s="126">
        <f t="shared" si="6"/>
        <v>5564</v>
      </c>
      <c r="F359" s="295">
        <v>5200</v>
      </c>
      <c r="J359" s="301"/>
    </row>
    <row r="360" spans="1:10" ht="19.5" customHeight="1" x14ac:dyDescent="0.3">
      <c r="A360" s="129" t="s">
        <v>853</v>
      </c>
      <c r="B360" s="127" t="s">
        <v>854</v>
      </c>
      <c r="C360" s="128" t="s">
        <v>26</v>
      </c>
      <c r="D360" s="128">
        <v>1</v>
      </c>
      <c r="E360" s="126">
        <f t="shared" si="6"/>
        <v>8988</v>
      </c>
      <c r="F360" s="295">
        <v>8400</v>
      </c>
      <c r="I360" s="306"/>
      <c r="J360" s="301"/>
    </row>
    <row r="361" spans="1:10" ht="19.5" customHeight="1" x14ac:dyDescent="0.3">
      <c r="A361" s="129" t="s">
        <v>855</v>
      </c>
      <c r="B361" s="127" t="s">
        <v>856</v>
      </c>
      <c r="C361" s="128" t="s">
        <v>26</v>
      </c>
      <c r="D361" s="128">
        <v>1</v>
      </c>
      <c r="E361" s="126">
        <f t="shared" si="6"/>
        <v>11009.230000000001</v>
      </c>
      <c r="F361" s="295">
        <v>10289</v>
      </c>
      <c r="J361" s="301"/>
    </row>
    <row r="362" spans="1:10" ht="25.5" customHeight="1" x14ac:dyDescent="0.3">
      <c r="A362" s="129" t="s">
        <v>857</v>
      </c>
      <c r="B362" s="127" t="s">
        <v>858</v>
      </c>
      <c r="C362" s="128" t="s">
        <v>26</v>
      </c>
      <c r="D362" s="128">
        <v>1</v>
      </c>
      <c r="E362" s="126">
        <f t="shared" si="6"/>
        <v>6702.4800000000005</v>
      </c>
      <c r="F362" s="322">
        <v>6264</v>
      </c>
      <c r="J362" s="301"/>
    </row>
    <row r="363" spans="1:10" ht="19.5" customHeight="1" x14ac:dyDescent="0.3">
      <c r="A363" s="129" t="s">
        <v>859</v>
      </c>
      <c r="B363" s="127" t="s">
        <v>860</v>
      </c>
      <c r="C363" s="128" t="s">
        <v>26</v>
      </c>
      <c r="D363" s="128">
        <v>1</v>
      </c>
      <c r="E363" s="126">
        <f t="shared" si="6"/>
        <v>26891.24</v>
      </c>
      <c r="F363" s="295">
        <v>25132</v>
      </c>
      <c r="J363" s="301"/>
    </row>
    <row r="364" spans="1:10" s="306" customFormat="1" ht="19.5" customHeight="1" x14ac:dyDescent="0.3">
      <c r="A364" s="129" t="s">
        <v>861</v>
      </c>
      <c r="B364" s="127" t="s">
        <v>862</v>
      </c>
      <c r="C364" s="128" t="s">
        <v>26</v>
      </c>
      <c r="D364" s="128">
        <v>1</v>
      </c>
      <c r="E364" s="126">
        <f t="shared" si="6"/>
        <v>4815</v>
      </c>
      <c r="F364" s="295">
        <v>4500</v>
      </c>
      <c r="I364" s="25"/>
      <c r="J364" s="301"/>
    </row>
    <row r="365" spans="1:10" ht="19.5" customHeight="1" x14ac:dyDescent="0.3">
      <c r="A365" s="323" t="s">
        <v>863</v>
      </c>
      <c r="B365" s="127" t="s">
        <v>864</v>
      </c>
      <c r="C365" s="128" t="s">
        <v>26</v>
      </c>
      <c r="D365" s="128">
        <v>1</v>
      </c>
      <c r="E365" s="126">
        <f t="shared" si="6"/>
        <v>282908</v>
      </c>
      <c r="F365" s="295">
        <v>264400</v>
      </c>
      <c r="J365" s="301"/>
    </row>
    <row r="366" spans="1:10" ht="19.5" customHeight="1" x14ac:dyDescent="0.3">
      <c r="A366" s="129" t="s">
        <v>865</v>
      </c>
      <c r="B366" s="127" t="s">
        <v>866</v>
      </c>
      <c r="C366" s="128" t="s">
        <v>26</v>
      </c>
      <c r="D366" s="128">
        <v>1</v>
      </c>
      <c r="E366" s="126">
        <f t="shared" si="6"/>
        <v>632798</v>
      </c>
      <c r="F366" s="295">
        <v>591400</v>
      </c>
      <c r="J366" s="301"/>
    </row>
    <row r="367" spans="1:10" ht="19.5" customHeight="1" x14ac:dyDescent="0.3">
      <c r="A367" s="129" t="s">
        <v>867</v>
      </c>
      <c r="B367" s="127" t="s">
        <v>868</v>
      </c>
      <c r="C367" s="128" t="s">
        <v>26</v>
      </c>
      <c r="D367" s="128">
        <v>1</v>
      </c>
      <c r="E367" s="126">
        <f t="shared" si="6"/>
        <v>288365</v>
      </c>
      <c r="F367" s="295">
        <v>269500</v>
      </c>
      <c r="J367" s="301"/>
    </row>
    <row r="368" spans="1:10" ht="19.5" customHeight="1" x14ac:dyDescent="0.3">
      <c r="A368" s="129" t="s">
        <v>863</v>
      </c>
      <c r="B368" s="127" t="s">
        <v>864</v>
      </c>
      <c r="C368" s="128" t="s">
        <v>26</v>
      </c>
      <c r="D368" s="128">
        <v>1</v>
      </c>
      <c r="E368" s="126">
        <f t="shared" si="6"/>
        <v>347643</v>
      </c>
      <c r="F368" s="295">
        <v>324900</v>
      </c>
      <c r="J368" s="301"/>
    </row>
    <row r="369" spans="1:10" ht="19.5" customHeight="1" x14ac:dyDescent="0.3">
      <c r="A369" s="129" t="s">
        <v>869</v>
      </c>
      <c r="B369" s="127" t="s">
        <v>870</v>
      </c>
      <c r="C369" s="128" t="s">
        <v>26</v>
      </c>
      <c r="D369" s="128">
        <v>1</v>
      </c>
      <c r="E369" s="126">
        <f t="shared" si="6"/>
        <v>16050.000000000002</v>
      </c>
      <c r="F369" s="295">
        <v>15000</v>
      </c>
      <c r="J369" s="301"/>
    </row>
    <row r="370" spans="1:10" ht="19.5" customHeight="1" x14ac:dyDescent="0.3">
      <c r="A370" s="129" t="s">
        <v>871</v>
      </c>
      <c r="B370" s="127" t="s">
        <v>872</v>
      </c>
      <c r="C370" s="128" t="s">
        <v>26</v>
      </c>
      <c r="D370" s="128">
        <v>1</v>
      </c>
      <c r="E370" s="126">
        <f t="shared" si="6"/>
        <v>32100.000000000004</v>
      </c>
      <c r="F370" s="295">
        <v>30000</v>
      </c>
      <c r="J370" s="301"/>
    </row>
    <row r="371" spans="1:10" ht="19.5" customHeight="1" x14ac:dyDescent="0.3">
      <c r="A371" s="129" t="s">
        <v>873</v>
      </c>
      <c r="B371" s="127" t="s">
        <v>874</v>
      </c>
      <c r="C371" s="128" t="s">
        <v>875</v>
      </c>
      <c r="D371" s="128">
        <v>1</v>
      </c>
      <c r="E371" s="126">
        <f t="shared" si="6"/>
        <v>267500</v>
      </c>
      <c r="F371" s="295">
        <v>250000</v>
      </c>
      <c r="J371" s="301"/>
    </row>
    <row r="372" spans="1:10" ht="19.5" customHeight="1" x14ac:dyDescent="0.3">
      <c r="A372" s="129" t="s">
        <v>876</v>
      </c>
      <c r="B372" s="127" t="s">
        <v>877</v>
      </c>
      <c r="C372" s="128" t="s">
        <v>171</v>
      </c>
      <c r="D372" s="128">
        <v>1</v>
      </c>
      <c r="E372" s="126">
        <f t="shared" si="6"/>
        <v>53500</v>
      </c>
      <c r="F372" s="295">
        <v>50000</v>
      </c>
      <c r="J372" s="301"/>
    </row>
    <row r="373" spans="1:10" ht="19.5" customHeight="1" x14ac:dyDescent="0.3">
      <c r="A373" s="129" t="s">
        <v>878</v>
      </c>
      <c r="B373" s="127" t="s">
        <v>879</v>
      </c>
      <c r="C373" s="128" t="s">
        <v>26</v>
      </c>
      <c r="D373" s="128">
        <v>1</v>
      </c>
      <c r="E373" s="126">
        <f t="shared" si="6"/>
        <v>81320</v>
      </c>
      <c r="F373" s="295">
        <v>76000</v>
      </c>
      <c r="J373" s="301"/>
    </row>
    <row r="374" spans="1:10" ht="19.5" customHeight="1" x14ac:dyDescent="0.3">
      <c r="A374" s="129" t="s">
        <v>880</v>
      </c>
      <c r="B374" s="127" t="s">
        <v>881</v>
      </c>
      <c r="C374" s="128" t="s">
        <v>26</v>
      </c>
      <c r="D374" s="128">
        <v>1</v>
      </c>
      <c r="E374" s="126">
        <f t="shared" si="6"/>
        <v>4895.25</v>
      </c>
      <c r="F374" s="295">
        <v>4575</v>
      </c>
      <c r="J374" s="301"/>
    </row>
    <row r="375" spans="1:10" ht="19.5" customHeight="1" x14ac:dyDescent="0.3">
      <c r="A375" s="129" t="s">
        <v>882</v>
      </c>
      <c r="B375" s="127" t="s">
        <v>883</v>
      </c>
      <c r="C375" s="128" t="s">
        <v>26</v>
      </c>
      <c r="D375" s="128">
        <v>1</v>
      </c>
      <c r="E375" s="126">
        <f t="shared" si="6"/>
        <v>7704</v>
      </c>
      <c r="F375" s="295">
        <v>7200</v>
      </c>
      <c r="J375" s="301"/>
    </row>
    <row r="376" spans="1:10" ht="50.25" customHeight="1" x14ac:dyDescent="0.3">
      <c r="A376" s="131" t="s">
        <v>884</v>
      </c>
      <c r="B376" s="132" t="s">
        <v>885</v>
      </c>
      <c r="C376" s="50" t="s">
        <v>26</v>
      </c>
      <c r="D376" s="128">
        <v>1</v>
      </c>
      <c r="E376" s="126">
        <f t="shared" si="6"/>
        <v>1984850</v>
      </c>
      <c r="F376" s="295">
        <v>1855000</v>
      </c>
      <c r="J376" s="301"/>
    </row>
    <row r="377" spans="1:10" ht="48" customHeight="1" x14ac:dyDescent="0.3">
      <c r="A377" s="129" t="s">
        <v>886</v>
      </c>
      <c r="B377" s="132" t="s">
        <v>887</v>
      </c>
      <c r="C377" s="128" t="s">
        <v>26</v>
      </c>
      <c r="D377" s="128">
        <v>1</v>
      </c>
      <c r="E377" s="126">
        <f t="shared" si="6"/>
        <v>1337500</v>
      </c>
      <c r="F377" s="295">
        <v>1250000</v>
      </c>
      <c r="J377" s="301"/>
    </row>
    <row r="378" spans="1:10" ht="19.5" customHeight="1" x14ac:dyDescent="0.3">
      <c r="A378" s="129" t="s">
        <v>888</v>
      </c>
      <c r="B378" s="127" t="s">
        <v>889</v>
      </c>
      <c r="C378" s="128" t="s">
        <v>26</v>
      </c>
      <c r="D378" s="128"/>
      <c r="E378" s="126">
        <f t="shared" si="6"/>
        <v>10593</v>
      </c>
      <c r="F378" s="295">
        <v>9900</v>
      </c>
      <c r="J378" s="301"/>
    </row>
    <row r="379" spans="1:10" ht="19.5" customHeight="1" x14ac:dyDescent="0.3">
      <c r="A379" s="129" t="s">
        <v>890</v>
      </c>
      <c r="B379" s="127" t="s">
        <v>891</v>
      </c>
      <c r="C379" s="128" t="s">
        <v>26</v>
      </c>
      <c r="D379" s="128">
        <v>1</v>
      </c>
      <c r="E379" s="126">
        <f t="shared" si="6"/>
        <v>10593</v>
      </c>
      <c r="F379" s="295">
        <v>9900</v>
      </c>
      <c r="J379" s="301"/>
    </row>
    <row r="380" spans="1:10" ht="19.5" customHeight="1" x14ac:dyDescent="0.3">
      <c r="A380" s="129" t="s">
        <v>892</v>
      </c>
      <c r="B380" s="127" t="s">
        <v>893</v>
      </c>
      <c r="C380" s="128" t="s">
        <v>26</v>
      </c>
      <c r="D380" s="128">
        <v>1</v>
      </c>
      <c r="E380" s="126">
        <f t="shared" si="6"/>
        <v>11984</v>
      </c>
      <c r="F380" s="295">
        <v>11200</v>
      </c>
      <c r="J380" s="301"/>
    </row>
    <row r="381" spans="1:10" ht="19.5" customHeight="1" x14ac:dyDescent="0.3">
      <c r="A381" s="129" t="s">
        <v>894</v>
      </c>
      <c r="B381" s="127" t="s">
        <v>895</v>
      </c>
      <c r="C381" s="128" t="s">
        <v>26</v>
      </c>
      <c r="D381" s="128">
        <v>1</v>
      </c>
      <c r="E381" s="126">
        <f t="shared" si="6"/>
        <v>10700</v>
      </c>
      <c r="F381" s="295">
        <v>10000</v>
      </c>
      <c r="J381" s="301"/>
    </row>
    <row r="382" spans="1:10" ht="18" customHeight="1" x14ac:dyDescent="0.3">
      <c r="A382" s="129" t="s">
        <v>896</v>
      </c>
      <c r="B382" s="127" t="s">
        <v>897</v>
      </c>
      <c r="C382" s="128" t="s">
        <v>26</v>
      </c>
      <c r="D382" s="128">
        <v>1</v>
      </c>
      <c r="E382" s="126">
        <f t="shared" si="6"/>
        <v>10700</v>
      </c>
      <c r="F382" s="295">
        <v>10000</v>
      </c>
      <c r="J382" s="301"/>
    </row>
    <row r="383" spans="1:10" ht="19.5" customHeight="1" x14ac:dyDescent="0.3">
      <c r="A383" s="129" t="s">
        <v>898</v>
      </c>
      <c r="B383" s="127" t="s">
        <v>899</v>
      </c>
      <c r="C383" s="128" t="s">
        <v>32</v>
      </c>
      <c r="D383" s="128">
        <v>1</v>
      </c>
      <c r="E383" s="126">
        <f t="shared" si="6"/>
        <v>1070</v>
      </c>
      <c r="F383" s="295">
        <v>1000</v>
      </c>
      <c r="J383" s="301"/>
    </row>
    <row r="384" spans="1:10" ht="19.5" customHeight="1" x14ac:dyDescent="0.3">
      <c r="A384" s="129" t="s">
        <v>900</v>
      </c>
      <c r="B384" s="127" t="s">
        <v>901</v>
      </c>
      <c r="C384" s="128" t="s">
        <v>26</v>
      </c>
      <c r="D384" s="128">
        <v>1</v>
      </c>
      <c r="E384" s="126">
        <f t="shared" si="6"/>
        <v>12840</v>
      </c>
      <c r="F384" s="295">
        <v>12000</v>
      </c>
      <c r="J384" s="301"/>
    </row>
    <row r="385" spans="1:10" ht="19.5" customHeight="1" x14ac:dyDescent="0.3">
      <c r="A385" s="129" t="s">
        <v>902</v>
      </c>
      <c r="B385" s="127" t="s">
        <v>903</v>
      </c>
      <c r="C385" s="128" t="s">
        <v>904</v>
      </c>
      <c r="D385" s="128">
        <v>1</v>
      </c>
      <c r="E385" s="126">
        <f t="shared" si="6"/>
        <v>7704</v>
      </c>
      <c r="F385" s="295">
        <v>7200</v>
      </c>
      <c r="J385" s="301"/>
    </row>
    <row r="386" spans="1:10" ht="19.5" customHeight="1" x14ac:dyDescent="0.3">
      <c r="A386" s="129" t="s">
        <v>905</v>
      </c>
      <c r="B386" s="304" t="s">
        <v>906</v>
      </c>
      <c r="C386" s="128" t="s">
        <v>26</v>
      </c>
      <c r="D386" s="128">
        <v>1</v>
      </c>
      <c r="E386" s="126">
        <f t="shared" si="6"/>
        <v>21293</v>
      </c>
      <c r="F386" s="295">
        <v>19900</v>
      </c>
    </row>
    <row r="387" spans="1:10" ht="19.5" customHeight="1" x14ac:dyDescent="0.3">
      <c r="A387" s="129" t="s">
        <v>907</v>
      </c>
      <c r="B387" s="127" t="s">
        <v>908</v>
      </c>
      <c r="C387" s="128" t="s">
        <v>32</v>
      </c>
      <c r="D387" s="128">
        <v>1</v>
      </c>
      <c r="E387" s="126">
        <f t="shared" si="6"/>
        <v>14124</v>
      </c>
      <c r="F387" s="295">
        <v>13200</v>
      </c>
      <c r="J387" s="301"/>
    </row>
    <row r="388" spans="1:10" ht="19.5" customHeight="1" x14ac:dyDescent="0.3">
      <c r="A388" s="129" t="s">
        <v>909</v>
      </c>
      <c r="B388" s="127" t="s">
        <v>910</v>
      </c>
      <c r="C388" s="128" t="s">
        <v>26</v>
      </c>
      <c r="D388" s="128">
        <v>1</v>
      </c>
      <c r="E388" s="126">
        <f t="shared" si="6"/>
        <v>39646.71</v>
      </c>
      <c r="F388" s="295">
        <v>37053</v>
      </c>
      <c r="J388" s="301"/>
    </row>
    <row r="389" spans="1:10" ht="19.5" customHeight="1" x14ac:dyDescent="0.3">
      <c r="A389" s="129" t="s">
        <v>911</v>
      </c>
      <c r="B389" s="127" t="s">
        <v>912</v>
      </c>
      <c r="C389" s="128" t="s">
        <v>42</v>
      </c>
      <c r="D389" s="128">
        <v>1</v>
      </c>
      <c r="E389" s="126">
        <f t="shared" si="6"/>
        <v>80250</v>
      </c>
      <c r="F389" s="295">
        <v>75000</v>
      </c>
      <c r="J389" s="301"/>
    </row>
    <row r="390" spans="1:10" ht="19.5" customHeight="1" x14ac:dyDescent="0.3">
      <c r="A390" s="129" t="s">
        <v>913</v>
      </c>
      <c r="B390" s="127" t="s">
        <v>914</v>
      </c>
      <c r="C390" s="128" t="s">
        <v>218</v>
      </c>
      <c r="D390" s="128">
        <v>1</v>
      </c>
      <c r="E390" s="126">
        <f t="shared" si="6"/>
        <v>93839</v>
      </c>
      <c r="F390" s="295">
        <v>87700</v>
      </c>
      <c r="J390" s="301"/>
    </row>
    <row r="391" spans="1:10" ht="19.5" customHeight="1" x14ac:dyDescent="0.3">
      <c r="A391" s="129" t="s">
        <v>915</v>
      </c>
      <c r="B391" s="127" t="s">
        <v>916</v>
      </c>
      <c r="C391" s="128" t="s">
        <v>218</v>
      </c>
      <c r="D391" s="128">
        <v>1</v>
      </c>
      <c r="E391" s="126">
        <f t="shared" si="6"/>
        <v>73830</v>
      </c>
      <c r="F391" s="295">
        <v>69000</v>
      </c>
      <c r="J391" s="301"/>
    </row>
    <row r="392" spans="1:10" ht="19.5" customHeight="1" x14ac:dyDescent="0.3">
      <c r="A392" s="129" t="s">
        <v>917</v>
      </c>
      <c r="B392" s="127" t="s">
        <v>918</v>
      </c>
      <c r="C392" s="128" t="s">
        <v>25</v>
      </c>
      <c r="D392" s="128">
        <v>1</v>
      </c>
      <c r="E392" s="126">
        <f t="shared" si="6"/>
        <v>34775</v>
      </c>
      <c r="F392" s="295">
        <v>32500</v>
      </c>
      <c r="J392" s="301"/>
    </row>
    <row r="393" spans="1:10" ht="19.5" customHeight="1" x14ac:dyDescent="0.3">
      <c r="A393" s="129" t="s">
        <v>919</v>
      </c>
      <c r="B393" s="127" t="s">
        <v>920</v>
      </c>
      <c r="C393" s="128" t="s">
        <v>602</v>
      </c>
      <c r="D393" s="128">
        <v>1</v>
      </c>
      <c r="E393" s="126">
        <f t="shared" si="6"/>
        <v>104004</v>
      </c>
      <c r="F393" s="295">
        <v>97200</v>
      </c>
      <c r="J393" s="301"/>
    </row>
    <row r="394" spans="1:10" ht="19.5" customHeight="1" x14ac:dyDescent="0.3">
      <c r="A394" s="129" t="s">
        <v>921</v>
      </c>
      <c r="B394" s="127" t="s">
        <v>922</v>
      </c>
      <c r="C394" s="128" t="s">
        <v>218</v>
      </c>
      <c r="D394" s="128">
        <v>1</v>
      </c>
      <c r="E394" s="126">
        <f t="shared" si="6"/>
        <v>67848.7</v>
      </c>
      <c r="F394" s="295">
        <v>63410</v>
      </c>
      <c r="J394" s="301"/>
    </row>
    <row r="395" spans="1:10" ht="19.5" customHeight="1" x14ac:dyDescent="0.3">
      <c r="A395" s="129" t="s">
        <v>923</v>
      </c>
      <c r="B395" s="127" t="s">
        <v>924</v>
      </c>
      <c r="C395" s="128" t="s">
        <v>218</v>
      </c>
      <c r="D395" s="128">
        <v>1</v>
      </c>
      <c r="E395" s="126">
        <f t="shared" si="6"/>
        <v>58743</v>
      </c>
      <c r="F395" s="295">
        <v>54900</v>
      </c>
      <c r="J395" s="301"/>
    </row>
    <row r="396" spans="1:10" ht="19.5" customHeight="1" x14ac:dyDescent="0.3">
      <c r="A396" s="129" t="s">
        <v>925</v>
      </c>
      <c r="B396" s="127" t="s">
        <v>926</v>
      </c>
      <c r="C396" s="128" t="s">
        <v>218</v>
      </c>
      <c r="D396" s="128">
        <v>1</v>
      </c>
      <c r="E396" s="126">
        <f t="shared" si="6"/>
        <v>73830</v>
      </c>
      <c r="F396" s="295">
        <v>69000</v>
      </c>
      <c r="J396" s="301"/>
    </row>
    <row r="397" spans="1:10" ht="19.5" customHeight="1" x14ac:dyDescent="0.3">
      <c r="A397" s="129" t="s">
        <v>927</v>
      </c>
      <c r="B397" s="127" t="s">
        <v>928</v>
      </c>
      <c r="C397" s="128" t="s">
        <v>218</v>
      </c>
      <c r="D397" s="128">
        <v>1</v>
      </c>
      <c r="E397" s="126">
        <f t="shared" si="6"/>
        <v>64200.000000000007</v>
      </c>
      <c r="F397" s="295">
        <v>60000</v>
      </c>
      <c r="J397" s="301"/>
    </row>
    <row r="398" spans="1:10" ht="19.5" customHeight="1" x14ac:dyDescent="0.3">
      <c r="A398" s="129" t="s">
        <v>929</v>
      </c>
      <c r="B398" s="127" t="s">
        <v>930</v>
      </c>
      <c r="C398" s="128" t="s">
        <v>218</v>
      </c>
      <c r="D398" s="128">
        <v>1</v>
      </c>
      <c r="E398" s="126">
        <f t="shared" si="6"/>
        <v>42800</v>
      </c>
      <c r="F398" s="295">
        <v>40000</v>
      </c>
      <c r="J398" s="301"/>
    </row>
    <row r="399" spans="1:10" ht="19.5" customHeight="1" x14ac:dyDescent="0.3">
      <c r="A399" s="129" t="s">
        <v>931</v>
      </c>
      <c r="B399" s="127" t="s">
        <v>932</v>
      </c>
      <c r="C399" s="128" t="s">
        <v>32</v>
      </c>
      <c r="D399" s="128">
        <v>1</v>
      </c>
      <c r="E399" s="126">
        <f t="shared" si="6"/>
        <v>22684</v>
      </c>
      <c r="F399" s="295">
        <v>21200</v>
      </c>
      <c r="J399" s="301"/>
    </row>
    <row r="400" spans="1:10" ht="19.5" customHeight="1" x14ac:dyDescent="0.3">
      <c r="A400" s="129" t="s">
        <v>933</v>
      </c>
      <c r="B400" s="127" t="s">
        <v>934</v>
      </c>
      <c r="C400" s="128" t="s">
        <v>39</v>
      </c>
      <c r="D400" s="128">
        <v>1</v>
      </c>
      <c r="E400" s="126">
        <f t="shared" si="6"/>
        <v>35417</v>
      </c>
      <c r="F400" s="295">
        <v>33100</v>
      </c>
      <c r="J400" s="301"/>
    </row>
    <row r="401" spans="1:10" ht="19.5" customHeight="1" x14ac:dyDescent="0.3">
      <c r="A401" s="129" t="s">
        <v>935</v>
      </c>
      <c r="B401" s="127" t="s">
        <v>936</v>
      </c>
      <c r="C401" s="128" t="s">
        <v>39</v>
      </c>
      <c r="D401" s="128">
        <v>1</v>
      </c>
      <c r="E401" s="126">
        <f t="shared" si="6"/>
        <v>39269</v>
      </c>
      <c r="F401" s="295">
        <v>36700</v>
      </c>
      <c r="J401" s="301"/>
    </row>
    <row r="402" spans="1:10" ht="19.5" customHeight="1" x14ac:dyDescent="0.3">
      <c r="A402" s="129" t="s">
        <v>937</v>
      </c>
      <c r="B402" s="127" t="s">
        <v>938</v>
      </c>
      <c r="C402" s="128" t="s">
        <v>39</v>
      </c>
      <c r="D402" s="128">
        <v>1</v>
      </c>
      <c r="E402" s="126">
        <f t="shared" si="6"/>
        <v>24717</v>
      </c>
      <c r="F402" s="295">
        <v>23100</v>
      </c>
      <c r="J402" s="301"/>
    </row>
    <row r="403" spans="1:10" ht="19.5" customHeight="1" x14ac:dyDescent="0.3">
      <c r="A403" s="129" t="s">
        <v>939</v>
      </c>
      <c r="B403" s="127" t="s">
        <v>940</v>
      </c>
      <c r="C403" s="128" t="s">
        <v>39</v>
      </c>
      <c r="D403" s="128">
        <v>1</v>
      </c>
      <c r="E403" s="126">
        <f t="shared" si="6"/>
        <v>100152</v>
      </c>
      <c r="F403" s="295">
        <v>93600</v>
      </c>
      <c r="J403" s="301"/>
    </row>
    <row r="404" spans="1:10" ht="18" customHeight="1" x14ac:dyDescent="0.3">
      <c r="A404" s="129" t="s">
        <v>941</v>
      </c>
      <c r="B404" s="127" t="s">
        <v>942</v>
      </c>
      <c r="C404" s="128" t="s">
        <v>39</v>
      </c>
      <c r="D404" s="128">
        <v>1</v>
      </c>
      <c r="E404" s="126">
        <f t="shared" si="6"/>
        <v>29425</v>
      </c>
      <c r="F404" s="295">
        <v>27500</v>
      </c>
      <c r="J404" s="301"/>
    </row>
    <row r="405" spans="1:10" ht="18" customHeight="1" x14ac:dyDescent="0.3">
      <c r="A405" s="129" t="s">
        <v>943</v>
      </c>
      <c r="B405" s="127" t="s">
        <v>944</v>
      </c>
      <c r="C405" s="128" t="s">
        <v>26</v>
      </c>
      <c r="D405" s="128">
        <v>1</v>
      </c>
      <c r="E405" s="126">
        <f t="shared" si="6"/>
        <v>3424</v>
      </c>
      <c r="F405" s="295">
        <v>3200</v>
      </c>
      <c r="J405" s="301"/>
    </row>
    <row r="406" spans="1:10" ht="19.5" customHeight="1" x14ac:dyDescent="0.3">
      <c r="A406" s="129" t="s">
        <v>945</v>
      </c>
      <c r="B406" s="127" t="s">
        <v>946</v>
      </c>
      <c r="C406" s="128" t="s">
        <v>26</v>
      </c>
      <c r="D406" s="128">
        <v>1</v>
      </c>
      <c r="E406" s="126">
        <f t="shared" si="6"/>
        <v>4173</v>
      </c>
      <c r="F406" s="295">
        <v>3900</v>
      </c>
      <c r="J406" s="301"/>
    </row>
    <row r="407" spans="1:10" ht="14.4" x14ac:dyDescent="0.3">
      <c r="A407" s="129" t="s">
        <v>947</v>
      </c>
      <c r="B407" s="127" t="s">
        <v>948</v>
      </c>
      <c r="C407" s="128" t="s">
        <v>26</v>
      </c>
      <c r="D407" s="128">
        <v>1</v>
      </c>
      <c r="E407" s="126">
        <f t="shared" si="6"/>
        <v>2086.5</v>
      </c>
      <c r="F407" s="295">
        <v>1950</v>
      </c>
      <c r="J407" s="301"/>
    </row>
    <row r="408" spans="1:10" ht="19.5" customHeight="1" x14ac:dyDescent="0.3">
      <c r="A408" s="129" t="s">
        <v>949</v>
      </c>
      <c r="B408" s="127" t="s">
        <v>950</v>
      </c>
      <c r="C408" s="128" t="s">
        <v>32</v>
      </c>
      <c r="D408" s="128">
        <v>1</v>
      </c>
      <c r="E408" s="126">
        <f t="shared" si="6"/>
        <v>4133.41</v>
      </c>
      <c r="F408" s="295">
        <v>3863</v>
      </c>
      <c r="J408" s="301"/>
    </row>
    <row r="409" spans="1:10" ht="19.5" customHeight="1" x14ac:dyDescent="0.3">
      <c r="A409" s="129" t="s">
        <v>951</v>
      </c>
      <c r="B409" s="127" t="s">
        <v>952</v>
      </c>
      <c r="C409" s="128" t="s">
        <v>32</v>
      </c>
      <c r="D409" s="128">
        <v>1</v>
      </c>
      <c r="E409" s="126">
        <f t="shared" si="6"/>
        <v>5920.31</v>
      </c>
      <c r="F409" s="295">
        <v>5533</v>
      </c>
      <c r="J409" s="301"/>
    </row>
    <row r="410" spans="1:10" ht="19.5" customHeight="1" x14ac:dyDescent="0.3">
      <c r="A410" s="129" t="s">
        <v>953</v>
      </c>
      <c r="B410" s="127" t="s">
        <v>954</v>
      </c>
      <c r="C410" s="128" t="s">
        <v>32</v>
      </c>
      <c r="D410" s="128">
        <v>1</v>
      </c>
      <c r="E410" s="126">
        <f t="shared" si="6"/>
        <v>8456.2100000000009</v>
      </c>
      <c r="F410" s="295">
        <v>7903</v>
      </c>
      <c r="J410" s="301"/>
    </row>
    <row r="411" spans="1:10" ht="19.5" customHeight="1" x14ac:dyDescent="0.3">
      <c r="A411" s="129" t="s">
        <v>307</v>
      </c>
      <c r="B411" s="127" t="s">
        <v>955</v>
      </c>
      <c r="C411" s="128" t="s">
        <v>26</v>
      </c>
      <c r="D411" s="128">
        <v>1</v>
      </c>
      <c r="E411" s="126">
        <f t="shared" si="6"/>
        <v>4668.41</v>
      </c>
      <c r="F411" s="295">
        <v>4363</v>
      </c>
      <c r="J411" s="301"/>
    </row>
    <row r="412" spans="1:10" ht="19.5" customHeight="1" x14ac:dyDescent="0.3">
      <c r="A412" s="129" t="s">
        <v>956</v>
      </c>
      <c r="B412" s="127" t="s">
        <v>957</v>
      </c>
      <c r="C412" s="128" t="s">
        <v>958</v>
      </c>
      <c r="D412" s="128">
        <v>1</v>
      </c>
      <c r="E412" s="126">
        <f t="shared" si="6"/>
        <v>2461</v>
      </c>
      <c r="F412" s="295">
        <v>2300</v>
      </c>
      <c r="J412" s="301"/>
    </row>
    <row r="413" spans="1:10" ht="19.5" customHeight="1" x14ac:dyDescent="0.3">
      <c r="A413" s="129" t="s">
        <v>959</v>
      </c>
      <c r="B413" s="127" t="s">
        <v>960</v>
      </c>
      <c r="C413" s="128" t="s">
        <v>39</v>
      </c>
      <c r="D413" s="128">
        <v>1</v>
      </c>
      <c r="E413" s="126">
        <f t="shared" si="6"/>
        <v>3708.6200000000003</v>
      </c>
      <c r="F413" s="295">
        <v>3466</v>
      </c>
      <c r="J413" s="301"/>
    </row>
    <row r="414" spans="1:10" ht="19.5" customHeight="1" x14ac:dyDescent="0.3">
      <c r="A414" s="129" t="s">
        <v>961</v>
      </c>
      <c r="B414" s="127" t="s">
        <v>962</v>
      </c>
      <c r="C414" s="128" t="s">
        <v>963</v>
      </c>
      <c r="D414" s="128">
        <v>1</v>
      </c>
      <c r="E414" s="126">
        <f t="shared" si="6"/>
        <v>64200.000000000007</v>
      </c>
      <c r="F414" s="295">
        <v>60000</v>
      </c>
      <c r="J414" s="301"/>
    </row>
    <row r="415" spans="1:10" ht="19.5" customHeight="1" x14ac:dyDescent="0.3">
      <c r="A415" s="129" t="s">
        <v>964</v>
      </c>
      <c r="B415" s="127" t="s">
        <v>965</v>
      </c>
      <c r="C415" s="128" t="s">
        <v>26</v>
      </c>
      <c r="D415" s="128">
        <v>1</v>
      </c>
      <c r="E415" s="126">
        <f t="shared" si="6"/>
        <v>796777.64</v>
      </c>
      <c r="F415" s="295">
        <v>744652</v>
      </c>
      <c r="J415" s="301"/>
    </row>
    <row r="416" spans="1:10" ht="19.5" customHeight="1" x14ac:dyDescent="0.3">
      <c r="A416" s="129" t="s">
        <v>966</v>
      </c>
      <c r="B416" s="127" t="s">
        <v>967</v>
      </c>
      <c r="C416" s="128" t="s">
        <v>26</v>
      </c>
      <c r="D416" s="128">
        <v>1</v>
      </c>
      <c r="E416" s="126">
        <f t="shared" ref="E416:E480" si="7">+F416*(1+$E$29)</f>
        <v>919335.44000000006</v>
      </c>
      <c r="F416" s="295">
        <v>859192</v>
      </c>
      <c r="J416" s="301"/>
    </row>
    <row r="417" spans="1:10" ht="19.5" customHeight="1" x14ac:dyDescent="0.3">
      <c r="A417" s="129" t="s">
        <v>968</v>
      </c>
      <c r="B417" s="127" t="s">
        <v>969</v>
      </c>
      <c r="C417" s="128" t="s">
        <v>26</v>
      </c>
      <c r="D417" s="128">
        <v>1</v>
      </c>
      <c r="E417" s="126">
        <f t="shared" si="7"/>
        <v>544791.57000000007</v>
      </c>
      <c r="F417" s="295">
        <v>509151</v>
      </c>
      <c r="J417" s="301"/>
    </row>
    <row r="418" spans="1:10" ht="19.5" customHeight="1" x14ac:dyDescent="0.3">
      <c r="A418" s="129" t="s">
        <v>970</v>
      </c>
      <c r="B418" s="127" t="s">
        <v>971</v>
      </c>
      <c r="C418" s="128" t="s">
        <v>4</v>
      </c>
      <c r="D418" s="128">
        <v>1</v>
      </c>
      <c r="E418" s="126">
        <f t="shared" si="7"/>
        <v>66004.02</v>
      </c>
      <c r="F418" s="295">
        <v>61686</v>
      </c>
      <c r="J418" s="301"/>
    </row>
    <row r="419" spans="1:10" ht="19.5" customHeight="1" x14ac:dyDescent="0.3">
      <c r="A419" s="129" t="s">
        <v>972</v>
      </c>
      <c r="B419" s="127" t="s">
        <v>973</v>
      </c>
      <c r="C419" s="128" t="s">
        <v>26</v>
      </c>
      <c r="D419" s="128">
        <v>1</v>
      </c>
      <c r="E419" s="126">
        <f t="shared" si="7"/>
        <v>214000</v>
      </c>
      <c r="F419" s="295">
        <v>200000</v>
      </c>
      <c r="J419" s="301"/>
    </row>
    <row r="420" spans="1:10" ht="19.5" customHeight="1" x14ac:dyDescent="0.3">
      <c r="A420" s="129" t="s">
        <v>974</v>
      </c>
      <c r="B420" s="127" t="s">
        <v>975</v>
      </c>
      <c r="C420" s="128" t="s">
        <v>26</v>
      </c>
      <c r="D420" s="128">
        <v>1</v>
      </c>
      <c r="E420" s="126">
        <f t="shared" si="7"/>
        <v>35310</v>
      </c>
      <c r="F420" s="295">
        <v>33000</v>
      </c>
      <c r="J420" s="301"/>
    </row>
    <row r="421" spans="1:10" ht="19.5" customHeight="1" x14ac:dyDescent="0.3">
      <c r="A421" s="129" t="s">
        <v>976</v>
      </c>
      <c r="B421" s="127" t="s">
        <v>977</v>
      </c>
      <c r="C421" s="128" t="s">
        <v>26</v>
      </c>
      <c r="D421" s="128">
        <v>1</v>
      </c>
      <c r="E421" s="126">
        <f t="shared" si="7"/>
        <v>8560</v>
      </c>
      <c r="F421" s="295">
        <v>8000</v>
      </c>
      <c r="J421" s="301"/>
    </row>
    <row r="422" spans="1:10" ht="19.5" customHeight="1" x14ac:dyDescent="0.3">
      <c r="A422" s="129" t="s">
        <v>978</v>
      </c>
      <c r="B422" s="127" t="s">
        <v>979</v>
      </c>
      <c r="C422" s="128" t="s">
        <v>26</v>
      </c>
      <c r="D422" s="128">
        <v>1</v>
      </c>
      <c r="E422" s="126">
        <f t="shared" si="7"/>
        <v>1990200</v>
      </c>
      <c r="F422" s="295">
        <v>1860000</v>
      </c>
      <c r="J422" s="301"/>
    </row>
    <row r="423" spans="1:10" ht="19.5" customHeight="1" x14ac:dyDescent="0.3">
      <c r="A423" s="129" t="s">
        <v>980</v>
      </c>
      <c r="B423" s="127" t="s">
        <v>981</v>
      </c>
      <c r="C423" s="128" t="s">
        <v>26</v>
      </c>
      <c r="D423" s="128">
        <v>1</v>
      </c>
      <c r="E423" s="126">
        <f t="shared" si="7"/>
        <v>32100.000000000004</v>
      </c>
      <c r="F423" s="295">
        <v>30000</v>
      </c>
      <c r="J423" s="301"/>
    </row>
    <row r="424" spans="1:10" ht="19.5" customHeight="1" x14ac:dyDescent="0.3">
      <c r="A424" s="129" t="s">
        <v>982</v>
      </c>
      <c r="B424" s="127" t="s">
        <v>983</v>
      </c>
      <c r="C424" s="128" t="s">
        <v>32</v>
      </c>
      <c r="D424" s="128">
        <v>1</v>
      </c>
      <c r="E424" s="126">
        <f t="shared" si="7"/>
        <v>32100.000000000004</v>
      </c>
      <c r="F424" s="324">
        <v>30000</v>
      </c>
      <c r="J424" s="301"/>
    </row>
    <row r="425" spans="1:10" ht="19.5" customHeight="1" x14ac:dyDescent="0.3">
      <c r="A425" s="129" t="s">
        <v>984</v>
      </c>
      <c r="B425" s="127" t="s">
        <v>985</v>
      </c>
      <c r="C425" s="128" t="s">
        <v>39</v>
      </c>
      <c r="D425" s="128">
        <v>1</v>
      </c>
      <c r="E425" s="126">
        <f t="shared" si="7"/>
        <v>5029</v>
      </c>
      <c r="F425" s="295">
        <v>4700</v>
      </c>
      <c r="J425" s="301"/>
    </row>
    <row r="426" spans="1:10" ht="19.5" customHeight="1" x14ac:dyDescent="0.3">
      <c r="A426" s="129" t="s">
        <v>986</v>
      </c>
      <c r="B426" s="127" t="s">
        <v>987</v>
      </c>
      <c r="C426" s="128" t="s">
        <v>39</v>
      </c>
      <c r="D426" s="128">
        <v>1</v>
      </c>
      <c r="E426" s="126">
        <f t="shared" si="7"/>
        <v>4815</v>
      </c>
      <c r="F426" s="295">
        <v>4500</v>
      </c>
      <c r="J426" s="301"/>
    </row>
    <row r="427" spans="1:10" ht="20.25" customHeight="1" x14ac:dyDescent="0.3">
      <c r="A427" s="129" t="s">
        <v>988</v>
      </c>
      <c r="B427" s="127" t="s">
        <v>989</v>
      </c>
      <c r="C427" s="128" t="s">
        <v>39</v>
      </c>
      <c r="D427" s="128">
        <v>1</v>
      </c>
      <c r="E427" s="126">
        <f t="shared" si="7"/>
        <v>535000</v>
      </c>
      <c r="F427" s="295">
        <v>500000</v>
      </c>
      <c r="J427" s="301"/>
    </row>
    <row r="428" spans="1:10" ht="19.5" customHeight="1" x14ac:dyDescent="0.3">
      <c r="A428" s="129" t="s">
        <v>990</v>
      </c>
      <c r="B428" s="127" t="s">
        <v>991</v>
      </c>
      <c r="C428" s="128" t="s">
        <v>26</v>
      </c>
      <c r="D428" s="128">
        <v>1</v>
      </c>
      <c r="E428" s="126">
        <f t="shared" si="7"/>
        <v>11770</v>
      </c>
      <c r="F428" s="295">
        <v>11000</v>
      </c>
      <c r="J428" s="301"/>
    </row>
    <row r="429" spans="1:10" ht="19.5" customHeight="1" x14ac:dyDescent="0.3">
      <c r="A429" s="129" t="s">
        <v>992</v>
      </c>
      <c r="B429" s="127" t="s">
        <v>993</v>
      </c>
      <c r="C429" s="128" t="s">
        <v>383</v>
      </c>
      <c r="D429" s="128">
        <v>1</v>
      </c>
      <c r="E429" s="126">
        <f t="shared" si="7"/>
        <v>2675</v>
      </c>
      <c r="F429" s="295">
        <v>2500</v>
      </c>
      <c r="J429" s="301"/>
    </row>
    <row r="430" spans="1:10" ht="19.5" customHeight="1" x14ac:dyDescent="0.3">
      <c r="A430" s="129" t="s">
        <v>994</v>
      </c>
      <c r="B430" s="127" t="s">
        <v>995</v>
      </c>
      <c r="C430" s="128" t="s">
        <v>383</v>
      </c>
      <c r="D430" s="128">
        <v>1</v>
      </c>
      <c r="E430" s="126">
        <f t="shared" si="7"/>
        <v>3424</v>
      </c>
      <c r="F430" s="295">
        <v>3200</v>
      </c>
      <c r="J430" s="301"/>
    </row>
    <row r="431" spans="1:10" ht="19.5" customHeight="1" x14ac:dyDescent="0.3">
      <c r="A431" s="129" t="s">
        <v>996</v>
      </c>
      <c r="B431" s="127" t="s">
        <v>997</v>
      </c>
      <c r="C431" s="128" t="s">
        <v>26</v>
      </c>
      <c r="D431" s="128">
        <v>1</v>
      </c>
      <c r="E431" s="126">
        <f t="shared" si="7"/>
        <v>294464</v>
      </c>
      <c r="F431" s="295">
        <v>275200</v>
      </c>
      <c r="J431" s="301"/>
    </row>
    <row r="432" spans="1:10" ht="19.5" customHeight="1" x14ac:dyDescent="0.3">
      <c r="A432" s="129" t="s">
        <v>998</v>
      </c>
      <c r="B432" s="127" t="s">
        <v>999</v>
      </c>
      <c r="C432" s="128" t="s">
        <v>26</v>
      </c>
      <c r="D432" s="128">
        <v>1</v>
      </c>
      <c r="E432" s="126">
        <f t="shared" si="7"/>
        <v>174303</v>
      </c>
      <c r="F432" s="295">
        <v>162900</v>
      </c>
      <c r="J432" s="301"/>
    </row>
    <row r="433" spans="1:10" ht="19.5" customHeight="1" x14ac:dyDescent="0.3">
      <c r="A433" s="129" t="s">
        <v>1000</v>
      </c>
      <c r="B433" s="127" t="s">
        <v>1001</v>
      </c>
      <c r="C433" s="128" t="s">
        <v>26</v>
      </c>
      <c r="D433" s="128">
        <v>1</v>
      </c>
      <c r="E433" s="126">
        <f t="shared" si="7"/>
        <v>49113</v>
      </c>
      <c r="F433" s="295">
        <v>45900</v>
      </c>
      <c r="J433" s="301"/>
    </row>
    <row r="434" spans="1:10" ht="19.5" customHeight="1" x14ac:dyDescent="0.3">
      <c r="A434" s="129" t="s">
        <v>1002</v>
      </c>
      <c r="B434" s="127" t="s">
        <v>1003</v>
      </c>
      <c r="C434" s="128" t="s">
        <v>26</v>
      </c>
      <c r="D434" s="128">
        <v>1</v>
      </c>
      <c r="E434" s="126">
        <f t="shared" si="7"/>
        <v>27392</v>
      </c>
      <c r="F434" s="295">
        <v>25600</v>
      </c>
      <c r="J434" s="301"/>
    </row>
    <row r="435" spans="1:10" ht="19.5" customHeight="1" x14ac:dyDescent="0.3">
      <c r="A435" s="129" t="s">
        <v>1004</v>
      </c>
      <c r="B435" s="127" t="s">
        <v>1005</v>
      </c>
      <c r="C435" s="128" t="s">
        <v>26</v>
      </c>
      <c r="D435" s="128">
        <v>1</v>
      </c>
      <c r="E435" s="126">
        <f t="shared" si="7"/>
        <v>27392</v>
      </c>
      <c r="F435" s="295">
        <v>25600</v>
      </c>
      <c r="J435" s="301"/>
    </row>
    <row r="436" spans="1:10" ht="19.5" customHeight="1" x14ac:dyDescent="0.3">
      <c r="A436" s="129" t="s">
        <v>1006</v>
      </c>
      <c r="B436" s="127" t="s">
        <v>1007</v>
      </c>
      <c r="C436" s="128" t="s">
        <v>26</v>
      </c>
      <c r="D436" s="128">
        <v>1</v>
      </c>
      <c r="E436" s="126">
        <f t="shared" si="7"/>
        <v>69764</v>
      </c>
      <c r="F436" s="295">
        <v>65200</v>
      </c>
      <c r="J436" s="301"/>
    </row>
    <row r="437" spans="1:10" ht="19.5" customHeight="1" x14ac:dyDescent="0.3">
      <c r="A437" s="129" t="s">
        <v>237</v>
      </c>
      <c r="B437" s="307" t="s">
        <v>1008</v>
      </c>
      <c r="C437" s="50" t="s">
        <v>25</v>
      </c>
      <c r="D437" s="128">
        <v>1</v>
      </c>
      <c r="E437" s="126">
        <f t="shared" si="7"/>
        <v>5585.4000000000005</v>
      </c>
      <c r="F437" s="324">
        <v>5220</v>
      </c>
      <c r="G437" s="28"/>
      <c r="J437" s="301"/>
    </row>
    <row r="438" spans="1:10" ht="19.5" customHeight="1" x14ac:dyDescent="0.3">
      <c r="A438" s="129" t="s">
        <v>1009</v>
      </c>
      <c r="B438" s="127" t="s">
        <v>1010</v>
      </c>
      <c r="C438" s="128" t="s">
        <v>26</v>
      </c>
      <c r="D438" s="128">
        <v>1</v>
      </c>
      <c r="E438" s="126">
        <f t="shared" si="7"/>
        <v>23433</v>
      </c>
      <c r="F438" s="324">
        <v>21900</v>
      </c>
      <c r="G438" s="75"/>
      <c r="J438" s="301"/>
    </row>
    <row r="439" spans="1:10" ht="19.5" customHeight="1" x14ac:dyDescent="0.3">
      <c r="A439" s="129" t="s">
        <v>1011</v>
      </c>
      <c r="B439" s="127" t="s">
        <v>1012</v>
      </c>
      <c r="C439" s="128" t="s">
        <v>26</v>
      </c>
      <c r="D439" s="128">
        <v>1</v>
      </c>
      <c r="E439" s="126">
        <f t="shared" si="7"/>
        <v>160.5</v>
      </c>
      <c r="F439" s="295">
        <v>150</v>
      </c>
      <c r="J439" s="301"/>
    </row>
    <row r="440" spans="1:10" ht="19.5" customHeight="1" x14ac:dyDescent="0.3">
      <c r="A440" s="129" t="s">
        <v>1013</v>
      </c>
      <c r="B440" s="127" t="s">
        <v>1014</v>
      </c>
      <c r="C440" s="128" t="s">
        <v>26</v>
      </c>
      <c r="D440" s="128">
        <v>1</v>
      </c>
      <c r="E440" s="126">
        <f t="shared" si="7"/>
        <v>492842</v>
      </c>
      <c r="F440" s="295">
        <v>460600</v>
      </c>
      <c r="J440" s="301"/>
    </row>
    <row r="441" spans="1:10" ht="19.5" customHeight="1" x14ac:dyDescent="0.3">
      <c r="A441" s="129" t="s">
        <v>1015</v>
      </c>
      <c r="B441" s="304" t="s">
        <v>1016</v>
      </c>
      <c r="C441" s="128" t="s">
        <v>4</v>
      </c>
      <c r="D441" s="128">
        <v>1</v>
      </c>
      <c r="E441" s="126">
        <f t="shared" si="7"/>
        <v>711443</v>
      </c>
      <c r="F441" s="295">
        <v>664900</v>
      </c>
      <c r="J441" s="301"/>
    </row>
    <row r="442" spans="1:10" ht="19.5" customHeight="1" x14ac:dyDescent="0.3">
      <c r="A442" s="129" t="s">
        <v>1017</v>
      </c>
      <c r="B442" s="127" t="s">
        <v>1018</v>
      </c>
      <c r="C442" s="128" t="s">
        <v>26</v>
      </c>
      <c r="D442" s="128">
        <v>1</v>
      </c>
      <c r="E442" s="126">
        <f t="shared" si="7"/>
        <v>160393</v>
      </c>
      <c r="F442" s="295">
        <v>149900</v>
      </c>
      <c r="J442" s="301"/>
    </row>
    <row r="443" spans="1:10" ht="19.5" customHeight="1" x14ac:dyDescent="0.3">
      <c r="A443" s="129" t="s">
        <v>1019</v>
      </c>
      <c r="B443" s="127" t="s">
        <v>1020</v>
      </c>
      <c r="C443" s="128" t="s">
        <v>26</v>
      </c>
      <c r="D443" s="128">
        <v>1</v>
      </c>
      <c r="E443" s="126">
        <f t="shared" si="7"/>
        <v>263113</v>
      </c>
      <c r="F443" s="295">
        <v>245900</v>
      </c>
      <c r="J443" s="301"/>
    </row>
    <row r="444" spans="1:10" ht="19.5" customHeight="1" x14ac:dyDescent="0.3">
      <c r="A444" s="129" t="s">
        <v>1021</v>
      </c>
      <c r="B444" s="127" t="s">
        <v>1022</v>
      </c>
      <c r="C444" s="128" t="s">
        <v>26</v>
      </c>
      <c r="D444" s="128">
        <v>1</v>
      </c>
      <c r="E444" s="126">
        <f t="shared" si="7"/>
        <v>41902.270000000004</v>
      </c>
      <c r="F444" s="295">
        <v>39161</v>
      </c>
      <c r="J444" s="301"/>
    </row>
    <row r="445" spans="1:10" ht="19.5" customHeight="1" x14ac:dyDescent="0.3">
      <c r="A445" s="129" t="s">
        <v>1023</v>
      </c>
      <c r="B445" s="127" t="s">
        <v>1024</v>
      </c>
      <c r="C445" s="128" t="s">
        <v>26</v>
      </c>
      <c r="D445" s="128">
        <v>1</v>
      </c>
      <c r="E445" s="126">
        <f t="shared" si="7"/>
        <v>5350</v>
      </c>
      <c r="F445" s="295">
        <v>5000</v>
      </c>
      <c r="J445" s="301"/>
    </row>
    <row r="446" spans="1:10" ht="19.5" customHeight="1" x14ac:dyDescent="0.3">
      <c r="A446" s="131" t="s">
        <v>1025</v>
      </c>
      <c r="B446" s="304" t="s">
        <v>1026</v>
      </c>
      <c r="C446" s="50" t="s">
        <v>383</v>
      </c>
      <c r="D446" s="128">
        <v>1</v>
      </c>
      <c r="E446" s="126">
        <f t="shared" si="7"/>
        <v>26750</v>
      </c>
      <c r="F446" s="295">
        <v>25000</v>
      </c>
      <c r="J446" s="301"/>
    </row>
    <row r="447" spans="1:10" ht="30" customHeight="1" x14ac:dyDescent="0.3">
      <c r="A447" s="129" t="s">
        <v>1027</v>
      </c>
      <c r="B447" s="132" t="s">
        <v>1028</v>
      </c>
      <c r="C447" s="128" t="s">
        <v>26</v>
      </c>
      <c r="D447" s="128">
        <v>1</v>
      </c>
      <c r="E447" s="126">
        <f t="shared" si="7"/>
        <v>318325</v>
      </c>
      <c r="F447" s="295">
        <v>297500</v>
      </c>
      <c r="J447" s="301"/>
    </row>
    <row r="448" spans="1:10" ht="30" customHeight="1" x14ac:dyDescent="0.3">
      <c r="A448" s="129" t="s">
        <v>1029</v>
      </c>
      <c r="B448" s="132" t="s">
        <v>1030</v>
      </c>
      <c r="C448" s="128" t="s">
        <v>26</v>
      </c>
      <c r="D448" s="128">
        <v>1</v>
      </c>
      <c r="E448" s="126">
        <f t="shared" si="7"/>
        <v>292859</v>
      </c>
      <c r="F448" s="295">
        <v>273700</v>
      </c>
      <c r="J448" s="301"/>
    </row>
    <row r="449" spans="1:12" ht="19.5" customHeight="1" x14ac:dyDescent="0.3">
      <c r="A449" s="129" t="s">
        <v>1031</v>
      </c>
      <c r="B449" s="127" t="s">
        <v>1032</v>
      </c>
      <c r="C449" s="128" t="s">
        <v>26</v>
      </c>
      <c r="D449" s="128">
        <v>1</v>
      </c>
      <c r="E449" s="126">
        <f t="shared" si="7"/>
        <v>335284.5</v>
      </c>
      <c r="F449" s="295">
        <v>313350</v>
      </c>
      <c r="J449" s="301"/>
    </row>
    <row r="450" spans="1:12" ht="19.5" customHeight="1" x14ac:dyDescent="0.3">
      <c r="A450" s="129" t="s">
        <v>1033</v>
      </c>
      <c r="B450" s="127" t="s">
        <v>1034</v>
      </c>
      <c r="C450" s="128" t="s">
        <v>26</v>
      </c>
      <c r="D450" s="128">
        <v>1</v>
      </c>
      <c r="E450" s="126">
        <f t="shared" si="7"/>
        <v>37450</v>
      </c>
      <c r="F450" s="295">
        <v>35000</v>
      </c>
      <c r="J450" s="301"/>
    </row>
    <row r="451" spans="1:12" ht="19.5" customHeight="1" x14ac:dyDescent="0.3">
      <c r="A451" s="129" t="s">
        <v>1035</v>
      </c>
      <c r="B451" s="127" t="s">
        <v>1036</v>
      </c>
      <c r="C451" s="128" t="s">
        <v>26</v>
      </c>
      <c r="D451" s="128">
        <v>1</v>
      </c>
      <c r="E451" s="126">
        <f t="shared" si="7"/>
        <v>374.5</v>
      </c>
      <c r="F451" s="295">
        <v>350</v>
      </c>
      <c r="J451" s="301"/>
    </row>
    <row r="452" spans="1:12" ht="19.5" customHeight="1" x14ac:dyDescent="0.3">
      <c r="A452" s="129" t="s">
        <v>1748</v>
      </c>
      <c r="B452" s="127" t="s">
        <v>1746</v>
      </c>
      <c r="C452" s="128" t="s">
        <v>171</v>
      </c>
      <c r="D452" s="128">
        <v>1</v>
      </c>
      <c r="E452" s="126">
        <f t="shared" si="7"/>
        <v>119840</v>
      </c>
      <c r="F452" s="295">
        <v>112000</v>
      </c>
      <c r="J452" s="301"/>
    </row>
    <row r="453" spans="1:12" ht="19.5" customHeight="1" x14ac:dyDescent="0.3">
      <c r="A453" s="129" t="s">
        <v>1037</v>
      </c>
      <c r="B453" s="127" t="s">
        <v>1038</v>
      </c>
      <c r="C453" s="128" t="s">
        <v>39</v>
      </c>
      <c r="D453" s="128">
        <v>1</v>
      </c>
      <c r="E453" s="126">
        <f t="shared" si="7"/>
        <v>36790.880000000005</v>
      </c>
      <c r="F453" s="295">
        <v>34384</v>
      </c>
      <c r="J453" s="301"/>
    </row>
    <row r="454" spans="1:12" ht="19.5" customHeight="1" x14ac:dyDescent="0.3">
      <c r="A454" s="129" t="s">
        <v>1039</v>
      </c>
      <c r="B454" s="127" t="s">
        <v>1040</v>
      </c>
      <c r="C454" s="128" t="s">
        <v>26</v>
      </c>
      <c r="D454" s="128">
        <v>1</v>
      </c>
      <c r="E454" s="126">
        <f t="shared" si="7"/>
        <v>4429.8</v>
      </c>
      <c r="F454" s="295">
        <v>4140</v>
      </c>
      <c r="J454" s="301"/>
    </row>
    <row r="455" spans="1:12" ht="19.5" customHeight="1" x14ac:dyDescent="0.3">
      <c r="A455" s="129" t="s">
        <v>1041</v>
      </c>
      <c r="B455" s="127" t="s">
        <v>1042</v>
      </c>
      <c r="C455" s="128" t="s">
        <v>26</v>
      </c>
      <c r="D455" s="128">
        <v>1</v>
      </c>
      <c r="E455" s="126">
        <f t="shared" si="7"/>
        <v>8945.2000000000007</v>
      </c>
      <c r="F455" s="295">
        <v>8360</v>
      </c>
      <c r="J455" s="301"/>
    </row>
    <row r="456" spans="1:12" ht="19.5" customHeight="1" x14ac:dyDescent="0.3">
      <c r="A456" s="129" t="s">
        <v>1043</v>
      </c>
      <c r="B456" s="127" t="s">
        <v>1044</v>
      </c>
      <c r="C456" s="128" t="s">
        <v>26</v>
      </c>
      <c r="D456" s="128">
        <v>1</v>
      </c>
      <c r="E456" s="126">
        <f t="shared" si="7"/>
        <v>1819</v>
      </c>
      <c r="F456" s="295">
        <v>1700</v>
      </c>
      <c r="J456" s="301"/>
    </row>
    <row r="457" spans="1:12" ht="19.5" customHeight="1" x14ac:dyDescent="0.3">
      <c r="A457" s="129" t="s">
        <v>1045</v>
      </c>
      <c r="B457" s="127" t="s">
        <v>1046</v>
      </c>
      <c r="C457" s="128" t="s">
        <v>4</v>
      </c>
      <c r="D457" s="128">
        <v>1</v>
      </c>
      <c r="E457" s="126">
        <f t="shared" si="7"/>
        <v>5564</v>
      </c>
      <c r="F457" s="295">
        <v>5200</v>
      </c>
      <c r="J457" s="301"/>
    </row>
    <row r="458" spans="1:12" ht="19.5" customHeight="1" x14ac:dyDescent="0.3">
      <c r="A458" s="129" t="s">
        <v>1047</v>
      </c>
      <c r="B458" s="127" t="s">
        <v>83</v>
      </c>
      <c r="C458" s="128" t="s">
        <v>26</v>
      </c>
      <c r="D458" s="128">
        <v>1</v>
      </c>
      <c r="E458" s="126">
        <f t="shared" si="7"/>
        <v>236552.39</v>
      </c>
      <c r="F458" s="295">
        <v>221077</v>
      </c>
      <c r="I458" s="29"/>
      <c r="J458" s="301"/>
    </row>
    <row r="459" spans="1:12" ht="19.5" customHeight="1" x14ac:dyDescent="0.3">
      <c r="A459" s="129" t="s">
        <v>1048</v>
      </c>
      <c r="B459" s="127" t="s">
        <v>1049</v>
      </c>
      <c r="C459" s="128" t="s">
        <v>26</v>
      </c>
      <c r="D459" s="128">
        <v>1</v>
      </c>
      <c r="E459" s="126">
        <f t="shared" si="7"/>
        <v>253023.97</v>
      </c>
      <c r="F459" s="295">
        <v>236471</v>
      </c>
      <c r="J459" s="301"/>
    </row>
    <row r="460" spans="1:12" ht="19.5" customHeight="1" x14ac:dyDescent="0.3">
      <c r="A460" s="129" t="s">
        <v>1050</v>
      </c>
      <c r="B460" s="127" t="s">
        <v>1051</v>
      </c>
      <c r="C460" s="128" t="s">
        <v>26</v>
      </c>
      <c r="D460" s="128">
        <v>1</v>
      </c>
      <c r="E460" s="126">
        <f t="shared" si="7"/>
        <v>385990.73000000004</v>
      </c>
      <c r="F460" s="295">
        <v>360739</v>
      </c>
      <c r="I460" s="23"/>
      <c r="J460" s="301"/>
    </row>
    <row r="461" spans="1:12" ht="19.5" customHeight="1" x14ac:dyDescent="0.3">
      <c r="A461" s="129" t="s">
        <v>1052</v>
      </c>
      <c r="B461" s="127" t="s">
        <v>1053</v>
      </c>
      <c r="C461" s="128" t="s">
        <v>26</v>
      </c>
      <c r="D461" s="128">
        <v>1</v>
      </c>
      <c r="E461" s="126">
        <f t="shared" si="7"/>
        <v>4659636</v>
      </c>
      <c r="F461" s="295">
        <v>4354800</v>
      </c>
      <c r="J461" s="301"/>
      <c r="L461" s="29"/>
    </row>
    <row r="462" spans="1:12" ht="19.5" customHeight="1" x14ac:dyDescent="0.3">
      <c r="A462" s="129" t="s">
        <v>1054</v>
      </c>
      <c r="B462" s="127" t="s">
        <v>1055</v>
      </c>
      <c r="C462" s="128" t="s">
        <v>25</v>
      </c>
      <c r="D462" s="128">
        <v>1</v>
      </c>
      <c r="E462" s="126">
        <f t="shared" si="7"/>
        <v>9095</v>
      </c>
      <c r="F462" s="295">
        <v>8500</v>
      </c>
      <c r="I462" s="30"/>
      <c r="J462" s="301"/>
    </row>
    <row r="463" spans="1:12" s="23" customFormat="1" ht="19.5" customHeight="1" x14ac:dyDescent="0.3">
      <c r="A463" s="129" t="s">
        <v>1056</v>
      </c>
      <c r="B463" s="127" t="s">
        <v>1057</v>
      </c>
      <c r="C463" s="128" t="s">
        <v>26</v>
      </c>
      <c r="D463" s="128">
        <v>1</v>
      </c>
      <c r="E463" s="126">
        <f t="shared" si="7"/>
        <v>88563.900000000009</v>
      </c>
      <c r="F463" s="316">
        <v>82770</v>
      </c>
      <c r="I463" s="25"/>
      <c r="J463" s="301"/>
    </row>
    <row r="464" spans="1:12" s="30" customFormat="1" ht="19.5" customHeight="1" x14ac:dyDescent="0.3">
      <c r="A464" s="131" t="s">
        <v>1058</v>
      </c>
      <c r="B464" s="127" t="s">
        <v>1059</v>
      </c>
      <c r="C464" s="50" t="s">
        <v>1060</v>
      </c>
      <c r="D464" s="135">
        <v>1</v>
      </c>
      <c r="E464" s="126">
        <f t="shared" si="7"/>
        <v>13375</v>
      </c>
      <c r="F464" s="295">
        <v>12500</v>
      </c>
      <c r="I464" s="25"/>
      <c r="J464" s="301"/>
    </row>
    <row r="465" spans="1:10" ht="19.5" customHeight="1" x14ac:dyDescent="0.3">
      <c r="A465" s="129" t="s">
        <v>1061</v>
      </c>
      <c r="B465" s="127" t="s">
        <v>1062</v>
      </c>
      <c r="C465" s="128" t="s">
        <v>26</v>
      </c>
      <c r="D465" s="128">
        <v>1</v>
      </c>
      <c r="E465" s="126">
        <f t="shared" si="7"/>
        <v>82604</v>
      </c>
      <c r="F465" s="295">
        <v>77200</v>
      </c>
      <c r="J465" s="301"/>
    </row>
    <row r="466" spans="1:10" ht="18.75" customHeight="1" x14ac:dyDescent="0.3">
      <c r="A466" s="325" t="s">
        <v>1063</v>
      </c>
      <c r="B466" s="133" t="s">
        <v>1064</v>
      </c>
      <c r="C466" s="136" t="s">
        <v>218</v>
      </c>
      <c r="D466" s="137">
        <v>1</v>
      </c>
      <c r="E466" s="126">
        <f t="shared" si="7"/>
        <v>57818.520000000004</v>
      </c>
      <c r="F466" s="295">
        <v>54036</v>
      </c>
      <c r="J466" s="301"/>
    </row>
    <row r="467" spans="1:10" ht="19.5" customHeight="1" x14ac:dyDescent="0.3">
      <c r="A467" s="129" t="s">
        <v>1065</v>
      </c>
      <c r="B467" s="127" t="s">
        <v>1066</v>
      </c>
      <c r="C467" s="128" t="s">
        <v>25</v>
      </c>
      <c r="D467" s="128">
        <v>1</v>
      </c>
      <c r="E467" s="126">
        <f t="shared" si="7"/>
        <v>7490</v>
      </c>
      <c r="F467" s="295">
        <v>7000</v>
      </c>
      <c r="J467" s="301"/>
    </row>
    <row r="468" spans="1:10" ht="19.5" customHeight="1" x14ac:dyDescent="0.3">
      <c r="A468" s="129" t="s">
        <v>1067</v>
      </c>
      <c r="B468" s="127" t="s">
        <v>1068</v>
      </c>
      <c r="C468" s="128" t="s">
        <v>26</v>
      </c>
      <c r="D468" s="128">
        <v>1</v>
      </c>
      <c r="E468" s="126">
        <f t="shared" si="7"/>
        <v>2172.1</v>
      </c>
      <c r="F468" s="295">
        <v>2030</v>
      </c>
      <c r="J468" s="301"/>
    </row>
    <row r="469" spans="1:10" ht="19.5" customHeight="1" x14ac:dyDescent="0.3">
      <c r="A469" s="129" t="s">
        <v>1069</v>
      </c>
      <c r="B469" s="127" t="s">
        <v>1070</v>
      </c>
      <c r="C469" s="128" t="s">
        <v>26</v>
      </c>
      <c r="D469" s="128">
        <v>1</v>
      </c>
      <c r="E469" s="126">
        <f t="shared" si="7"/>
        <v>1133119.3</v>
      </c>
      <c r="F469" s="295">
        <v>1058990</v>
      </c>
      <c r="J469" s="301"/>
    </row>
    <row r="470" spans="1:10" ht="19.5" customHeight="1" x14ac:dyDescent="0.3">
      <c r="A470" s="129" t="s">
        <v>1071</v>
      </c>
      <c r="B470" s="127" t="s">
        <v>1072</v>
      </c>
      <c r="C470" s="128" t="s">
        <v>32</v>
      </c>
      <c r="D470" s="128">
        <v>1</v>
      </c>
      <c r="E470" s="126">
        <f t="shared" si="7"/>
        <v>4280</v>
      </c>
      <c r="F470" s="295">
        <v>4000</v>
      </c>
      <c r="J470" s="301"/>
    </row>
    <row r="471" spans="1:10" ht="19.5" customHeight="1" x14ac:dyDescent="0.3">
      <c r="A471" s="129" t="s">
        <v>1073</v>
      </c>
      <c r="B471" s="127" t="s">
        <v>1074</v>
      </c>
      <c r="C471" s="128" t="s">
        <v>39</v>
      </c>
      <c r="D471" s="128">
        <v>1</v>
      </c>
      <c r="E471" s="126">
        <f t="shared" si="7"/>
        <v>13485.210000000001</v>
      </c>
      <c r="F471" s="295">
        <v>12603</v>
      </c>
      <c r="I471" s="23"/>
      <c r="J471" s="301"/>
    </row>
    <row r="472" spans="1:10" ht="39" customHeight="1" x14ac:dyDescent="0.3">
      <c r="A472" s="131" t="s">
        <v>1075</v>
      </c>
      <c r="B472" s="132" t="s">
        <v>1076</v>
      </c>
      <c r="C472" s="50" t="s">
        <v>26</v>
      </c>
      <c r="D472" s="51">
        <v>1</v>
      </c>
      <c r="E472" s="126">
        <f t="shared" si="7"/>
        <v>385093</v>
      </c>
      <c r="F472" s="295">
        <v>359900</v>
      </c>
      <c r="J472" s="301"/>
    </row>
    <row r="473" spans="1:10" ht="18.75" customHeight="1" x14ac:dyDescent="0.3">
      <c r="A473" s="129" t="s">
        <v>1077</v>
      </c>
      <c r="B473" s="127" t="s">
        <v>1078</v>
      </c>
      <c r="C473" s="128" t="s">
        <v>26</v>
      </c>
      <c r="D473" s="128">
        <v>1</v>
      </c>
      <c r="E473" s="126">
        <f t="shared" si="7"/>
        <v>25145</v>
      </c>
      <c r="F473" s="295">
        <v>23500</v>
      </c>
      <c r="J473" s="301"/>
    </row>
    <row r="474" spans="1:10" ht="19.5" customHeight="1" x14ac:dyDescent="0.3">
      <c r="A474" s="129" t="s">
        <v>1079</v>
      </c>
      <c r="B474" s="127" t="s">
        <v>1080</v>
      </c>
      <c r="C474" s="128" t="s">
        <v>26</v>
      </c>
      <c r="D474" s="128">
        <v>1</v>
      </c>
      <c r="E474" s="126">
        <f t="shared" si="7"/>
        <v>69918.080000000002</v>
      </c>
      <c r="F474" s="295">
        <v>65344</v>
      </c>
      <c r="J474" s="301"/>
    </row>
    <row r="475" spans="1:10" ht="19.5" customHeight="1" x14ac:dyDescent="0.3">
      <c r="A475" s="129" t="s">
        <v>1081</v>
      </c>
      <c r="B475" s="127" t="s">
        <v>1082</v>
      </c>
      <c r="C475" s="128" t="s">
        <v>26</v>
      </c>
      <c r="D475" s="128">
        <v>1</v>
      </c>
      <c r="E475" s="126">
        <f t="shared" si="7"/>
        <v>67778.080000000002</v>
      </c>
      <c r="F475" s="295">
        <v>63344</v>
      </c>
      <c r="J475" s="301"/>
    </row>
    <row r="476" spans="1:10" ht="19.5" customHeight="1" x14ac:dyDescent="0.3">
      <c r="A476" s="129" t="s">
        <v>1083</v>
      </c>
      <c r="B476" s="127" t="s">
        <v>1084</v>
      </c>
      <c r="C476" s="128" t="s">
        <v>26</v>
      </c>
      <c r="D476" s="128">
        <v>1</v>
      </c>
      <c r="E476" s="126">
        <f t="shared" si="7"/>
        <v>215801.88</v>
      </c>
      <c r="F476" s="295">
        <v>201684</v>
      </c>
      <c r="J476" s="301"/>
    </row>
    <row r="477" spans="1:10" ht="19.5" customHeight="1" x14ac:dyDescent="0.3">
      <c r="A477" s="129" t="s">
        <v>1085</v>
      </c>
      <c r="B477" s="127" t="s">
        <v>1086</v>
      </c>
      <c r="C477" s="128" t="s">
        <v>39</v>
      </c>
      <c r="D477" s="128">
        <v>1</v>
      </c>
      <c r="E477" s="126">
        <f t="shared" si="7"/>
        <v>23540</v>
      </c>
      <c r="F477" s="295">
        <v>22000</v>
      </c>
      <c r="J477" s="301"/>
    </row>
    <row r="478" spans="1:10" ht="19.5" customHeight="1" x14ac:dyDescent="0.3">
      <c r="A478" s="129" t="s">
        <v>1087</v>
      </c>
      <c r="B478" s="127" t="s">
        <v>1088</v>
      </c>
      <c r="C478" s="128" t="s">
        <v>39</v>
      </c>
      <c r="D478" s="128">
        <v>1</v>
      </c>
      <c r="E478" s="126">
        <f t="shared" si="7"/>
        <v>28034</v>
      </c>
      <c r="F478" s="295">
        <v>26200</v>
      </c>
      <c r="J478" s="301"/>
    </row>
    <row r="479" spans="1:10" ht="19.5" customHeight="1" x14ac:dyDescent="0.3">
      <c r="A479" s="129" t="s">
        <v>1089</v>
      </c>
      <c r="B479" s="127" t="s">
        <v>1090</v>
      </c>
      <c r="C479" s="128" t="s">
        <v>39</v>
      </c>
      <c r="D479" s="128">
        <v>1</v>
      </c>
      <c r="E479" s="126">
        <f t="shared" si="7"/>
        <v>46545</v>
      </c>
      <c r="F479" s="295">
        <v>43500</v>
      </c>
      <c r="J479" s="301"/>
    </row>
    <row r="480" spans="1:10" ht="19.5" customHeight="1" x14ac:dyDescent="0.3">
      <c r="A480" s="129" t="s">
        <v>1091</v>
      </c>
      <c r="B480" s="127" t="s">
        <v>1092</v>
      </c>
      <c r="C480" s="128" t="s">
        <v>39</v>
      </c>
      <c r="D480" s="128">
        <v>1</v>
      </c>
      <c r="E480" s="126">
        <f t="shared" si="7"/>
        <v>22791</v>
      </c>
      <c r="F480" s="295">
        <v>21300</v>
      </c>
      <c r="J480" s="301"/>
    </row>
    <row r="481" spans="1:10" ht="19.5" customHeight="1" x14ac:dyDescent="0.3">
      <c r="A481" s="129" t="s">
        <v>1093</v>
      </c>
      <c r="B481" s="127" t="s">
        <v>1094</v>
      </c>
      <c r="C481" s="128" t="s">
        <v>39</v>
      </c>
      <c r="D481" s="128">
        <v>1</v>
      </c>
      <c r="E481" s="126">
        <f t="shared" ref="E481:E544" si="8">+F481*(1+$E$29)</f>
        <v>34347</v>
      </c>
      <c r="F481" s="295">
        <v>32100</v>
      </c>
      <c r="J481" s="301"/>
    </row>
    <row r="482" spans="1:10" ht="19.5" customHeight="1" x14ac:dyDescent="0.3">
      <c r="A482" s="129" t="s">
        <v>1095</v>
      </c>
      <c r="B482" s="127" t="s">
        <v>1096</v>
      </c>
      <c r="C482" s="128" t="s">
        <v>39</v>
      </c>
      <c r="D482" s="128">
        <v>1</v>
      </c>
      <c r="E482" s="126">
        <f t="shared" si="8"/>
        <v>16692</v>
      </c>
      <c r="F482" s="295">
        <v>15600</v>
      </c>
      <c r="J482" s="301"/>
    </row>
    <row r="483" spans="1:10" ht="19.5" customHeight="1" x14ac:dyDescent="0.3">
      <c r="A483" s="129" t="s">
        <v>1097</v>
      </c>
      <c r="B483" s="127" t="s">
        <v>1098</v>
      </c>
      <c r="C483" s="128" t="s">
        <v>39</v>
      </c>
      <c r="D483" s="128">
        <v>1</v>
      </c>
      <c r="E483" s="126">
        <f t="shared" si="8"/>
        <v>33384</v>
      </c>
      <c r="F483" s="295">
        <v>31200</v>
      </c>
      <c r="J483" s="301"/>
    </row>
    <row r="484" spans="1:10" ht="19.5" customHeight="1" x14ac:dyDescent="0.3">
      <c r="A484" s="129" t="s">
        <v>1099</v>
      </c>
      <c r="B484" s="127" t="s">
        <v>1100</v>
      </c>
      <c r="C484" s="128" t="s">
        <v>39</v>
      </c>
      <c r="D484" s="128">
        <v>1</v>
      </c>
      <c r="E484" s="126">
        <f t="shared" si="8"/>
        <v>31779.000000000004</v>
      </c>
      <c r="F484" s="295">
        <v>29700</v>
      </c>
      <c r="J484" s="301"/>
    </row>
    <row r="485" spans="1:10" ht="19.5" customHeight="1" x14ac:dyDescent="0.3">
      <c r="A485" s="129" t="s">
        <v>1101</v>
      </c>
      <c r="B485" s="127" t="s">
        <v>1102</v>
      </c>
      <c r="C485" s="128" t="s">
        <v>26</v>
      </c>
      <c r="D485" s="128">
        <v>1</v>
      </c>
      <c r="E485" s="126">
        <f t="shared" si="8"/>
        <v>6434.9800000000005</v>
      </c>
      <c r="F485" s="295">
        <v>6014</v>
      </c>
      <c r="J485" s="301"/>
    </row>
    <row r="486" spans="1:10" ht="19.5" customHeight="1" x14ac:dyDescent="0.3">
      <c r="A486" s="129" t="s">
        <v>1103</v>
      </c>
      <c r="B486" s="127" t="s">
        <v>1104</v>
      </c>
      <c r="C486" s="128" t="s">
        <v>26</v>
      </c>
      <c r="D486" s="128">
        <v>1</v>
      </c>
      <c r="E486" s="126">
        <f t="shared" si="8"/>
        <v>28839.710000000003</v>
      </c>
      <c r="F486" s="295">
        <v>26953</v>
      </c>
      <c r="J486" s="301"/>
    </row>
    <row r="487" spans="1:10" ht="19.5" customHeight="1" x14ac:dyDescent="0.3">
      <c r="A487" s="129" t="s">
        <v>1105</v>
      </c>
      <c r="B487" s="127" t="s">
        <v>1106</v>
      </c>
      <c r="C487" s="128" t="s">
        <v>26</v>
      </c>
      <c r="D487" s="128">
        <v>1</v>
      </c>
      <c r="E487" s="126">
        <f t="shared" si="8"/>
        <v>342400</v>
      </c>
      <c r="F487" s="295">
        <v>320000</v>
      </c>
      <c r="J487" s="301"/>
    </row>
    <row r="488" spans="1:10" ht="19.5" customHeight="1" x14ac:dyDescent="0.3">
      <c r="A488" s="129" t="s">
        <v>1107</v>
      </c>
      <c r="B488" s="127" t="s">
        <v>1108</v>
      </c>
      <c r="C488" s="128" t="s">
        <v>26</v>
      </c>
      <c r="D488" s="128">
        <v>1</v>
      </c>
      <c r="E488" s="126">
        <f t="shared" si="8"/>
        <v>181900</v>
      </c>
      <c r="F488" s="295">
        <v>170000</v>
      </c>
      <c r="J488" s="301"/>
    </row>
    <row r="489" spans="1:10" ht="19.5" customHeight="1" x14ac:dyDescent="0.3">
      <c r="A489" s="129" t="s">
        <v>1109</v>
      </c>
      <c r="B489" s="127" t="s">
        <v>1110</v>
      </c>
      <c r="C489" s="128" t="s">
        <v>26</v>
      </c>
      <c r="D489" s="128">
        <v>1</v>
      </c>
      <c r="E489" s="126">
        <f t="shared" si="8"/>
        <v>247063</v>
      </c>
      <c r="F489" s="295">
        <v>230900</v>
      </c>
      <c r="J489" s="301"/>
    </row>
    <row r="490" spans="1:10" ht="19.5" customHeight="1" x14ac:dyDescent="0.3">
      <c r="A490" s="129" t="s">
        <v>1111</v>
      </c>
      <c r="B490" s="127" t="s">
        <v>1112</v>
      </c>
      <c r="C490" s="128" t="s">
        <v>26</v>
      </c>
      <c r="D490" s="128">
        <v>1</v>
      </c>
      <c r="E490" s="126">
        <f t="shared" si="8"/>
        <v>642000</v>
      </c>
      <c r="F490" s="295">
        <v>600000</v>
      </c>
      <c r="I490" s="23"/>
      <c r="J490" s="301"/>
    </row>
    <row r="491" spans="1:10" ht="19.5" customHeight="1" x14ac:dyDescent="0.3">
      <c r="A491" s="129" t="s">
        <v>1113</v>
      </c>
      <c r="B491" s="127" t="s">
        <v>16</v>
      </c>
      <c r="C491" s="128" t="s">
        <v>26</v>
      </c>
      <c r="D491" s="128">
        <v>1</v>
      </c>
      <c r="E491" s="126">
        <f t="shared" si="8"/>
        <v>85600</v>
      </c>
      <c r="F491" s="295">
        <v>80000</v>
      </c>
      <c r="J491" s="301"/>
    </row>
    <row r="492" spans="1:10" s="23" customFormat="1" ht="19.5" customHeight="1" x14ac:dyDescent="0.3">
      <c r="A492" s="129" t="s">
        <v>1114</v>
      </c>
      <c r="B492" s="127" t="s">
        <v>1115</v>
      </c>
      <c r="C492" s="128" t="s">
        <v>218</v>
      </c>
      <c r="D492" s="128">
        <v>1</v>
      </c>
      <c r="E492" s="126">
        <f t="shared" si="8"/>
        <v>85600</v>
      </c>
      <c r="F492" s="295">
        <v>80000</v>
      </c>
      <c r="I492" s="25"/>
      <c r="J492" s="301"/>
    </row>
    <row r="493" spans="1:10" ht="19.5" customHeight="1" x14ac:dyDescent="0.3">
      <c r="A493" s="129" t="s">
        <v>1116</v>
      </c>
      <c r="B493" s="127" t="s">
        <v>1117</v>
      </c>
      <c r="C493" s="128" t="s">
        <v>26</v>
      </c>
      <c r="D493" s="128">
        <v>1</v>
      </c>
      <c r="E493" s="126">
        <f t="shared" si="8"/>
        <v>15761.1</v>
      </c>
      <c r="F493" s="316">
        <v>14730</v>
      </c>
      <c r="J493" s="301"/>
    </row>
    <row r="494" spans="1:10" ht="19.5" customHeight="1" x14ac:dyDescent="0.3">
      <c r="A494" s="129" t="s">
        <v>1118</v>
      </c>
      <c r="B494" s="127" t="s">
        <v>1119</v>
      </c>
      <c r="C494" s="128" t="s">
        <v>26</v>
      </c>
      <c r="D494" s="128">
        <v>1</v>
      </c>
      <c r="E494" s="126">
        <f t="shared" si="8"/>
        <v>41516</v>
      </c>
      <c r="F494" s="295">
        <v>38800</v>
      </c>
      <c r="J494" s="301"/>
    </row>
    <row r="495" spans="1:10" ht="19.5" customHeight="1" x14ac:dyDescent="0.3">
      <c r="A495" s="131" t="s">
        <v>1120</v>
      </c>
      <c r="B495" s="127" t="s">
        <v>1121</v>
      </c>
      <c r="C495" s="128" t="s">
        <v>26</v>
      </c>
      <c r="D495" s="128">
        <v>1</v>
      </c>
      <c r="E495" s="126">
        <f t="shared" si="8"/>
        <v>41730</v>
      </c>
      <c r="F495" s="295">
        <v>39000</v>
      </c>
      <c r="J495" s="301"/>
    </row>
    <row r="496" spans="1:10" ht="19.5" customHeight="1" x14ac:dyDescent="0.3">
      <c r="A496" s="129" t="s">
        <v>1122</v>
      </c>
      <c r="B496" s="127" t="s">
        <v>1123</v>
      </c>
      <c r="C496" s="128" t="s">
        <v>39</v>
      </c>
      <c r="D496" s="128">
        <v>1</v>
      </c>
      <c r="E496" s="126">
        <f t="shared" si="8"/>
        <v>16478</v>
      </c>
      <c r="F496" s="295">
        <v>15400</v>
      </c>
      <c r="J496" s="301"/>
    </row>
    <row r="497" spans="1:10" ht="19.5" customHeight="1" x14ac:dyDescent="0.3">
      <c r="A497" s="129" t="s">
        <v>1124</v>
      </c>
      <c r="B497" s="127" t="s">
        <v>1125</v>
      </c>
      <c r="C497" s="128" t="s">
        <v>26</v>
      </c>
      <c r="D497" s="128">
        <v>1</v>
      </c>
      <c r="E497" s="126">
        <f t="shared" si="8"/>
        <v>877.40000000000009</v>
      </c>
      <c r="F497" s="295">
        <v>820</v>
      </c>
      <c r="J497" s="301"/>
    </row>
    <row r="498" spans="1:10" ht="19.5" customHeight="1" x14ac:dyDescent="0.3">
      <c r="A498" s="129" t="s">
        <v>1126</v>
      </c>
      <c r="B498" s="127" t="s">
        <v>1127</v>
      </c>
      <c r="C498" s="128" t="s">
        <v>39</v>
      </c>
      <c r="D498" s="128">
        <v>1</v>
      </c>
      <c r="E498" s="126">
        <f t="shared" si="8"/>
        <v>34264.61</v>
      </c>
      <c r="F498" s="295">
        <v>32023</v>
      </c>
      <c r="J498" s="301"/>
    </row>
    <row r="499" spans="1:10" ht="19.5" customHeight="1" x14ac:dyDescent="0.3">
      <c r="A499" s="129" t="s">
        <v>1128</v>
      </c>
      <c r="B499" s="305" t="s">
        <v>1129</v>
      </c>
      <c r="C499" s="128" t="s">
        <v>39</v>
      </c>
      <c r="D499" s="128">
        <v>1</v>
      </c>
      <c r="E499" s="126">
        <f t="shared" si="8"/>
        <v>48150</v>
      </c>
      <c r="F499" s="295">
        <v>45000</v>
      </c>
      <c r="J499" s="301"/>
    </row>
    <row r="500" spans="1:10" ht="19.5" customHeight="1" x14ac:dyDescent="0.3">
      <c r="A500" s="129" t="s">
        <v>1130</v>
      </c>
      <c r="B500" s="127" t="s">
        <v>1131</v>
      </c>
      <c r="C500" s="128" t="s">
        <v>39</v>
      </c>
      <c r="D500" s="128">
        <v>1</v>
      </c>
      <c r="E500" s="126">
        <f t="shared" si="8"/>
        <v>1819</v>
      </c>
      <c r="F500" s="295">
        <v>1700</v>
      </c>
      <c r="J500" s="301"/>
    </row>
    <row r="501" spans="1:10" ht="18.75" customHeight="1" x14ac:dyDescent="0.3">
      <c r="A501" s="129" t="s">
        <v>1132</v>
      </c>
      <c r="B501" s="127" t="s">
        <v>1133</v>
      </c>
      <c r="C501" s="128" t="s">
        <v>39</v>
      </c>
      <c r="D501" s="128">
        <v>1</v>
      </c>
      <c r="E501" s="126">
        <f t="shared" si="8"/>
        <v>6792.3600000000006</v>
      </c>
      <c r="F501" s="295">
        <v>6348</v>
      </c>
      <c r="J501" s="301"/>
    </row>
    <row r="502" spans="1:10" ht="19.5" customHeight="1" x14ac:dyDescent="0.3">
      <c r="A502" s="129" t="s">
        <v>1134</v>
      </c>
      <c r="B502" s="127" t="s">
        <v>1135</v>
      </c>
      <c r="C502" s="128" t="s">
        <v>39</v>
      </c>
      <c r="D502" s="128">
        <v>1</v>
      </c>
      <c r="E502" s="126">
        <f t="shared" si="8"/>
        <v>1230.5</v>
      </c>
      <c r="F502" s="295">
        <v>1150</v>
      </c>
      <c r="J502" s="301"/>
    </row>
    <row r="503" spans="1:10" ht="19.5" customHeight="1" x14ac:dyDescent="0.3">
      <c r="A503" s="129" t="s">
        <v>1136</v>
      </c>
      <c r="B503" s="127" t="s">
        <v>1137</v>
      </c>
      <c r="C503" s="128" t="s">
        <v>32</v>
      </c>
      <c r="D503" s="128">
        <v>1</v>
      </c>
      <c r="E503" s="126">
        <f t="shared" si="8"/>
        <v>8916.3100000000013</v>
      </c>
      <c r="F503" s="295">
        <v>8333</v>
      </c>
      <c r="J503" s="301"/>
    </row>
    <row r="504" spans="1:10" ht="19.5" customHeight="1" x14ac:dyDescent="0.3">
      <c r="A504" s="129" t="s">
        <v>1138</v>
      </c>
      <c r="B504" s="127" t="s">
        <v>1139</v>
      </c>
      <c r="C504" s="128" t="s">
        <v>42</v>
      </c>
      <c r="D504" s="128">
        <v>1</v>
      </c>
      <c r="E504" s="126">
        <f t="shared" si="8"/>
        <v>8560</v>
      </c>
      <c r="F504" s="295">
        <v>8000</v>
      </c>
      <c r="J504" s="301"/>
    </row>
    <row r="505" spans="1:10" ht="19.5" customHeight="1" x14ac:dyDescent="0.3">
      <c r="A505" s="129" t="s">
        <v>1140</v>
      </c>
      <c r="B505" s="127" t="s">
        <v>1141</v>
      </c>
      <c r="C505" s="128" t="s">
        <v>42</v>
      </c>
      <c r="D505" s="128">
        <v>1</v>
      </c>
      <c r="E505" s="126">
        <f t="shared" si="8"/>
        <v>26750</v>
      </c>
      <c r="F505" s="295">
        <v>25000</v>
      </c>
      <c r="J505" s="301"/>
    </row>
    <row r="506" spans="1:10" ht="14.4" x14ac:dyDescent="0.3">
      <c r="A506" s="129" t="s">
        <v>1142</v>
      </c>
      <c r="B506" s="127" t="s">
        <v>1143</v>
      </c>
      <c r="C506" s="128" t="s">
        <v>26</v>
      </c>
      <c r="D506" s="128">
        <v>1</v>
      </c>
      <c r="E506" s="126">
        <f t="shared" si="8"/>
        <v>11122.650000000001</v>
      </c>
      <c r="F506" s="295">
        <v>10395</v>
      </c>
      <c r="J506" s="301"/>
    </row>
    <row r="507" spans="1:10" ht="19.5" customHeight="1" x14ac:dyDescent="0.3">
      <c r="A507" s="129" t="s">
        <v>1144</v>
      </c>
      <c r="B507" s="127" t="s">
        <v>1145</v>
      </c>
      <c r="C507" s="128" t="s">
        <v>26</v>
      </c>
      <c r="D507" s="128">
        <v>1</v>
      </c>
      <c r="E507" s="126">
        <f t="shared" si="8"/>
        <v>8025.0000000000009</v>
      </c>
      <c r="F507" s="295">
        <v>7500</v>
      </c>
      <c r="J507" s="301"/>
    </row>
    <row r="508" spans="1:10" ht="19.5" customHeight="1" x14ac:dyDescent="0.3">
      <c r="A508" s="129" t="s">
        <v>1146</v>
      </c>
      <c r="B508" s="127" t="s">
        <v>1147</v>
      </c>
      <c r="C508" s="128" t="s">
        <v>26</v>
      </c>
      <c r="D508" s="128">
        <v>1</v>
      </c>
      <c r="E508" s="126">
        <f t="shared" si="8"/>
        <v>21935</v>
      </c>
      <c r="F508" s="295">
        <v>20500</v>
      </c>
      <c r="J508" s="301"/>
    </row>
    <row r="509" spans="1:10" ht="19.5" customHeight="1" x14ac:dyDescent="0.3">
      <c r="A509" s="129" t="s">
        <v>1148</v>
      </c>
      <c r="B509" s="127" t="s">
        <v>1149</v>
      </c>
      <c r="C509" s="128" t="s">
        <v>26</v>
      </c>
      <c r="D509" s="128">
        <v>1</v>
      </c>
      <c r="E509" s="126">
        <f t="shared" si="8"/>
        <v>7385.14</v>
      </c>
      <c r="F509" s="295">
        <v>6902</v>
      </c>
      <c r="J509" s="301"/>
    </row>
    <row r="510" spans="1:10" ht="19.5" customHeight="1" x14ac:dyDescent="0.3">
      <c r="A510" s="129" t="s">
        <v>1150</v>
      </c>
      <c r="B510" s="127" t="s">
        <v>1151</v>
      </c>
      <c r="C510" s="128" t="s">
        <v>26</v>
      </c>
      <c r="D510" s="128">
        <v>1</v>
      </c>
      <c r="E510" s="126">
        <f t="shared" si="8"/>
        <v>29211</v>
      </c>
      <c r="F510" s="295">
        <v>27300</v>
      </c>
      <c r="J510" s="301"/>
    </row>
    <row r="511" spans="1:10" ht="19.5" customHeight="1" x14ac:dyDescent="0.3">
      <c r="A511" s="129" t="s">
        <v>1152</v>
      </c>
      <c r="B511" s="127" t="s">
        <v>1153</v>
      </c>
      <c r="C511" s="128" t="s">
        <v>26</v>
      </c>
      <c r="D511" s="128">
        <v>1</v>
      </c>
      <c r="E511" s="126">
        <f t="shared" si="8"/>
        <v>2735.9900000000002</v>
      </c>
      <c r="F511" s="295">
        <v>2557</v>
      </c>
      <c r="J511" s="301"/>
    </row>
    <row r="512" spans="1:10" ht="19.5" customHeight="1" x14ac:dyDescent="0.3">
      <c r="A512" s="129" t="s">
        <v>1154</v>
      </c>
      <c r="B512" s="127" t="s">
        <v>1155</v>
      </c>
      <c r="C512" s="128" t="s">
        <v>26</v>
      </c>
      <c r="D512" s="128">
        <v>1</v>
      </c>
      <c r="E512" s="126">
        <f t="shared" si="8"/>
        <v>22.470000000000002</v>
      </c>
      <c r="F512" s="322">
        <v>21</v>
      </c>
      <c r="J512" s="301"/>
    </row>
    <row r="513" spans="1:10" ht="19.5" customHeight="1" x14ac:dyDescent="0.3">
      <c r="A513" s="129" t="s">
        <v>1156</v>
      </c>
      <c r="B513" s="127" t="s">
        <v>1157</v>
      </c>
      <c r="C513" s="128" t="s">
        <v>26</v>
      </c>
      <c r="D513" s="128">
        <v>1</v>
      </c>
      <c r="E513" s="126">
        <f t="shared" si="8"/>
        <v>14.98</v>
      </c>
      <c r="F513" s="322">
        <v>14</v>
      </c>
      <c r="J513" s="301"/>
    </row>
    <row r="514" spans="1:10" ht="19.5" customHeight="1" x14ac:dyDescent="0.3">
      <c r="A514" s="129" t="s">
        <v>1158</v>
      </c>
      <c r="B514" s="127" t="s">
        <v>1159</v>
      </c>
      <c r="C514" s="128" t="s">
        <v>26</v>
      </c>
      <c r="D514" s="128">
        <v>1</v>
      </c>
      <c r="E514" s="126">
        <f t="shared" si="8"/>
        <v>37.450000000000003</v>
      </c>
      <c r="F514" s="295">
        <v>35</v>
      </c>
      <c r="J514" s="301"/>
    </row>
    <row r="515" spans="1:10" ht="19.5" customHeight="1" x14ac:dyDescent="0.3">
      <c r="A515" s="129" t="s">
        <v>1160</v>
      </c>
      <c r="B515" s="127" t="s">
        <v>1161</v>
      </c>
      <c r="C515" s="128" t="s">
        <v>26</v>
      </c>
      <c r="D515" s="128">
        <v>1</v>
      </c>
      <c r="E515" s="126">
        <f t="shared" si="8"/>
        <v>5457</v>
      </c>
      <c r="F515" s="295">
        <v>5100</v>
      </c>
      <c r="J515" s="301"/>
    </row>
    <row r="516" spans="1:10" ht="19.5" customHeight="1" x14ac:dyDescent="0.3">
      <c r="A516" s="129" t="s">
        <v>1162</v>
      </c>
      <c r="B516" s="127" t="s">
        <v>1163</v>
      </c>
      <c r="C516" s="128" t="s">
        <v>26</v>
      </c>
      <c r="D516" s="128">
        <v>1</v>
      </c>
      <c r="E516" s="126">
        <f t="shared" si="8"/>
        <v>4173</v>
      </c>
      <c r="F516" s="295">
        <v>3900</v>
      </c>
      <c r="J516" s="301"/>
    </row>
    <row r="517" spans="1:10" ht="19.5" customHeight="1" x14ac:dyDescent="0.3">
      <c r="A517" s="129" t="s">
        <v>1164</v>
      </c>
      <c r="B517" s="127" t="s">
        <v>1165</v>
      </c>
      <c r="C517" s="128" t="s">
        <v>26</v>
      </c>
      <c r="D517" s="128">
        <v>1</v>
      </c>
      <c r="E517" s="126">
        <f t="shared" si="8"/>
        <v>438700</v>
      </c>
      <c r="F517" s="295">
        <v>410000</v>
      </c>
      <c r="J517" s="301"/>
    </row>
    <row r="518" spans="1:10" ht="19.5" customHeight="1" x14ac:dyDescent="0.3">
      <c r="A518" s="129" t="s">
        <v>1166</v>
      </c>
      <c r="B518" s="127" t="s">
        <v>1167</v>
      </c>
      <c r="C518" s="128" t="s">
        <v>26</v>
      </c>
      <c r="D518" s="128">
        <v>1</v>
      </c>
      <c r="E518" s="126">
        <f t="shared" si="8"/>
        <v>344219</v>
      </c>
      <c r="F518" s="295">
        <v>321700</v>
      </c>
      <c r="J518" s="301"/>
    </row>
    <row r="519" spans="1:10" ht="19.5" customHeight="1" x14ac:dyDescent="0.3">
      <c r="A519" s="129" t="s">
        <v>1168</v>
      </c>
      <c r="B519" s="127" t="s">
        <v>1169</v>
      </c>
      <c r="C519" s="128" t="s">
        <v>42</v>
      </c>
      <c r="D519" s="128">
        <v>1</v>
      </c>
      <c r="E519" s="126">
        <f t="shared" si="8"/>
        <v>69550</v>
      </c>
      <c r="F519" s="295">
        <v>65000</v>
      </c>
      <c r="J519" s="301"/>
    </row>
    <row r="520" spans="1:10" ht="19.5" customHeight="1" x14ac:dyDescent="0.3">
      <c r="A520" s="129" t="s">
        <v>1170</v>
      </c>
      <c r="B520" s="127" t="s">
        <v>1171</v>
      </c>
      <c r="C520" s="128" t="s">
        <v>32</v>
      </c>
      <c r="D520" s="128">
        <v>1</v>
      </c>
      <c r="E520" s="126">
        <f t="shared" si="8"/>
        <v>4494</v>
      </c>
      <c r="F520" s="295">
        <v>4200</v>
      </c>
      <c r="J520" s="301"/>
    </row>
    <row r="521" spans="1:10" ht="19.5" customHeight="1" x14ac:dyDescent="0.3">
      <c r="A521" s="129" t="s">
        <v>1172</v>
      </c>
      <c r="B521" s="127" t="s">
        <v>1173</v>
      </c>
      <c r="C521" s="128" t="s">
        <v>32</v>
      </c>
      <c r="D521" s="128">
        <v>1</v>
      </c>
      <c r="E521" s="126">
        <f t="shared" si="8"/>
        <v>32918.550000000003</v>
      </c>
      <c r="F521" s="295">
        <v>30765</v>
      </c>
      <c r="J521" s="301"/>
    </row>
    <row r="522" spans="1:10" ht="19.5" customHeight="1" x14ac:dyDescent="0.3">
      <c r="A522" s="129" t="s">
        <v>1174</v>
      </c>
      <c r="B522" s="127" t="s">
        <v>1175</v>
      </c>
      <c r="C522" s="128" t="s">
        <v>32</v>
      </c>
      <c r="D522" s="128">
        <v>1</v>
      </c>
      <c r="E522" s="126">
        <f t="shared" si="8"/>
        <v>43479.450000000004</v>
      </c>
      <c r="F522" s="295">
        <v>40635</v>
      </c>
      <c r="J522" s="301"/>
    </row>
    <row r="523" spans="1:10" ht="16.5" customHeight="1" x14ac:dyDescent="0.3">
      <c r="A523" s="129" t="s">
        <v>1176</v>
      </c>
      <c r="B523" s="127" t="s">
        <v>1177</v>
      </c>
      <c r="C523" s="128" t="s">
        <v>32</v>
      </c>
      <c r="D523" s="128">
        <v>1</v>
      </c>
      <c r="E523" s="126">
        <f t="shared" si="8"/>
        <v>69769.350000000006</v>
      </c>
      <c r="F523" s="295">
        <v>65205</v>
      </c>
      <c r="J523" s="301"/>
    </row>
    <row r="524" spans="1:10" ht="19.5" customHeight="1" x14ac:dyDescent="0.3">
      <c r="A524" s="129" t="s">
        <v>1178</v>
      </c>
      <c r="B524" s="127" t="s">
        <v>1179</v>
      </c>
      <c r="C524" s="128" t="s">
        <v>32</v>
      </c>
      <c r="D524" s="128">
        <v>1</v>
      </c>
      <c r="E524" s="126">
        <f t="shared" si="8"/>
        <v>79833.77</v>
      </c>
      <c r="F524" s="295">
        <v>74611</v>
      </c>
      <c r="J524" s="301"/>
    </row>
    <row r="525" spans="1:10" ht="19.5" customHeight="1" x14ac:dyDescent="0.3">
      <c r="A525" s="129" t="s">
        <v>1180</v>
      </c>
      <c r="B525" s="127" t="s">
        <v>1181</v>
      </c>
      <c r="C525" s="128" t="s">
        <v>32</v>
      </c>
      <c r="D525" s="128">
        <v>1</v>
      </c>
      <c r="E525" s="126">
        <f t="shared" si="8"/>
        <v>128818.37000000001</v>
      </c>
      <c r="F525" s="295">
        <v>120391</v>
      </c>
      <c r="J525" s="301"/>
    </row>
    <row r="526" spans="1:10" ht="19.5" customHeight="1" x14ac:dyDescent="0.3">
      <c r="A526" s="129" t="s">
        <v>1182</v>
      </c>
      <c r="B526" s="127" t="s">
        <v>1183</v>
      </c>
      <c r="C526" s="128" t="s">
        <v>32</v>
      </c>
      <c r="D526" s="128">
        <v>1</v>
      </c>
      <c r="E526" s="126">
        <f t="shared" si="8"/>
        <v>129202.50000000001</v>
      </c>
      <c r="F526" s="295">
        <v>120750</v>
      </c>
      <c r="J526" s="301"/>
    </row>
    <row r="527" spans="1:10" ht="19.5" customHeight="1" x14ac:dyDescent="0.3">
      <c r="A527" s="129" t="s">
        <v>1184</v>
      </c>
      <c r="B527" s="127" t="s">
        <v>1185</v>
      </c>
      <c r="C527" s="128" t="s">
        <v>32</v>
      </c>
      <c r="D527" s="128">
        <v>1</v>
      </c>
      <c r="E527" s="126">
        <f t="shared" si="8"/>
        <v>185377.5</v>
      </c>
      <c r="F527" s="295">
        <v>173250</v>
      </c>
      <c r="J527" s="301"/>
    </row>
    <row r="528" spans="1:10" ht="19.5" customHeight="1" x14ac:dyDescent="0.3">
      <c r="A528" s="129" t="s">
        <v>1186</v>
      </c>
      <c r="B528" s="127" t="s">
        <v>1187</v>
      </c>
      <c r="C528" s="128" t="s">
        <v>32</v>
      </c>
      <c r="D528" s="128">
        <v>1</v>
      </c>
      <c r="E528" s="126">
        <f t="shared" si="8"/>
        <v>27392</v>
      </c>
      <c r="F528" s="295">
        <v>25600</v>
      </c>
      <c r="J528" s="301"/>
    </row>
    <row r="529" spans="1:10" ht="19.5" customHeight="1" x14ac:dyDescent="0.3">
      <c r="A529" s="129" t="s">
        <v>1188</v>
      </c>
      <c r="B529" s="127" t="s">
        <v>1189</v>
      </c>
      <c r="C529" s="128" t="s">
        <v>32</v>
      </c>
      <c r="D529" s="128">
        <v>1</v>
      </c>
      <c r="E529" s="126">
        <f t="shared" si="8"/>
        <v>233800.35</v>
      </c>
      <c r="F529" s="295">
        <v>218505</v>
      </c>
      <c r="J529" s="301"/>
    </row>
    <row r="530" spans="1:10" ht="19.5" customHeight="1" x14ac:dyDescent="0.3">
      <c r="A530" s="129" t="s">
        <v>1190</v>
      </c>
      <c r="B530" s="127" t="s">
        <v>1191</v>
      </c>
      <c r="C530" s="128" t="s">
        <v>32</v>
      </c>
      <c r="D530" s="128">
        <v>1</v>
      </c>
      <c r="E530" s="126">
        <f t="shared" si="8"/>
        <v>365070.09</v>
      </c>
      <c r="F530" s="295">
        <v>341187</v>
      </c>
      <c r="J530" s="301"/>
    </row>
    <row r="531" spans="1:10" ht="19.5" customHeight="1" x14ac:dyDescent="0.3">
      <c r="A531" s="129" t="s">
        <v>1192</v>
      </c>
      <c r="B531" s="127" t="s">
        <v>1193</v>
      </c>
      <c r="C531" s="128" t="s">
        <v>32</v>
      </c>
      <c r="D531" s="128">
        <v>1</v>
      </c>
      <c r="E531" s="126">
        <f t="shared" si="8"/>
        <v>458006.01</v>
      </c>
      <c r="F531" s="295">
        <v>428043</v>
      </c>
      <c r="J531" s="301"/>
    </row>
    <row r="532" spans="1:10" ht="19.5" customHeight="1" x14ac:dyDescent="0.3">
      <c r="A532" s="129" t="s">
        <v>1194</v>
      </c>
      <c r="B532" s="127" t="s">
        <v>1195</v>
      </c>
      <c r="C532" s="128" t="s">
        <v>32</v>
      </c>
      <c r="D532" s="128">
        <v>1</v>
      </c>
      <c r="E532" s="126">
        <f t="shared" si="8"/>
        <v>522876.9</v>
      </c>
      <c r="F532" s="295">
        <v>488670</v>
      </c>
      <c r="J532" s="301"/>
    </row>
    <row r="533" spans="1:10" ht="19.5" customHeight="1" x14ac:dyDescent="0.3">
      <c r="A533" s="129" t="s">
        <v>1196</v>
      </c>
      <c r="B533" s="127" t="s">
        <v>1197</v>
      </c>
      <c r="C533" s="128" t="s">
        <v>32</v>
      </c>
      <c r="D533" s="128">
        <v>1</v>
      </c>
      <c r="E533" s="126">
        <f t="shared" si="8"/>
        <v>673538.25</v>
      </c>
      <c r="F533" s="295">
        <v>629475</v>
      </c>
      <c r="J533" s="301"/>
    </row>
    <row r="534" spans="1:10" ht="19.5" customHeight="1" x14ac:dyDescent="0.3">
      <c r="A534" s="129" t="s">
        <v>1198</v>
      </c>
      <c r="B534" s="127" t="s">
        <v>1199</v>
      </c>
      <c r="C534" s="128" t="s">
        <v>32</v>
      </c>
      <c r="D534" s="128">
        <v>1</v>
      </c>
      <c r="E534" s="126">
        <f t="shared" si="8"/>
        <v>736909</v>
      </c>
      <c r="F534" s="295">
        <v>688700</v>
      </c>
      <c r="J534" s="301"/>
    </row>
    <row r="535" spans="1:10" ht="19.5" customHeight="1" x14ac:dyDescent="0.3">
      <c r="A535" s="129" t="s">
        <v>1200</v>
      </c>
      <c r="B535" s="127" t="s">
        <v>1201</v>
      </c>
      <c r="C535" s="128" t="s">
        <v>32</v>
      </c>
      <c r="D535" s="128">
        <v>1</v>
      </c>
      <c r="E535" s="126">
        <f t="shared" si="8"/>
        <v>930707.4</v>
      </c>
      <c r="F535" s="295">
        <v>869820</v>
      </c>
      <c r="J535" s="301"/>
    </row>
    <row r="536" spans="1:10" s="50" customFormat="1" ht="19.5" customHeight="1" x14ac:dyDescent="0.3">
      <c r="A536" s="129" t="s">
        <v>1202</v>
      </c>
      <c r="B536" s="127" t="s">
        <v>1203</v>
      </c>
      <c r="C536" s="128" t="s">
        <v>32</v>
      </c>
      <c r="D536" s="128">
        <v>1</v>
      </c>
      <c r="E536" s="126">
        <f t="shared" si="8"/>
        <v>14819.5</v>
      </c>
      <c r="F536" s="295">
        <v>13850</v>
      </c>
      <c r="I536" s="25"/>
      <c r="J536" s="301"/>
    </row>
    <row r="537" spans="1:10" ht="19.5" customHeight="1" x14ac:dyDescent="0.3">
      <c r="A537" s="129" t="s">
        <v>1204</v>
      </c>
      <c r="B537" s="127" t="s">
        <v>1205</v>
      </c>
      <c r="C537" s="128" t="s">
        <v>32</v>
      </c>
      <c r="D537" s="128">
        <v>1</v>
      </c>
      <c r="E537" s="126">
        <f t="shared" si="8"/>
        <v>26322</v>
      </c>
      <c r="F537" s="295">
        <v>24600</v>
      </c>
      <c r="G537" s="31"/>
      <c r="J537" s="301"/>
    </row>
    <row r="538" spans="1:10" ht="19.5" customHeight="1" x14ac:dyDescent="0.3">
      <c r="A538" s="131" t="s">
        <v>1206</v>
      </c>
      <c r="B538" s="127" t="s">
        <v>1207</v>
      </c>
      <c r="C538" s="50" t="s">
        <v>32</v>
      </c>
      <c r="D538" s="128">
        <v>1</v>
      </c>
      <c r="E538" s="126">
        <f t="shared" si="8"/>
        <v>7918.0000000000009</v>
      </c>
      <c r="F538" s="295">
        <v>7400</v>
      </c>
      <c r="G538" s="31"/>
      <c r="J538" s="301"/>
    </row>
    <row r="539" spans="1:10" ht="19.5" customHeight="1" x14ac:dyDescent="0.3">
      <c r="A539" s="129" t="s">
        <v>1208</v>
      </c>
      <c r="B539" s="127" t="s">
        <v>1209</v>
      </c>
      <c r="C539" s="128" t="s">
        <v>32</v>
      </c>
      <c r="D539" s="128">
        <v>1</v>
      </c>
      <c r="E539" s="126">
        <f t="shared" si="8"/>
        <v>2193.5</v>
      </c>
      <c r="F539" s="295">
        <v>2050</v>
      </c>
      <c r="G539" s="31"/>
      <c r="J539" s="301"/>
    </row>
    <row r="540" spans="1:10" ht="19.5" customHeight="1" x14ac:dyDescent="0.3">
      <c r="A540" s="129" t="s">
        <v>1210</v>
      </c>
      <c r="B540" s="127" t="s">
        <v>1211</v>
      </c>
      <c r="C540" s="128" t="s">
        <v>32</v>
      </c>
      <c r="D540" s="128">
        <v>1</v>
      </c>
      <c r="E540" s="126">
        <f t="shared" si="8"/>
        <v>8560</v>
      </c>
      <c r="F540" s="295">
        <v>8000</v>
      </c>
      <c r="G540" s="31"/>
      <c r="J540" s="301"/>
    </row>
    <row r="541" spans="1:10" ht="19.5" customHeight="1" x14ac:dyDescent="0.3">
      <c r="A541" s="129" t="s">
        <v>1212</v>
      </c>
      <c r="B541" s="127" t="s">
        <v>1213</v>
      </c>
      <c r="C541" s="128" t="s">
        <v>32</v>
      </c>
      <c r="D541" s="128">
        <v>1</v>
      </c>
      <c r="E541" s="126">
        <f t="shared" si="8"/>
        <v>13396.400000000001</v>
      </c>
      <c r="F541" s="295">
        <v>12520</v>
      </c>
      <c r="J541" s="301"/>
    </row>
    <row r="542" spans="1:10" ht="19.5" customHeight="1" x14ac:dyDescent="0.3">
      <c r="A542" s="129" t="s">
        <v>1214</v>
      </c>
      <c r="B542" s="127" t="s">
        <v>1215</v>
      </c>
      <c r="C542" s="128" t="s">
        <v>32</v>
      </c>
      <c r="D542" s="128">
        <v>1</v>
      </c>
      <c r="E542" s="126">
        <f t="shared" si="8"/>
        <v>18688.620000000003</v>
      </c>
      <c r="F542" s="295">
        <v>17466</v>
      </c>
      <c r="G542" s="31"/>
      <c r="J542" s="301"/>
    </row>
    <row r="543" spans="1:10" ht="19.5" customHeight="1" x14ac:dyDescent="0.3">
      <c r="A543" s="129" t="s">
        <v>1216</v>
      </c>
      <c r="B543" s="127" t="s">
        <v>1217</v>
      </c>
      <c r="C543" s="128" t="s">
        <v>32</v>
      </c>
      <c r="D543" s="128">
        <v>1</v>
      </c>
      <c r="E543" s="126">
        <f t="shared" si="8"/>
        <v>30836.33</v>
      </c>
      <c r="F543" s="295">
        <v>28819</v>
      </c>
      <c r="G543" s="31"/>
      <c r="J543" s="301"/>
    </row>
    <row r="544" spans="1:10" ht="19.5" customHeight="1" x14ac:dyDescent="0.3">
      <c r="A544" s="129" t="s">
        <v>1218</v>
      </c>
      <c r="B544" s="127" t="s">
        <v>1219</v>
      </c>
      <c r="C544" s="128" t="s">
        <v>32</v>
      </c>
      <c r="D544" s="128">
        <v>1</v>
      </c>
      <c r="E544" s="126">
        <f t="shared" si="8"/>
        <v>66789.400000000009</v>
      </c>
      <c r="F544" s="295">
        <v>62420</v>
      </c>
      <c r="G544" s="31"/>
      <c r="J544" s="301"/>
    </row>
    <row r="545" spans="1:10" ht="19.5" customHeight="1" x14ac:dyDescent="0.3">
      <c r="A545" s="129" t="s">
        <v>1220</v>
      </c>
      <c r="B545" s="127" t="s">
        <v>1221</v>
      </c>
      <c r="C545" s="128" t="s">
        <v>32</v>
      </c>
      <c r="D545" s="128">
        <v>1</v>
      </c>
      <c r="E545" s="126">
        <f t="shared" ref="E545:E608" si="9">+F545*(1+$E$29)</f>
        <v>114051.3</v>
      </c>
      <c r="F545" s="295">
        <v>106590</v>
      </c>
      <c r="G545" s="31"/>
      <c r="J545" s="301"/>
    </row>
    <row r="546" spans="1:10" ht="19.5" customHeight="1" x14ac:dyDescent="0.3">
      <c r="A546" s="129" t="s">
        <v>1222</v>
      </c>
      <c r="B546" s="127" t="s">
        <v>1223</v>
      </c>
      <c r="C546" s="128" t="s">
        <v>32</v>
      </c>
      <c r="D546" s="128">
        <v>1</v>
      </c>
      <c r="E546" s="126">
        <f t="shared" si="9"/>
        <v>14668.630000000001</v>
      </c>
      <c r="F546" s="295">
        <v>13709</v>
      </c>
      <c r="G546" s="31"/>
      <c r="J546" s="301"/>
    </row>
    <row r="547" spans="1:10" ht="19.5" customHeight="1" x14ac:dyDescent="0.3">
      <c r="A547" s="129" t="s">
        <v>1224</v>
      </c>
      <c r="B547" s="127" t="s">
        <v>1225</v>
      </c>
      <c r="C547" s="128" t="s">
        <v>32</v>
      </c>
      <c r="D547" s="128">
        <v>1</v>
      </c>
      <c r="E547" s="126">
        <f t="shared" si="9"/>
        <v>6527</v>
      </c>
      <c r="F547" s="295">
        <v>6100</v>
      </c>
      <c r="G547" s="31"/>
      <c r="J547" s="301"/>
    </row>
    <row r="548" spans="1:10" ht="19.5" customHeight="1" x14ac:dyDescent="0.3">
      <c r="A548" s="129" t="s">
        <v>1226</v>
      </c>
      <c r="B548" s="127" t="s">
        <v>1227</v>
      </c>
      <c r="C548" s="128" t="s">
        <v>32</v>
      </c>
      <c r="D548" s="128">
        <v>1</v>
      </c>
      <c r="E548" s="126">
        <f t="shared" si="9"/>
        <v>9578.6400000000012</v>
      </c>
      <c r="F548" s="322">
        <v>8952</v>
      </c>
      <c r="G548" s="31"/>
      <c r="J548" s="301"/>
    </row>
    <row r="549" spans="1:10" ht="19.5" customHeight="1" x14ac:dyDescent="0.3">
      <c r="A549" s="129" t="s">
        <v>1228</v>
      </c>
      <c r="B549" s="127" t="s">
        <v>1229</v>
      </c>
      <c r="C549" s="128" t="s">
        <v>32</v>
      </c>
      <c r="D549" s="128">
        <v>1</v>
      </c>
      <c r="E549" s="126">
        <f t="shared" si="9"/>
        <v>15012.1</v>
      </c>
      <c r="F549" s="295">
        <v>14030</v>
      </c>
      <c r="G549" s="31"/>
      <c r="J549" s="301"/>
    </row>
    <row r="550" spans="1:10" ht="19.5" customHeight="1" x14ac:dyDescent="0.3">
      <c r="A550" s="129" t="s">
        <v>1230</v>
      </c>
      <c r="B550" s="127" t="s">
        <v>1231</v>
      </c>
      <c r="C550" s="128" t="s">
        <v>32</v>
      </c>
      <c r="D550" s="128">
        <v>1</v>
      </c>
      <c r="E550" s="126">
        <f t="shared" si="9"/>
        <v>1865.0100000000002</v>
      </c>
      <c r="F550" s="295">
        <v>1743</v>
      </c>
      <c r="G550" s="31"/>
      <c r="J550" s="301"/>
    </row>
    <row r="551" spans="1:10" ht="19.5" customHeight="1" x14ac:dyDescent="0.3">
      <c r="A551" s="129" t="s">
        <v>1232</v>
      </c>
      <c r="B551" s="127" t="s">
        <v>1233</v>
      </c>
      <c r="C551" s="128" t="s">
        <v>32</v>
      </c>
      <c r="D551" s="128">
        <v>1</v>
      </c>
      <c r="E551" s="126">
        <f t="shared" si="9"/>
        <v>9256.57</v>
      </c>
      <c r="F551" s="295">
        <v>8651</v>
      </c>
      <c r="G551" s="31"/>
      <c r="J551" s="301"/>
    </row>
    <row r="552" spans="1:10" ht="19.5" customHeight="1" x14ac:dyDescent="0.3">
      <c r="A552" s="129" t="s">
        <v>1234</v>
      </c>
      <c r="B552" s="127" t="s">
        <v>1235</v>
      </c>
      <c r="C552" s="128" t="s">
        <v>32</v>
      </c>
      <c r="D552" s="128">
        <v>1</v>
      </c>
      <c r="E552" s="126">
        <f t="shared" si="9"/>
        <v>15944.070000000002</v>
      </c>
      <c r="F552" s="295">
        <v>14901</v>
      </c>
      <c r="G552" s="31"/>
      <c r="J552" s="301"/>
    </row>
    <row r="553" spans="1:10" ht="19.5" customHeight="1" x14ac:dyDescent="0.3">
      <c r="A553" s="129" t="s">
        <v>1236</v>
      </c>
      <c r="B553" s="127" t="s">
        <v>1237</v>
      </c>
      <c r="C553" s="128" t="s">
        <v>32</v>
      </c>
      <c r="D553" s="128">
        <v>1</v>
      </c>
      <c r="E553" s="126">
        <f t="shared" si="9"/>
        <v>39229.410000000003</v>
      </c>
      <c r="F553" s="295">
        <v>36663</v>
      </c>
      <c r="G553" s="31"/>
      <c r="J553" s="301"/>
    </row>
    <row r="554" spans="1:10" ht="19.5" customHeight="1" x14ac:dyDescent="0.3">
      <c r="A554" s="129" t="s">
        <v>1238</v>
      </c>
      <c r="B554" s="127" t="s">
        <v>1239</v>
      </c>
      <c r="C554" s="128" t="s">
        <v>32</v>
      </c>
      <c r="D554" s="128">
        <v>1</v>
      </c>
      <c r="E554" s="126">
        <f t="shared" si="9"/>
        <v>51754.83</v>
      </c>
      <c r="F554" s="295">
        <v>48369</v>
      </c>
      <c r="G554" s="31"/>
      <c r="J554" s="301"/>
    </row>
    <row r="555" spans="1:10" ht="19.5" customHeight="1" x14ac:dyDescent="0.3">
      <c r="A555" s="131" t="s">
        <v>1240</v>
      </c>
      <c r="B555" s="127" t="s">
        <v>1241</v>
      </c>
      <c r="C555" s="128" t="s">
        <v>32</v>
      </c>
      <c r="D555" s="128">
        <v>1</v>
      </c>
      <c r="E555" s="126">
        <f t="shared" si="9"/>
        <v>12840</v>
      </c>
      <c r="F555" s="295">
        <v>12000</v>
      </c>
      <c r="G555" s="31"/>
      <c r="J555" s="301"/>
    </row>
    <row r="556" spans="1:10" ht="19.5" customHeight="1" x14ac:dyDescent="0.3">
      <c r="A556" s="129" t="s">
        <v>1242</v>
      </c>
      <c r="B556" s="127" t="s">
        <v>1243</v>
      </c>
      <c r="C556" s="128" t="s">
        <v>32</v>
      </c>
      <c r="D556" s="128">
        <v>1</v>
      </c>
      <c r="E556" s="126">
        <f t="shared" si="9"/>
        <v>25145</v>
      </c>
      <c r="F556" s="295">
        <v>23500</v>
      </c>
      <c r="G556" s="31"/>
      <c r="H556" s="31"/>
      <c r="J556" s="301"/>
    </row>
    <row r="557" spans="1:10" ht="19.5" customHeight="1" x14ac:dyDescent="0.3">
      <c r="A557" s="129" t="s">
        <v>1244</v>
      </c>
      <c r="B557" s="132" t="s">
        <v>1245</v>
      </c>
      <c r="C557" s="128" t="s">
        <v>32</v>
      </c>
      <c r="D557" s="128">
        <v>1</v>
      </c>
      <c r="E557" s="126">
        <f t="shared" si="9"/>
        <v>34240</v>
      </c>
      <c r="F557" s="295">
        <v>32000</v>
      </c>
      <c r="G557" s="31"/>
      <c r="J557" s="301"/>
    </row>
    <row r="558" spans="1:10" ht="31.5" customHeight="1" x14ac:dyDescent="0.3">
      <c r="A558" s="129" t="s">
        <v>1246</v>
      </c>
      <c r="B558" s="132" t="s">
        <v>1247</v>
      </c>
      <c r="C558" s="128" t="s">
        <v>32</v>
      </c>
      <c r="D558" s="128">
        <v>1</v>
      </c>
      <c r="E558" s="126">
        <f t="shared" si="9"/>
        <v>50290</v>
      </c>
      <c r="F558" s="295">
        <v>47000</v>
      </c>
      <c r="G558" s="31"/>
      <c r="J558" s="301"/>
    </row>
    <row r="559" spans="1:10" ht="31.5" customHeight="1" x14ac:dyDescent="0.3">
      <c r="A559" s="129" t="s">
        <v>1248</v>
      </c>
      <c r="B559" s="132" t="s">
        <v>1249</v>
      </c>
      <c r="C559" s="128" t="s">
        <v>32</v>
      </c>
      <c r="D559" s="128">
        <v>1</v>
      </c>
      <c r="E559" s="126">
        <f t="shared" si="9"/>
        <v>73830</v>
      </c>
      <c r="F559" s="295">
        <v>69000</v>
      </c>
      <c r="I559" s="50"/>
      <c r="J559" s="301"/>
    </row>
    <row r="560" spans="1:10" ht="31.5" customHeight="1" x14ac:dyDescent="0.3">
      <c r="A560" s="129" t="s">
        <v>1250</v>
      </c>
      <c r="B560" s="132" t="s">
        <v>1251</v>
      </c>
      <c r="C560" s="128" t="s">
        <v>32</v>
      </c>
      <c r="D560" s="128">
        <v>1</v>
      </c>
      <c r="E560" s="126">
        <f t="shared" si="9"/>
        <v>129470.00000000001</v>
      </c>
      <c r="F560" s="295">
        <v>121000</v>
      </c>
      <c r="G560" s="31"/>
      <c r="J560" s="301"/>
    </row>
    <row r="561" spans="1:10" ht="19.5" customHeight="1" x14ac:dyDescent="0.3">
      <c r="A561" s="129" t="s">
        <v>1252</v>
      </c>
      <c r="B561" s="127" t="s">
        <v>1253</v>
      </c>
      <c r="C561" s="128" t="s">
        <v>5</v>
      </c>
      <c r="D561" s="128">
        <v>1</v>
      </c>
      <c r="E561" s="126">
        <f t="shared" si="9"/>
        <v>309230</v>
      </c>
      <c r="F561" s="295">
        <v>289000</v>
      </c>
      <c r="J561" s="301"/>
    </row>
    <row r="562" spans="1:10" ht="19.5" customHeight="1" x14ac:dyDescent="0.3">
      <c r="A562" s="129" t="s">
        <v>1254</v>
      </c>
      <c r="B562" s="127" t="s">
        <v>1255</v>
      </c>
      <c r="C562" s="128" t="s">
        <v>32</v>
      </c>
      <c r="D562" s="128">
        <v>1</v>
      </c>
      <c r="E562" s="126">
        <f t="shared" si="9"/>
        <v>354170</v>
      </c>
      <c r="F562" s="295">
        <v>331000</v>
      </c>
      <c r="G562" s="31"/>
      <c r="J562" s="301"/>
    </row>
    <row r="563" spans="1:10" ht="19.5" customHeight="1" x14ac:dyDescent="0.3">
      <c r="A563" s="129" t="s">
        <v>1256</v>
      </c>
      <c r="B563" s="127" t="s">
        <v>1257</v>
      </c>
      <c r="C563" s="128" t="s">
        <v>32</v>
      </c>
      <c r="D563" s="128">
        <v>1</v>
      </c>
      <c r="E563" s="126">
        <f t="shared" si="9"/>
        <v>462240</v>
      </c>
      <c r="F563" s="295">
        <v>432000</v>
      </c>
      <c r="G563" s="31"/>
      <c r="J563" s="301"/>
    </row>
    <row r="564" spans="1:10" ht="19.5" customHeight="1" x14ac:dyDescent="0.3">
      <c r="A564" s="129" t="s">
        <v>1258</v>
      </c>
      <c r="B564" s="127" t="s">
        <v>1259</v>
      </c>
      <c r="C564" s="128" t="s">
        <v>32</v>
      </c>
      <c r="D564" s="128">
        <v>1</v>
      </c>
      <c r="E564" s="126">
        <f t="shared" si="9"/>
        <v>1016500.0000000001</v>
      </c>
      <c r="F564" s="295">
        <v>950000</v>
      </c>
      <c r="J564" s="301"/>
    </row>
    <row r="565" spans="1:10" ht="19.5" customHeight="1" x14ac:dyDescent="0.3">
      <c r="A565" s="129" t="s">
        <v>1260</v>
      </c>
      <c r="B565" s="127" t="s">
        <v>1261</v>
      </c>
      <c r="C565" s="128" t="s">
        <v>32</v>
      </c>
      <c r="D565" s="128">
        <v>1</v>
      </c>
      <c r="E565" s="126">
        <f t="shared" si="9"/>
        <v>1310750</v>
      </c>
      <c r="F565" s="295">
        <v>1225000</v>
      </c>
      <c r="G565" s="31"/>
      <c r="J565" s="301"/>
    </row>
    <row r="566" spans="1:10" ht="33" customHeight="1" x14ac:dyDescent="0.3">
      <c r="A566" s="129" t="s">
        <v>1262</v>
      </c>
      <c r="B566" s="132" t="s">
        <v>1263</v>
      </c>
      <c r="C566" s="128" t="s">
        <v>32</v>
      </c>
      <c r="D566" s="128">
        <v>1</v>
      </c>
      <c r="E566" s="126">
        <f t="shared" si="9"/>
        <v>1369600</v>
      </c>
      <c r="F566" s="295">
        <v>1280000</v>
      </c>
      <c r="G566" s="31"/>
      <c r="J566" s="301"/>
    </row>
    <row r="567" spans="1:10" ht="19.5" customHeight="1" x14ac:dyDescent="0.3">
      <c r="A567" s="129" t="s">
        <v>1264</v>
      </c>
      <c r="B567" s="127" t="s">
        <v>1265</v>
      </c>
      <c r="C567" s="128" t="s">
        <v>32</v>
      </c>
      <c r="D567" s="128">
        <v>1</v>
      </c>
      <c r="E567" s="126">
        <f t="shared" si="9"/>
        <v>1786900</v>
      </c>
      <c r="F567" s="295">
        <v>1670000</v>
      </c>
      <c r="G567" s="31"/>
      <c r="J567" s="301"/>
    </row>
    <row r="568" spans="1:10" ht="19.5" customHeight="1" x14ac:dyDescent="0.3">
      <c r="A568" s="129" t="s">
        <v>1266</v>
      </c>
      <c r="B568" s="127" t="s">
        <v>1267</v>
      </c>
      <c r="C568" s="128" t="s">
        <v>32</v>
      </c>
      <c r="D568" s="128">
        <v>1</v>
      </c>
      <c r="E568" s="126">
        <f t="shared" si="9"/>
        <v>2075800.0000000002</v>
      </c>
      <c r="F568" s="295">
        <v>1940000</v>
      </c>
      <c r="G568" s="31"/>
      <c r="J568" s="301"/>
    </row>
    <row r="569" spans="1:10" ht="19.5" customHeight="1" x14ac:dyDescent="0.3">
      <c r="A569" s="129" t="s">
        <v>1268</v>
      </c>
      <c r="B569" s="127" t="s">
        <v>1269</v>
      </c>
      <c r="C569" s="128" t="s">
        <v>32</v>
      </c>
      <c r="D569" s="128">
        <v>1</v>
      </c>
      <c r="E569" s="126">
        <f t="shared" si="9"/>
        <v>2188150</v>
      </c>
      <c r="F569" s="295">
        <v>2045000</v>
      </c>
      <c r="G569" s="31"/>
      <c r="J569" s="301"/>
    </row>
    <row r="570" spans="1:10" ht="19.5" customHeight="1" x14ac:dyDescent="0.3">
      <c r="A570" s="129" t="s">
        <v>1270</v>
      </c>
      <c r="B570" s="127" t="s">
        <v>1271</v>
      </c>
      <c r="C570" s="128" t="s">
        <v>32</v>
      </c>
      <c r="D570" s="128">
        <v>1</v>
      </c>
      <c r="E570" s="126">
        <f t="shared" si="9"/>
        <v>2281240</v>
      </c>
      <c r="F570" s="295">
        <v>2132000</v>
      </c>
      <c r="G570" s="31"/>
      <c r="J570" s="301"/>
    </row>
    <row r="571" spans="1:10" ht="19.5" customHeight="1" x14ac:dyDescent="0.3">
      <c r="A571" s="129" t="s">
        <v>1272</v>
      </c>
      <c r="B571" s="127" t="s">
        <v>1273</v>
      </c>
      <c r="C571" s="128" t="s">
        <v>32</v>
      </c>
      <c r="D571" s="128">
        <v>1</v>
      </c>
      <c r="E571" s="126">
        <f t="shared" si="9"/>
        <v>2584050</v>
      </c>
      <c r="F571" s="295">
        <v>2415000</v>
      </c>
      <c r="G571" s="31"/>
      <c r="J571" s="301"/>
    </row>
    <row r="572" spans="1:10" ht="19.5" customHeight="1" x14ac:dyDescent="0.3">
      <c r="A572" s="129" t="s">
        <v>1274</v>
      </c>
      <c r="B572" s="127" t="s">
        <v>1275</v>
      </c>
      <c r="C572" s="128" t="s">
        <v>32</v>
      </c>
      <c r="D572" s="128">
        <v>1</v>
      </c>
      <c r="E572" s="126">
        <f t="shared" si="9"/>
        <v>6527</v>
      </c>
      <c r="F572" s="295">
        <v>6100</v>
      </c>
      <c r="G572" s="31"/>
      <c r="J572" s="301"/>
    </row>
    <row r="573" spans="1:10" ht="19.5" customHeight="1" x14ac:dyDescent="0.3">
      <c r="A573" s="129" t="s">
        <v>1276</v>
      </c>
      <c r="B573" s="127" t="s">
        <v>1277</v>
      </c>
      <c r="C573" s="128" t="s">
        <v>32</v>
      </c>
      <c r="D573" s="128">
        <v>1</v>
      </c>
      <c r="E573" s="126">
        <f t="shared" si="9"/>
        <v>9578.6400000000012</v>
      </c>
      <c r="F573" s="322">
        <v>8952</v>
      </c>
      <c r="G573" s="31"/>
      <c r="J573" s="301"/>
    </row>
    <row r="574" spans="1:10" ht="19.5" customHeight="1" x14ac:dyDescent="0.3">
      <c r="A574" s="129" t="s">
        <v>1278</v>
      </c>
      <c r="B574" s="127" t="s">
        <v>1279</v>
      </c>
      <c r="C574" s="128" t="s">
        <v>32</v>
      </c>
      <c r="D574" s="128">
        <v>1</v>
      </c>
      <c r="E574" s="126">
        <f t="shared" si="9"/>
        <v>10279.49</v>
      </c>
      <c r="F574" s="322">
        <v>9607</v>
      </c>
      <c r="G574" s="31"/>
      <c r="J574" s="301"/>
    </row>
    <row r="575" spans="1:10" ht="19.5" customHeight="1" x14ac:dyDescent="0.3">
      <c r="A575" s="129" t="s">
        <v>1280</v>
      </c>
      <c r="B575" s="127" t="s">
        <v>1281</v>
      </c>
      <c r="C575" s="128" t="s">
        <v>32</v>
      </c>
      <c r="D575" s="128">
        <v>1</v>
      </c>
      <c r="E575" s="126">
        <f t="shared" si="9"/>
        <v>8296.7800000000007</v>
      </c>
      <c r="F575" s="322">
        <v>7754</v>
      </c>
      <c r="G575" s="31"/>
      <c r="J575" s="301"/>
    </row>
    <row r="576" spans="1:10" ht="19.5" customHeight="1" x14ac:dyDescent="0.3">
      <c r="A576" s="129" t="s">
        <v>1282</v>
      </c>
      <c r="B576" s="127" t="s">
        <v>1283</v>
      </c>
      <c r="C576" s="128" t="s">
        <v>32</v>
      </c>
      <c r="D576" s="128">
        <v>1</v>
      </c>
      <c r="E576" s="126">
        <f t="shared" si="9"/>
        <v>3969.7000000000003</v>
      </c>
      <c r="F576" s="322">
        <v>3710</v>
      </c>
      <c r="G576" s="31"/>
      <c r="J576" s="301"/>
    </row>
    <row r="577" spans="1:10" ht="19.5" customHeight="1" x14ac:dyDescent="0.3">
      <c r="A577" s="129" t="s">
        <v>1284</v>
      </c>
      <c r="B577" s="127" t="s">
        <v>1285</v>
      </c>
      <c r="C577" s="128" t="s">
        <v>32</v>
      </c>
      <c r="D577" s="128">
        <v>1</v>
      </c>
      <c r="E577" s="126">
        <f t="shared" si="9"/>
        <v>2289.8000000000002</v>
      </c>
      <c r="F577" s="322">
        <v>2140</v>
      </c>
      <c r="G577" s="31"/>
      <c r="I577" s="31"/>
      <c r="J577" s="301"/>
    </row>
    <row r="578" spans="1:10" ht="19.5" customHeight="1" x14ac:dyDescent="0.3">
      <c r="A578" s="129" t="s">
        <v>1286</v>
      </c>
      <c r="B578" s="127" t="s">
        <v>1287</v>
      </c>
      <c r="C578" s="128" t="s">
        <v>32</v>
      </c>
      <c r="D578" s="128">
        <v>1</v>
      </c>
      <c r="E578" s="126">
        <f t="shared" si="9"/>
        <v>14186.916000000003</v>
      </c>
      <c r="F578" s="322">
        <v>13258.800000000001</v>
      </c>
      <c r="G578" s="31"/>
      <c r="I578" s="31"/>
      <c r="J578" s="301"/>
    </row>
    <row r="579" spans="1:10" ht="19.5" customHeight="1" x14ac:dyDescent="0.3">
      <c r="A579" s="129" t="s">
        <v>1288</v>
      </c>
      <c r="B579" s="127" t="s">
        <v>1289</v>
      </c>
      <c r="C579" s="128" t="s">
        <v>32</v>
      </c>
      <c r="D579" s="128">
        <v>1</v>
      </c>
      <c r="E579" s="126">
        <f t="shared" si="9"/>
        <v>30884.480000000003</v>
      </c>
      <c r="F579" s="322">
        <v>28864</v>
      </c>
      <c r="G579" s="31"/>
      <c r="J579" s="301"/>
    </row>
    <row r="580" spans="1:10" ht="19.5" customHeight="1" x14ac:dyDescent="0.3">
      <c r="A580" s="129" t="s">
        <v>1290</v>
      </c>
      <c r="B580" s="127" t="s">
        <v>1291</v>
      </c>
      <c r="C580" s="128" t="s">
        <v>32</v>
      </c>
      <c r="D580" s="128">
        <v>1</v>
      </c>
      <c r="E580" s="126">
        <f t="shared" si="9"/>
        <v>2835.5</v>
      </c>
      <c r="F580" s="322">
        <v>2650</v>
      </c>
      <c r="G580" s="31"/>
      <c r="J580" s="301"/>
    </row>
    <row r="581" spans="1:10" ht="19.5" customHeight="1" x14ac:dyDescent="0.3">
      <c r="A581" s="129" t="s">
        <v>1292</v>
      </c>
      <c r="B581" s="127" t="s">
        <v>1293</v>
      </c>
      <c r="C581" s="128" t="s">
        <v>32</v>
      </c>
      <c r="D581" s="128">
        <v>1</v>
      </c>
      <c r="E581" s="126">
        <f t="shared" si="9"/>
        <v>10077.302800000001</v>
      </c>
      <c r="F581" s="322">
        <v>9418.0400000000009</v>
      </c>
      <c r="G581" s="31"/>
      <c r="J581" s="301"/>
    </row>
    <row r="582" spans="1:10" ht="19.5" customHeight="1" x14ac:dyDescent="0.3">
      <c r="A582" s="129" t="s">
        <v>1294</v>
      </c>
      <c r="B582" s="127" t="s">
        <v>1295</v>
      </c>
      <c r="C582" s="128" t="s">
        <v>32</v>
      </c>
      <c r="D582" s="128">
        <v>1</v>
      </c>
      <c r="E582" s="126">
        <f t="shared" si="9"/>
        <v>15051.476000000002</v>
      </c>
      <c r="F582" s="322">
        <v>14066.800000000001</v>
      </c>
      <c r="G582" s="31"/>
      <c r="J582" s="301"/>
    </row>
    <row r="583" spans="1:10" ht="19.5" customHeight="1" x14ac:dyDescent="0.3">
      <c r="A583" s="129" t="s">
        <v>1296</v>
      </c>
      <c r="B583" s="127" t="s">
        <v>1297</v>
      </c>
      <c r="C583" s="128" t="s">
        <v>32</v>
      </c>
      <c r="D583" s="128">
        <v>1</v>
      </c>
      <c r="E583" s="126">
        <f t="shared" si="9"/>
        <v>20725.900000000001</v>
      </c>
      <c r="F583" s="322">
        <v>19370</v>
      </c>
      <c r="J583" s="301"/>
    </row>
    <row r="584" spans="1:10" ht="19.5" customHeight="1" x14ac:dyDescent="0.3">
      <c r="A584" s="129" t="s">
        <v>1298</v>
      </c>
      <c r="B584" s="127" t="s">
        <v>1299</v>
      </c>
      <c r="C584" s="128" t="s">
        <v>32</v>
      </c>
      <c r="D584" s="128">
        <v>1</v>
      </c>
      <c r="E584" s="126">
        <f t="shared" si="9"/>
        <v>43891.4</v>
      </c>
      <c r="F584" s="295">
        <v>41020</v>
      </c>
      <c r="J584" s="301"/>
    </row>
    <row r="585" spans="1:10" ht="18.75" customHeight="1" x14ac:dyDescent="0.3">
      <c r="A585" s="129" t="s">
        <v>1300</v>
      </c>
      <c r="B585" s="127" t="s">
        <v>1301</v>
      </c>
      <c r="C585" s="128" t="s">
        <v>26</v>
      </c>
      <c r="D585" s="128">
        <v>1</v>
      </c>
      <c r="E585" s="126">
        <f t="shared" si="9"/>
        <v>47508</v>
      </c>
      <c r="F585" s="295">
        <v>44400</v>
      </c>
      <c r="J585" s="301"/>
    </row>
    <row r="586" spans="1:10" ht="19.5" customHeight="1" x14ac:dyDescent="0.3">
      <c r="A586" s="129" t="s">
        <v>1302</v>
      </c>
      <c r="B586" s="127" t="s">
        <v>1303</v>
      </c>
      <c r="C586" s="128" t="s">
        <v>26</v>
      </c>
      <c r="D586" s="128">
        <v>1</v>
      </c>
      <c r="E586" s="126">
        <f t="shared" si="9"/>
        <v>27831.77</v>
      </c>
      <c r="F586" s="295">
        <v>26011</v>
      </c>
      <c r="I586" s="50"/>
      <c r="J586" s="301"/>
    </row>
    <row r="587" spans="1:10" ht="19.5" customHeight="1" x14ac:dyDescent="0.3">
      <c r="A587" s="129" t="s">
        <v>1304</v>
      </c>
      <c r="B587" s="127" t="s">
        <v>1305</v>
      </c>
      <c r="C587" s="128" t="s">
        <v>26</v>
      </c>
      <c r="D587" s="128">
        <v>1</v>
      </c>
      <c r="E587" s="126">
        <f t="shared" si="9"/>
        <v>23905.940000000002</v>
      </c>
      <c r="F587" s="295">
        <v>22342</v>
      </c>
      <c r="J587" s="301"/>
    </row>
    <row r="588" spans="1:10" s="50" customFormat="1" ht="19.5" customHeight="1" x14ac:dyDescent="0.3">
      <c r="A588" s="129" t="s">
        <v>1306</v>
      </c>
      <c r="B588" s="127" t="s">
        <v>1307</v>
      </c>
      <c r="C588" s="128" t="s">
        <v>26</v>
      </c>
      <c r="D588" s="128">
        <v>1</v>
      </c>
      <c r="E588" s="126">
        <f t="shared" si="9"/>
        <v>39600.700000000004</v>
      </c>
      <c r="F588" s="318">
        <v>37010</v>
      </c>
      <c r="I588" s="25"/>
      <c r="J588" s="301"/>
    </row>
    <row r="589" spans="1:10" ht="19.5" customHeight="1" x14ac:dyDescent="0.3">
      <c r="A589" s="129" t="s">
        <v>1308</v>
      </c>
      <c r="B589" s="127" t="s">
        <v>1309</v>
      </c>
      <c r="C589" s="128" t="s">
        <v>26</v>
      </c>
      <c r="D589" s="128">
        <v>1</v>
      </c>
      <c r="E589" s="126">
        <f t="shared" si="9"/>
        <v>67905.41</v>
      </c>
      <c r="F589" s="295">
        <v>63463</v>
      </c>
      <c r="J589" s="301"/>
    </row>
    <row r="590" spans="1:10" ht="19.5" customHeight="1" x14ac:dyDescent="0.3">
      <c r="A590" s="129" t="s">
        <v>1310</v>
      </c>
      <c r="B590" s="127" t="s">
        <v>1311</v>
      </c>
      <c r="C590" s="128" t="s">
        <v>26</v>
      </c>
      <c r="D590" s="128">
        <v>1</v>
      </c>
      <c r="E590" s="126">
        <f t="shared" si="9"/>
        <v>157246.13</v>
      </c>
      <c r="F590" s="295">
        <v>146959</v>
      </c>
      <c r="J590" s="301"/>
    </row>
    <row r="591" spans="1:10" ht="19.5" customHeight="1" x14ac:dyDescent="0.3">
      <c r="A591" s="129" t="s">
        <v>1312</v>
      </c>
      <c r="B591" s="127" t="s">
        <v>1313</v>
      </c>
      <c r="C591" s="128" t="s">
        <v>26</v>
      </c>
      <c r="D591" s="128">
        <v>1</v>
      </c>
      <c r="E591" s="126">
        <f t="shared" si="9"/>
        <v>289125.77</v>
      </c>
      <c r="F591" s="295">
        <v>270211</v>
      </c>
      <c r="J591" s="301"/>
    </row>
    <row r="592" spans="1:10" ht="19.5" customHeight="1" x14ac:dyDescent="0.3">
      <c r="A592" s="129" t="s">
        <v>1314</v>
      </c>
      <c r="B592" s="127" t="s">
        <v>1315</v>
      </c>
      <c r="C592" s="50" t="s">
        <v>26</v>
      </c>
      <c r="D592" s="138">
        <v>1</v>
      </c>
      <c r="E592" s="126">
        <f t="shared" si="9"/>
        <v>2675</v>
      </c>
      <c r="F592" s="295">
        <v>2500</v>
      </c>
      <c r="J592" s="301"/>
    </row>
    <row r="593" spans="1:10" s="23" customFormat="1" ht="19.5" customHeight="1" x14ac:dyDescent="0.3">
      <c r="A593" s="129" t="s">
        <v>1316</v>
      </c>
      <c r="B593" s="127" t="s">
        <v>1317</v>
      </c>
      <c r="C593" s="50" t="s">
        <v>26</v>
      </c>
      <c r="D593" s="138">
        <v>1</v>
      </c>
      <c r="E593" s="126">
        <f t="shared" si="9"/>
        <v>6420</v>
      </c>
      <c r="F593" s="295">
        <v>6000</v>
      </c>
      <c r="I593" s="25"/>
      <c r="J593" s="301"/>
    </row>
    <row r="594" spans="1:10" ht="19.5" customHeight="1" x14ac:dyDescent="0.3">
      <c r="A594" s="129" t="s">
        <v>1318</v>
      </c>
      <c r="B594" s="127" t="s">
        <v>1319</v>
      </c>
      <c r="C594" s="128" t="s">
        <v>26</v>
      </c>
      <c r="D594" s="128">
        <v>1</v>
      </c>
      <c r="E594" s="126">
        <f t="shared" si="9"/>
        <v>25262.7</v>
      </c>
      <c r="F594" s="295">
        <v>23610</v>
      </c>
      <c r="J594" s="301"/>
    </row>
    <row r="595" spans="1:10" ht="19.5" customHeight="1" x14ac:dyDescent="0.3">
      <c r="A595" s="129" t="s">
        <v>1320</v>
      </c>
      <c r="B595" s="127" t="s">
        <v>1321</v>
      </c>
      <c r="C595" s="128" t="s">
        <v>26</v>
      </c>
      <c r="D595" s="128">
        <v>1</v>
      </c>
      <c r="E595" s="126">
        <f t="shared" si="9"/>
        <v>25359</v>
      </c>
      <c r="F595" s="295">
        <v>23700</v>
      </c>
      <c r="J595" s="301"/>
    </row>
    <row r="596" spans="1:10" ht="19.5" customHeight="1" x14ac:dyDescent="0.3">
      <c r="A596" s="129" t="s">
        <v>1322</v>
      </c>
      <c r="B596" s="127" t="s">
        <v>1323</v>
      </c>
      <c r="C596" s="128" t="s">
        <v>26</v>
      </c>
      <c r="D596" s="128">
        <v>1</v>
      </c>
      <c r="E596" s="126">
        <f t="shared" si="9"/>
        <v>4280</v>
      </c>
      <c r="F596" s="295">
        <v>4000</v>
      </c>
      <c r="J596" s="301"/>
    </row>
    <row r="597" spans="1:10" ht="19.5" customHeight="1" x14ac:dyDescent="0.3">
      <c r="A597" s="129" t="s">
        <v>1324</v>
      </c>
      <c r="B597" s="127" t="s">
        <v>1325</v>
      </c>
      <c r="C597" s="128" t="s">
        <v>39</v>
      </c>
      <c r="D597" s="128">
        <v>1</v>
      </c>
      <c r="E597" s="126">
        <f t="shared" si="9"/>
        <v>37450</v>
      </c>
      <c r="F597" s="295">
        <v>35000</v>
      </c>
      <c r="J597" s="301"/>
    </row>
    <row r="598" spans="1:10" ht="19.5" customHeight="1" x14ac:dyDescent="0.3">
      <c r="A598" s="129" t="s">
        <v>1326</v>
      </c>
      <c r="B598" s="127" t="s">
        <v>1327</v>
      </c>
      <c r="C598" s="128" t="s">
        <v>26</v>
      </c>
      <c r="D598" s="128">
        <v>1</v>
      </c>
      <c r="E598" s="126">
        <f t="shared" si="9"/>
        <v>620600</v>
      </c>
      <c r="F598" s="295">
        <v>580000</v>
      </c>
      <c r="J598" s="301"/>
    </row>
    <row r="599" spans="1:10" ht="19.5" customHeight="1" x14ac:dyDescent="0.3">
      <c r="A599" s="129" t="s">
        <v>1328</v>
      </c>
      <c r="B599" s="127" t="s">
        <v>1329</v>
      </c>
      <c r="C599" s="128" t="s">
        <v>32</v>
      </c>
      <c r="D599" s="128">
        <v>1</v>
      </c>
      <c r="E599" s="126">
        <f t="shared" si="9"/>
        <v>4815</v>
      </c>
      <c r="F599" s="295">
        <v>4500</v>
      </c>
      <c r="J599" s="301"/>
    </row>
    <row r="600" spans="1:10" ht="19.5" customHeight="1" x14ac:dyDescent="0.3">
      <c r="A600" s="129" t="s">
        <v>1330</v>
      </c>
      <c r="B600" s="127" t="s">
        <v>1331</v>
      </c>
      <c r="C600" s="128" t="s">
        <v>32</v>
      </c>
      <c r="D600" s="128">
        <v>1</v>
      </c>
      <c r="E600" s="126">
        <f t="shared" si="9"/>
        <v>1926</v>
      </c>
      <c r="F600" s="295">
        <v>1800</v>
      </c>
      <c r="J600" s="301"/>
    </row>
    <row r="601" spans="1:10" ht="19.5" customHeight="1" x14ac:dyDescent="0.3">
      <c r="A601" s="129" t="s">
        <v>1332</v>
      </c>
      <c r="B601" s="127" t="s">
        <v>1333</v>
      </c>
      <c r="C601" s="128" t="s">
        <v>32</v>
      </c>
      <c r="D601" s="128">
        <v>1</v>
      </c>
      <c r="E601" s="126">
        <f t="shared" si="9"/>
        <v>2675</v>
      </c>
      <c r="F601" s="295">
        <v>2500</v>
      </c>
      <c r="J601" s="301"/>
    </row>
    <row r="602" spans="1:10" ht="19.5" customHeight="1" x14ac:dyDescent="0.3">
      <c r="A602" s="129" t="s">
        <v>1334</v>
      </c>
      <c r="B602" s="127" t="s">
        <v>1335</v>
      </c>
      <c r="C602" s="128" t="s">
        <v>383</v>
      </c>
      <c r="D602" s="128">
        <v>1</v>
      </c>
      <c r="E602" s="126">
        <f t="shared" si="9"/>
        <v>6955</v>
      </c>
      <c r="F602" s="295">
        <v>6500</v>
      </c>
      <c r="J602" s="301"/>
    </row>
    <row r="603" spans="1:10" ht="19.5" customHeight="1" x14ac:dyDescent="0.3">
      <c r="A603" s="129" t="s">
        <v>1336</v>
      </c>
      <c r="B603" s="127" t="s">
        <v>1337</v>
      </c>
      <c r="C603" s="128" t="s">
        <v>39</v>
      </c>
      <c r="D603" s="128">
        <v>1</v>
      </c>
      <c r="E603" s="126">
        <f t="shared" si="9"/>
        <v>103255</v>
      </c>
      <c r="F603" s="295">
        <v>96500</v>
      </c>
      <c r="J603" s="301"/>
    </row>
    <row r="604" spans="1:10" ht="19.5" customHeight="1" x14ac:dyDescent="0.3">
      <c r="A604" s="129" t="s">
        <v>657</v>
      </c>
      <c r="B604" s="127" t="s">
        <v>1338</v>
      </c>
      <c r="C604" s="128" t="s">
        <v>1565</v>
      </c>
      <c r="D604" s="128"/>
      <c r="E604" s="126">
        <f t="shared" si="9"/>
        <v>294785</v>
      </c>
      <c r="F604" s="295">
        <v>275500</v>
      </c>
      <c r="I604" s="50"/>
      <c r="J604" s="301"/>
    </row>
    <row r="605" spans="1:10" ht="19.5" customHeight="1" x14ac:dyDescent="0.3">
      <c r="A605" s="129" t="s">
        <v>1339</v>
      </c>
      <c r="B605" s="127" t="s">
        <v>1340</v>
      </c>
      <c r="C605" s="128" t="s">
        <v>39</v>
      </c>
      <c r="D605" s="128">
        <v>1</v>
      </c>
      <c r="E605" s="126">
        <f t="shared" si="9"/>
        <v>132252</v>
      </c>
      <c r="F605" s="295">
        <v>123600</v>
      </c>
      <c r="J605" s="301"/>
    </row>
    <row r="606" spans="1:10" ht="19.5" customHeight="1" x14ac:dyDescent="0.3">
      <c r="A606" s="129" t="s">
        <v>1341</v>
      </c>
      <c r="B606" s="127" t="s">
        <v>1342</v>
      </c>
      <c r="C606" s="128" t="s">
        <v>39</v>
      </c>
      <c r="D606" s="128">
        <v>1</v>
      </c>
      <c r="E606" s="126">
        <f t="shared" si="9"/>
        <v>118235</v>
      </c>
      <c r="F606" s="295">
        <v>110500</v>
      </c>
      <c r="J606" s="301"/>
    </row>
    <row r="607" spans="1:10" ht="19.5" customHeight="1" x14ac:dyDescent="0.3">
      <c r="A607" s="129" t="s">
        <v>1343</v>
      </c>
      <c r="B607" s="127" t="s">
        <v>1344</v>
      </c>
      <c r="C607" s="128" t="s">
        <v>39</v>
      </c>
      <c r="D607" s="128">
        <v>1</v>
      </c>
      <c r="E607" s="126">
        <f t="shared" si="9"/>
        <v>40660</v>
      </c>
      <c r="F607" s="295">
        <v>38000</v>
      </c>
      <c r="J607" s="301"/>
    </row>
    <row r="608" spans="1:10" ht="19.5" customHeight="1" x14ac:dyDescent="0.3">
      <c r="A608" s="129" t="s">
        <v>1345</v>
      </c>
      <c r="B608" s="127" t="s">
        <v>1346</v>
      </c>
      <c r="C608" s="128" t="s">
        <v>39</v>
      </c>
      <c r="D608" s="128">
        <v>1</v>
      </c>
      <c r="E608" s="126">
        <f t="shared" si="9"/>
        <v>35952</v>
      </c>
      <c r="F608" s="295">
        <v>33600</v>
      </c>
      <c r="J608" s="301"/>
    </row>
    <row r="609" spans="1:10" ht="19.5" customHeight="1" x14ac:dyDescent="0.3">
      <c r="A609" s="129" t="s">
        <v>1347</v>
      </c>
      <c r="B609" s="127" t="s">
        <v>1348</v>
      </c>
      <c r="C609" s="128" t="s">
        <v>26</v>
      </c>
      <c r="D609" s="128">
        <v>1</v>
      </c>
      <c r="E609" s="126">
        <f t="shared" ref="E609:E697" si="10">+F609*(1+$E$29)</f>
        <v>3210</v>
      </c>
      <c r="F609" s="295">
        <v>3000</v>
      </c>
      <c r="J609" s="301"/>
    </row>
    <row r="610" spans="1:10" ht="19.5" customHeight="1" x14ac:dyDescent="0.3">
      <c r="A610" s="129" t="s">
        <v>1349</v>
      </c>
      <c r="B610" s="127" t="s">
        <v>1350</v>
      </c>
      <c r="C610" s="128" t="s">
        <v>25</v>
      </c>
      <c r="D610" s="128">
        <v>1</v>
      </c>
      <c r="E610" s="126">
        <f t="shared" si="10"/>
        <v>1365.3200000000002</v>
      </c>
      <c r="F610" s="295">
        <v>1276</v>
      </c>
      <c r="J610" s="301"/>
    </row>
    <row r="611" spans="1:10" ht="19.5" customHeight="1" x14ac:dyDescent="0.3">
      <c r="A611" s="129" t="s">
        <v>1351</v>
      </c>
      <c r="B611" s="127" t="s">
        <v>1352</v>
      </c>
      <c r="C611" s="128" t="s">
        <v>25</v>
      </c>
      <c r="D611" s="128">
        <v>1</v>
      </c>
      <c r="E611" s="126">
        <f t="shared" si="10"/>
        <v>6420</v>
      </c>
      <c r="F611" s="295">
        <v>6000</v>
      </c>
      <c r="J611" s="301"/>
    </row>
    <row r="612" spans="1:10" ht="19.5" customHeight="1" x14ac:dyDescent="0.3">
      <c r="A612" s="129" t="s">
        <v>1353</v>
      </c>
      <c r="B612" s="127" t="s">
        <v>1354</v>
      </c>
      <c r="C612" s="128" t="s">
        <v>25</v>
      </c>
      <c r="D612" s="128">
        <v>1</v>
      </c>
      <c r="E612" s="126">
        <f t="shared" si="10"/>
        <v>6420</v>
      </c>
      <c r="F612" s="295">
        <v>6000</v>
      </c>
      <c r="J612" s="301"/>
    </row>
    <row r="613" spans="1:10" ht="19.5" customHeight="1" x14ac:dyDescent="0.3">
      <c r="A613" s="129" t="s">
        <v>1355</v>
      </c>
      <c r="B613" s="127" t="s">
        <v>1356</v>
      </c>
      <c r="C613" s="128" t="s">
        <v>5</v>
      </c>
      <c r="D613" s="128">
        <v>1</v>
      </c>
      <c r="E613" s="126">
        <f t="shared" si="10"/>
        <v>1070</v>
      </c>
      <c r="F613" s="295">
        <v>1000</v>
      </c>
      <c r="J613" s="301"/>
    </row>
    <row r="614" spans="1:10" ht="19.5" customHeight="1" x14ac:dyDescent="0.3">
      <c r="A614" s="129" t="s">
        <v>1357</v>
      </c>
      <c r="B614" s="127" t="s">
        <v>1358</v>
      </c>
      <c r="C614" s="128" t="s">
        <v>1359</v>
      </c>
      <c r="D614" s="128">
        <v>1</v>
      </c>
      <c r="E614" s="126">
        <f t="shared" si="10"/>
        <v>1926</v>
      </c>
      <c r="F614" s="295">
        <v>1800</v>
      </c>
      <c r="J614" s="301"/>
    </row>
    <row r="615" spans="1:10" ht="19.5" customHeight="1" x14ac:dyDescent="0.3">
      <c r="A615" s="129" t="s">
        <v>1556</v>
      </c>
      <c r="B615" s="127" t="s">
        <v>11</v>
      </c>
      <c r="C615" s="128" t="s">
        <v>26</v>
      </c>
      <c r="D615" s="128"/>
      <c r="E615" s="126">
        <f t="shared" si="10"/>
        <v>620600</v>
      </c>
      <c r="F615" s="295">
        <v>580000</v>
      </c>
      <c r="J615" s="301"/>
    </row>
    <row r="616" spans="1:10" ht="19.5" customHeight="1" x14ac:dyDescent="0.3">
      <c r="A616" s="129" t="s">
        <v>1555</v>
      </c>
      <c r="B616" s="127" t="s">
        <v>1567</v>
      </c>
      <c r="C616" s="128" t="s">
        <v>26</v>
      </c>
      <c r="D616" s="128"/>
      <c r="E616" s="126">
        <f t="shared" si="10"/>
        <v>78110</v>
      </c>
      <c r="F616" s="295">
        <v>73000</v>
      </c>
      <c r="J616" s="301"/>
    </row>
    <row r="617" spans="1:10" ht="19.5" customHeight="1" x14ac:dyDescent="0.3">
      <c r="A617" s="129" t="s">
        <v>1554</v>
      </c>
      <c r="B617" s="127" t="s">
        <v>12</v>
      </c>
      <c r="C617" s="128" t="s">
        <v>26</v>
      </c>
      <c r="D617" s="128"/>
      <c r="E617" s="126">
        <f t="shared" si="10"/>
        <v>149800</v>
      </c>
      <c r="F617" s="295">
        <v>140000</v>
      </c>
      <c r="J617" s="301"/>
    </row>
    <row r="618" spans="1:10" ht="19.5" customHeight="1" x14ac:dyDescent="0.3">
      <c r="A618" s="129" t="s">
        <v>1553</v>
      </c>
      <c r="B618" s="127" t="s">
        <v>13</v>
      </c>
      <c r="C618" s="128" t="s">
        <v>26</v>
      </c>
      <c r="D618" s="128"/>
      <c r="E618" s="126">
        <f t="shared" si="10"/>
        <v>235400</v>
      </c>
      <c r="F618" s="295">
        <v>220000</v>
      </c>
      <c r="J618" s="301"/>
    </row>
    <row r="619" spans="1:10" ht="19.5" customHeight="1" x14ac:dyDescent="0.3">
      <c r="A619" s="129" t="s">
        <v>1552</v>
      </c>
      <c r="B619" s="127" t="s">
        <v>14</v>
      </c>
      <c r="C619" s="128" t="s">
        <v>26</v>
      </c>
      <c r="D619" s="128"/>
      <c r="E619" s="126">
        <f t="shared" si="10"/>
        <v>139100</v>
      </c>
      <c r="F619" s="295">
        <v>130000</v>
      </c>
      <c r="J619" s="301"/>
    </row>
    <row r="620" spans="1:10" ht="19.5" customHeight="1" x14ac:dyDescent="0.3">
      <c r="A620" s="129" t="s">
        <v>1551</v>
      </c>
      <c r="B620" s="127" t="s">
        <v>1584</v>
      </c>
      <c r="C620" s="128" t="s">
        <v>253</v>
      </c>
      <c r="D620" s="128"/>
      <c r="E620" s="126">
        <f t="shared" si="10"/>
        <v>12840</v>
      </c>
      <c r="F620" s="295">
        <v>12000</v>
      </c>
      <c r="J620" s="301"/>
    </row>
    <row r="621" spans="1:10" ht="19.5" customHeight="1" x14ac:dyDescent="0.3">
      <c r="A621" s="129" t="s">
        <v>1550</v>
      </c>
      <c r="B621" s="127" t="s">
        <v>1585</v>
      </c>
      <c r="C621" s="128" t="s">
        <v>253</v>
      </c>
      <c r="D621" s="128"/>
      <c r="E621" s="126">
        <f t="shared" si="10"/>
        <v>12305</v>
      </c>
      <c r="F621" s="295">
        <v>11500</v>
      </c>
      <c r="J621" s="301"/>
    </row>
    <row r="622" spans="1:10" ht="19.5" customHeight="1" x14ac:dyDescent="0.3">
      <c r="A622" s="129" t="s">
        <v>1549</v>
      </c>
      <c r="B622" s="127" t="s">
        <v>1586</v>
      </c>
      <c r="C622" s="128" t="s">
        <v>253</v>
      </c>
      <c r="D622" s="128"/>
      <c r="E622" s="126">
        <f t="shared" si="10"/>
        <v>21400</v>
      </c>
      <c r="F622" s="295">
        <v>20000</v>
      </c>
      <c r="J622" s="301"/>
    </row>
    <row r="623" spans="1:10" ht="19.5" customHeight="1" x14ac:dyDescent="0.3">
      <c r="A623" s="129" t="s">
        <v>1548</v>
      </c>
      <c r="B623" s="127" t="s">
        <v>1587</v>
      </c>
      <c r="C623" s="128" t="s">
        <v>218</v>
      </c>
      <c r="D623" s="128"/>
      <c r="E623" s="126">
        <f t="shared" si="10"/>
        <v>79180</v>
      </c>
      <c r="F623" s="295">
        <v>74000</v>
      </c>
      <c r="J623" s="301"/>
    </row>
    <row r="624" spans="1:10" ht="19.5" customHeight="1" x14ac:dyDescent="0.3">
      <c r="A624" s="129" t="s">
        <v>1547</v>
      </c>
      <c r="B624" s="127" t="s">
        <v>1588</v>
      </c>
      <c r="C624" s="128" t="s">
        <v>1589</v>
      </c>
      <c r="D624" s="128"/>
      <c r="E624" s="126">
        <f t="shared" si="10"/>
        <v>22470</v>
      </c>
      <c r="F624" s="295">
        <v>21000</v>
      </c>
      <c r="J624" s="301"/>
    </row>
    <row r="625" spans="1:10" ht="19.5" customHeight="1" x14ac:dyDescent="0.3">
      <c r="A625" s="129" t="s">
        <v>1546</v>
      </c>
      <c r="B625" s="127" t="s">
        <v>1590</v>
      </c>
      <c r="C625" s="128" t="s">
        <v>218</v>
      </c>
      <c r="D625" s="128"/>
      <c r="E625" s="126">
        <f t="shared" si="10"/>
        <v>9630</v>
      </c>
      <c r="F625" s="295">
        <v>9000</v>
      </c>
      <c r="J625" s="301"/>
    </row>
    <row r="626" spans="1:10" ht="19.5" customHeight="1" x14ac:dyDescent="0.3">
      <c r="A626" s="129" t="s">
        <v>1533</v>
      </c>
      <c r="B626" s="127" t="s">
        <v>1591</v>
      </c>
      <c r="C626" s="128" t="s">
        <v>1592</v>
      </c>
      <c r="D626" s="128"/>
      <c r="E626" s="126">
        <f t="shared" si="10"/>
        <v>214000</v>
      </c>
      <c r="F626" s="295">
        <v>200000</v>
      </c>
      <c r="J626" s="301"/>
    </row>
    <row r="627" spans="1:10" ht="19.5" customHeight="1" x14ac:dyDescent="0.3">
      <c r="A627" s="129" t="s">
        <v>1545</v>
      </c>
      <c r="B627" s="127" t="s">
        <v>1593</v>
      </c>
      <c r="C627" s="128" t="s">
        <v>1592</v>
      </c>
      <c r="D627" s="128"/>
      <c r="E627" s="126">
        <f t="shared" si="10"/>
        <v>16050.000000000002</v>
      </c>
      <c r="F627" s="295">
        <v>15000</v>
      </c>
      <c r="J627" s="301"/>
    </row>
    <row r="628" spans="1:10" ht="19.5" customHeight="1" x14ac:dyDescent="0.3">
      <c r="A628" s="129" t="s">
        <v>1544</v>
      </c>
      <c r="B628" s="127" t="s">
        <v>1594</v>
      </c>
      <c r="C628" s="128" t="s">
        <v>1595</v>
      </c>
      <c r="D628" s="128"/>
      <c r="E628" s="126">
        <f t="shared" si="10"/>
        <v>22470</v>
      </c>
      <c r="F628" s="295">
        <v>21000</v>
      </c>
      <c r="J628" s="301"/>
    </row>
    <row r="629" spans="1:10" ht="19.5" customHeight="1" x14ac:dyDescent="0.3">
      <c r="A629" s="129" t="s">
        <v>1543</v>
      </c>
      <c r="B629" s="127" t="s">
        <v>1596</v>
      </c>
      <c r="C629" s="128" t="s">
        <v>1592</v>
      </c>
      <c r="D629" s="128"/>
      <c r="E629" s="126">
        <f t="shared" si="10"/>
        <v>2140</v>
      </c>
      <c r="F629" s="295">
        <v>2000</v>
      </c>
      <c r="J629" s="301"/>
    </row>
    <row r="630" spans="1:10" ht="19.5" customHeight="1" x14ac:dyDescent="0.3">
      <c r="A630" s="129" t="s">
        <v>1542</v>
      </c>
      <c r="B630" s="127" t="s">
        <v>1597</v>
      </c>
      <c r="C630" s="128" t="s">
        <v>1592</v>
      </c>
      <c r="D630" s="128"/>
      <c r="E630" s="126">
        <f t="shared" si="10"/>
        <v>6955</v>
      </c>
      <c r="F630" s="295">
        <v>6500</v>
      </c>
      <c r="J630" s="301"/>
    </row>
    <row r="631" spans="1:10" ht="19.5" customHeight="1" x14ac:dyDescent="0.3">
      <c r="A631" s="129" t="s">
        <v>1541</v>
      </c>
      <c r="B631" s="127" t="s">
        <v>1598</v>
      </c>
      <c r="C631" s="128" t="s">
        <v>1592</v>
      </c>
      <c r="D631" s="128"/>
      <c r="E631" s="126">
        <f t="shared" si="10"/>
        <v>64200.000000000007</v>
      </c>
      <c r="F631" s="295">
        <v>60000</v>
      </c>
      <c r="J631" s="301"/>
    </row>
    <row r="632" spans="1:10" ht="19.5" customHeight="1" x14ac:dyDescent="0.3">
      <c r="A632" s="129" t="s">
        <v>1540</v>
      </c>
      <c r="B632" s="127" t="s">
        <v>1599</v>
      </c>
      <c r="C632" s="128" t="s">
        <v>26</v>
      </c>
      <c r="D632" s="128"/>
      <c r="E632" s="126">
        <f t="shared" si="10"/>
        <v>535000</v>
      </c>
      <c r="F632" s="295">
        <v>500000</v>
      </c>
      <c r="J632" s="301"/>
    </row>
    <row r="633" spans="1:10" ht="19.5" customHeight="1" x14ac:dyDescent="0.3">
      <c r="A633" s="129" t="s">
        <v>1539</v>
      </c>
      <c r="B633" s="127" t="s">
        <v>1600</v>
      </c>
      <c r="C633" s="128" t="s">
        <v>26</v>
      </c>
      <c r="D633" s="128"/>
      <c r="E633" s="126">
        <f t="shared" si="10"/>
        <v>165850</v>
      </c>
      <c r="F633" s="295">
        <v>155000</v>
      </c>
      <c r="J633" s="301"/>
    </row>
    <row r="634" spans="1:10" ht="19.5" customHeight="1" x14ac:dyDescent="0.3">
      <c r="A634" s="129" t="s">
        <v>1538</v>
      </c>
      <c r="B634" s="127" t="s">
        <v>1601</v>
      </c>
      <c r="C634" s="128" t="s">
        <v>26</v>
      </c>
      <c r="D634" s="128"/>
      <c r="E634" s="126">
        <f t="shared" si="10"/>
        <v>37450</v>
      </c>
      <c r="F634" s="295">
        <v>35000</v>
      </c>
      <c r="J634" s="301"/>
    </row>
    <row r="635" spans="1:10" ht="19.5" customHeight="1" x14ac:dyDescent="0.3">
      <c r="A635" s="129" t="s">
        <v>1537</v>
      </c>
      <c r="B635" s="127" t="s">
        <v>1602</v>
      </c>
      <c r="C635" s="128" t="s">
        <v>3</v>
      </c>
      <c r="D635" s="128"/>
      <c r="E635" s="126">
        <f t="shared" si="10"/>
        <v>160500</v>
      </c>
      <c r="F635" s="295">
        <v>150000</v>
      </c>
      <c r="J635" s="301"/>
    </row>
    <row r="636" spans="1:10" ht="19.5" customHeight="1" x14ac:dyDescent="0.3">
      <c r="A636" s="129" t="s">
        <v>1536</v>
      </c>
      <c r="B636" s="127" t="s">
        <v>1603</v>
      </c>
      <c r="C636" s="128" t="s">
        <v>1592</v>
      </c>
      <c r="D636" s="128"/>
      <c r="E636" s="126">
        <f t="shared" si="10"/>
        <v>107000</v>
      </c>
      <c r="F636" s="295">
        <v>100000</v>
      </c>
      <c r="J636" s="301"/>
    </row>
    <row r="637" spans="1:10" ht="19.5" customHeight="1" x14ac:dyDescent="0.3">
      <c r="A637" s="129" t="s">
        <v>1535</v>
      </c>
      <c r="B637" s="127" t="s">
        <v>1604</v>
      </c>
      <c r="C637" s="128" t="s">
        <v>1592</v>
      </c>
      <c r="D637" s="128"/>
      <c r="E637" s="126">
        <f t="shared" si="10"/>
        <v>64200.000000000007</v>
      </c>
      <c r="F637" s="295">
        <v>60000</v>
      </c>
      <c r="J637" s="301"/>
    </row>
    <row r="638" spans="1:10" ht="19.5" customHeight="1" x14ac:dyDescent="0.3">
      <c r="A638" s="129" t="s">
        <v>1534</v>
      </c>
      <c r="B638" s="127" t="s">
        <v>1605</v>
      </c>
      <c r="C638" s="128" t="s">
        <v>3</v>
      </c>
      <c r="D638" s="128"/>
      <c r="E638" s="126">
        <f t="shared" si="10"/>
        <v>3210</v>
      </c>
      <c r="F638" s="295">
        <v>3000</v>
      </c>
      <c r="J638" s="301"/>
    </row>
    <row r="639" spans="1:10" ht="19.5" customHeight="1" x14ac:dyDescent="0.3">
      <c r="A639" s="129"/>
      <c r="B639" s="127"/>
      <c r="C639" s="128"/>
      <c r="D639" s="128"/>
      <c r="J639" s="301"/>
    </row>
    <row r="640" spans="1:10" ht="19.5" customHeight="1" x14ac:dyDescent="0.3">
      <c r="A640" s="309" t="s">
        <v>1360</v>
      </c>
      <c r="B640" s="308"/>
      <c r="C640" s="309"/>
      <c r="D640" s="309"/>
      <c r="E640" s="126">
        <f t="shared" si="10"/>
        <v>0</v>
      </c>
    </row>
    <row r="641" spans="1:6" ht="19.5" customHeight="1" x14ac:dyDescent="0.3">
      <c r="A641" s="309"/>
      <c r="B641" s="308"/>
      <c r="C641" s="309"/>
      <c r="D641" s="309"/>
      <c r="E641" s="126">
        <f t="shared" si="10"/>
        <v>0</v>
      </c>
    </row>
    <row r="642" spans="1:6" ht="19.5" customHeight="1" x14ac:dyDescent="0.3">
      <c r="A642" s="129" t="s">
        <v>1361</v>
      </c>
      <c r="B642" s="127" t="s">
        <v>1362</v>
      </c>
      <c r="C642" s="128" t="s">
        <v>1363</v>
      </c>
      <c r="D642" s="128">
        <v>1</v>
      </c>
      <c r="E642" s="126">
        <f t="shared" si="10"/>
        <v>0</v>
      </c>
      <c r="F642" s="295">
        <v>0</v>
      </c>
    </row>
    <row r="643" spans="1:6" ht="19.5" customHeight="1" x14ac:dyDescent="0.3">
      <c r="A643" s="129" t="s">
        <v>1364</v>
      </c>
      <c r="B643" s="127" t="s">
        <v>1365</v>
      </c>
      <c r="C643" s="128" t="s">
        <v>1363</v>
      </c>
      <c r="D643" s="128">
        <v>1</v>
      </c>
      <c r="E643" s="126">
        <f t="shared" si="10"/>
        <v>0</v>
      </c>
      <c r="F643" s="295">
        <v>0</v>
      </c>
    </row>
    <row r="644" spans="1:6" ht="19.5" customHeight="1" x14ac:dyDescent="0.3">
      <c r="A644" s="129" t="s">
        <v>1366</v>
      </c>
      <c r="B644" s="127" t="s">
        <v>1367</v>
      </c>
      <c r="C644" s="128" t="s">
        <v>155</v>
      </c>
      <c r="D644" s="128">
        <v>1</v>
      </c>
      <c r="E644" s="126">
        <f t="shared" si="10"/>
        <v>58850</v>
      </c>
      <c r="F644" s="295">
        <v>55000</v>
      </c>
    </row>
    <row r="645" spans="1:6" ht="19.5" customHeight="1" x14ac:dyDescent="0.3">
      <c r="A645" s="129" t="s">
        <v>1368</v>
      </c>
      <c r="B645" s="127" t="s">
        <v>1369</v>
      </c>
      <c r="C645" s="128" t="s">
        <v>1370</v>
      </c>
      <c r="D645" s="128">
        <v>1</v>
      </c>
      <c r="E645" s="126">
        <f t="shared" si="10"/>
        <v>211423.44</v>
      </c>
      <c r="F645" s="295">
        <v>197592</v>
      </c>
    </row>
    <row r="646" spans="1:6" ht="19.5" customHeight="1" x14ac:dyDescent="0.3">
      <c r="A646" s="129" t="s">
        <v>1371</v>
      </c>
      <c r="B646" s="127" t="s">
        <v>1372</v>
      </c>
      <c r="C646" s="128" t="s">
        <v>1370</v>
      </c>
      <c r="D646" s="128">
        <v>1</v>
      </c>
      <c r="E646" s="126">
        <f t="shared" si="10"/>
        <v>77040</v>
      </c>
      <c r="F646" s="295">
        <v>72000</v>
      </c>
    </row>
    <row r="647" spans="1:6" ht="19.5" customHeight="1" x14ac:dyDescent="0.3">
      <c r="A647" s="129" t="s">
        <v>1373</v>
      </c>
      <c r="B647" s="127" t="s">
        <v>1374</v>
      </c>
      <c r="C647" s="128" t="s">
        <v>1363</v>
      </c>
      <c r="D647" s="128"/>
      <c r="E647" s="126">
        <f t="shared" si="10"/>
        <v>749</v>
      </c>
      <c r="F647" s="295">
        <v>700</v>
      </c>
    </row>
    <row r="648" spans="1:6" ht="19.5" customHeight="1" x14ac:dyDescent="0.3">
      <c r="A648" s="129" t="s">
        <v>1375</v>
      </c>
      <c r="B648" s="127" t="s">
        <v>1376</v>
      </c>
      <c r="C648" s="128" t="s">
        <v>155</v>
      </c>
      <c r="D648" s="128">
        <v>1</v>
      </c>
      <c r="E648" s="126">
        <f t="shared" si="10"/>
        <v>163.71</v>
      </c>
      <c r="F648" s="295">
        <v>153</v>
      </c>
    </row>
    <row r="649" spans="1:6" ht="19.5" customHeight="1" x14ac:dyDescent="0.3">
      <c r="A649" s="129" t="s">
        <v>1377</v>
      </c>
      <c r="B649" s="127" t="s">
        <v>1378</v>
      </c>
      <c r="C649" s="128" t="s">
        <v>1370</v>
      </c>
      <c r="D649" s="128">
        <v>1</v>
      </c>
      <c r="E649" s="126">
        <f t="shared" si="10"/>
        <v>154900.69</v>
      </c>
      <c r="F649" s="295">
        <v>144767</v>
      </c>
    </row>
    <row r="650" spans="1:6" ht="19.5" customHeight="1" x14ac:dyDescent="0.3">
      <c r="A650" s="129" t="s">
        <v>1379</v>
      </c>
      <c r="B650" s="127" t="s">
        <v>1380</v>
      </c>
      <c r="C650" s="128" t="s">
        <v>1370</v>
      </c>
      <c r="D650" s="128">
        <v>1</v>
      </c>
      <c r="E650" s="126">
        <f t="shared" si="10"/>
        <v>115560</v>
      </c>
      <c r="F650" s="295">
        <v>108000</v>
      </c>
    </row>
    <row r="651" spans="1:6" ht="19.5" customHeight="1" x14ac:dyDescent="0.3">
      <c r="A651" s="129" t="s">
        <v>1381</v>
      </c>
      <c r="B651" s="127" t="s">
        <v>1382</v>
      </c>
      <c r="C651" s="128" t="s">
        <v>1370</v>
      </c>
      <c r="D651" s="128">
        <v>1</v>
      </c>
      <c r="E651" s="126">
        <f t="shared" si="10"/>
        <v>75485.290000000008</v>
      </c>
      <c r="F651" s="295">
        <v>70547</v>
      </c>
    </row>
    <row r="652" spans="1:6" ht="19.5" customHeight="1" x14ac:dyDescent="0.3">
      <c r="A652" s="129" t="s">
        <v>1383</v>
      </c>
      <c r="B652" s="127" t="s">
        <v>1384</v>
      </c>
      <c r="C652" s="128" t="s">
        <v>155</v>
      </c>
      <c r="D652" s="128">
        <v>1</v>
      </c>
      <c r="E652" s="126">
        <f t="shared" si="10"/>
        <v>105876.5</v>
      </c>
      <c r="F652" s="295">
        <v>98950</v>
      </c>
    </row>
    <row r="653" spans="1:6" ht="19.5" customHeight="1" x14ac:dyDescent="0.3">
      <c r="A653" s="129" t="s">
        <v>1385</v>
      </c>
      <c r="B653" s="127" t="s">
        <v>1386</v>
      </c>
      <c r="C653" s="128" t="s">
        <v>155</v>
      </c>
      <c r="D653" s="128">
        <v>1</v>
      </c>
      <c r="E653" s="126">
        <f t="shared" si="10"/>
        <v>39590</v>
      </c>
      <c r="F653" s="295">
        <v>37000</v>
      </c>
    </row>
    <row r="654" spans="1:6" ht="19.5" customHeight="1" x14ac:dyDescent="0.3">
      <c r="A654" s="129" t="s">
        <v>1387</v>
      </c>
      <c r="B654" s="127" t="s">
        <v>1388</v>
      </c>
      <c r="C654" s="128" t="s">
        <v>1370</v>
      </c>
      <c r="D654" s="128">
        <v>1</v>
      </c>
      <c r="E654" s="126">
        <f t="shared" si="10"/>
        <v>85600</v>
      </c>
      <c r="F654" s="295">
        <v>80000</v>
      </c>
    </row>
    <row r="655" spans="1:6" ht="19.5" customHeight="1" x14ac:dyDescent="0.3">
      <c r="A655" s="129" t="s">
        <v>1389</v>
      </c>
      <c r="B655" s="127" t="s">
        <v>1390</v>
      </c>
      <c r="C655" s="128" t="s">
        <v>1391</v>
      </c>
      <c r="D655" s="128">
        <v>1</v>
      </c>
      <c r="E655" s="126">
        <f t="shared" si="10"/>
        <v>30704.720000000001</v>
      </c>
      <c r="F655" s="295">
        <v>28696</v>
      </c>
    </row>
    <row r="656" spans="1:6" ht="19.5" customHeight="1" x14ac:dyDescent="0.3">
      <c r="A656" s="129" t="s">
        <v>1392</v>
      </c>
      <c r="B656" s="127" t="s">
        <v>1393</v>
      </c>
      <c r="C656" s="128" t="s">
        <v>155</v>
      </c>
      <c r="D656" s="128">
        <v>1</v>
      </c>
      <c r="E656" s="126">
        <f t="shared" si="10"/>
        <v>17120</v>
      </c>
      <c r="F656" s="295">
        <v>16000</v>
      </c>
    </row>
    <row r="657" spans="1:6" ht="19.5" customHeight="1" x14ac:dyDescent="0.3">
      <c r="A657" s="129" t="s">
        <v>1394</v>
      </c>
      <c r="B657" s="127" t="s">
        <v>1395</v>
      </c>
      <c r="C657" s="128" t="s">
        <v>155</v>
      </c>
      <c r="D657" s="128">
        <v>1</v>
      </c>
      <c r="E657" s="126">
        <f t="shared" si="10"/>
        <v>32100.000000000004</v>
      </c>
      <c r="F657" s="295">
        <v>30000</v>
      </c>
    </row>
    <row r="658" spans="1:6" ht="19.5" customHeight="1" x14ac:dyDescent="0.3">
      <c r="A658" s="129" t="s">
        <v>1396</v>
      </c>
      <c r="B658" s="127" t="s">
        <v>1397</v>
      </c>
      <c r="C658" s="128" t="s">
        <v>1363</v>
      </c>
      <c r="D658" s="128">
        <v>1</v>
      </c>
      <c r="E658" s="126">
        <f t="shared" si="10"/>
        <v>0</v>
      </c>
      <c r="F658" s="295">
        <v>0</v>
      </c>
    </row>
    <row r="659" spans="1:6" ht="19.5" customHeight="1" x14ac:dyDescent="0.3">
      <c r="A659" s="129" t="s">
        <v>1398</v>
      </c>
      <c r="B659" s="127" t="s">
        <v>1399</v>
      </c>
      <c r="C659" s="128" t="s">
        <v>155</v>
      </c>
      <c r="D659" s="128">
        <v>1</v>
      </c>
      <c r="E659" s="126">
        <f t="shared" si="10"/>
        <v>27820</v>
      </c>
      <c r="F659" s="295">
        <v>26000</v>
      </c>
    </row>
    <row r="660" spans="1:6" ht="19.5" customHeight="1" x14ac:dyDescent="0.3">
      <c r="A660" s="129" t="s">
        <v>1400</v>
      </c>
      <c r="B660" s="127" t="s">
        <v>1401</v>
      </c>
      <c r="C660" s="128" t="s">
        <v>1370</v>
      </c>
      <c r="D660" s="128">
        <v>1</v>
      </c>
      <c r="E660" s="126">
        <f t="shared" si="10"/>
        <v>168532.49000000002</v>
      </c>
      <c r="F660" s="295">
        <v>157507</v>
      </c>
    </row>
    <row r="661" spans="1:6" ht="19.5" customHeight="1" x14ac:dyDescent="0.3">
      <c r="A661" s="129" t="s">
        <v>1402</v>
      </c>
      <c r="B661" s="127" t="s">
        <v>1403</v>
      </c>
      <c r="C661" s="128" t="s">
        <v>1370</v>
      </c>
      <c r="D661" s="128">
        <v>1</v>
      </c>
      <c r="E661" s="126">
        <f t="shared" si="10"/>
        <v>68371.930000000008</v>
      </c>
      <c r="F661" s="295">
        <v>63899</v>
      </c>
    </row>
    <row r="662" spans="1:6" ht="19.5" customHeight="1" x14ac:dyDescent="0.3">
      <c r="A662" s="129" t="s">
        <v>1404</v>
      </c>
      <c r="B662" s="127" t="s">
        <v>1405</v>
      </c>
      <c r="C662" s="128" t="s">
        <v>155</v>
      </c>
      <c r="D662" s="128">
        <v>1</v>
      </c>
      <c r="E662" s="126">
        <f t="shared" si="10"/>
        <v>33170</v>
      </c>
      <c r="F662" s="295">
        <v>31000</v>
      </c>
    </row>
    <row r="663" spans="1:6" ht="19.5" customHeight="1" x14ac:dyDescent="0.3">
      <c r="A663" s="129" t="s">
        <v>1406</v>
      </c>
      <c r="B663" s="127" t="s">
        <v>1407</v>
      </c>
      <c r="C663" s="128" t="s">
        <v>1370</v>
      </c>
      <c r="D663" s="128">
        <v>1</v>
      </c>
      <c r="E663" s="126">
        <f t="shared" si="10"/>
        <v>118162.24000000001</v>
      </c>
      <c r="F663" s="295">
        <v>110432</v>
      </c>
    </row>
    <row r="664" spans="1:6" ht="19.5" customHeight="1" x14ac:dyDescent="0.3">
      <c r="A664" s="129" t="s">
        <v>1408</v>
      </c>
      <c r="B664" s="127" t="s">
        <v>1409</v>
      </c>
      <c r="C664" s="128" t="s">
        <v>1370</v>
      </c>
      <c r="D664" s="128">
        <v>1</v>
      </c>
      <c r="E664" s="126">
        <f t="shared" si="10"/>
        <v>51003.69</v>
      </c>
      <c r="F664" s="295">
        <v>47667</v>
      </c>
    </row>
    <row r="665" spans="1:6" ht="19.5" customHeight="1" x14ac:dyDescent="0.3">
      <c r="A665" s="129" t="s">
        <v>1410</v>
      </c>
      <c r="B665" s="127" t="s">
        <v>1411</v>
      </c>
      <c r="C665" s="128" t="s">
        <v>1370</v>
      </c>
      <c r="D665" s="128">
        <v>1</v>
      </c>
      <c r="E665" s="126">
        <f t="shared" si="10"/>
        <v>178262</v>
      </c>
      <c r="F665" s="295">
        <v>166600</v>
      </c>
    </row>
    <row r="666" spans="1:6" ht="19.5" customHeight="1" x14ac:dyDescent="0.3">
      <c r="A666" s="129" t="s">
        <v>1412</v>
      </c>
      <c r="B666" s="127" t="s">
        <v>1413</v>
      </c>
      <c r="C666" s="128" t="s">
        <v>155</v>
      </c>
      <c r="D666" s="128">
        <v>1</v>
      </c>
      <c r="E666" s="126">
        <f t="shared" si="10"/>
        <v>15024.94</v>
      </c>
      <c r="F666" s="295">
        <v>14042</v>
      </c>
    </row>
    <row r="667" spans="1:6" ht="19.5" customHeight="1" x14ac:dyDescent="0.3">
      <c r="A667" s="129" t="s">
        <v>1414</v>
      </c>
      <c r="B667" s="127" t="s">
        <v>1415</v>
      </c>
      <c r="C667" s="128" t="s">
        <v>155</v>
      </c>
      <c r="D667" s="128">
        <v>1</v>
      </c>
      <c r="E667" s="126">
        <f t="shared" si="10"/>
        <v>63237.000000000007</v>
      </c>
      <c r="F667" s="295">
        <v>59100</v>
      </c>
    </row>
    <row r="668" spans="1:6" ht="19.5" customHeight="1" x14ac:dyDescent="0.3">
      <c r="A668" s="129" t="s">
        <v>1416</v>
      </c>
      <c r="B668" s="127" t="s">
        <v>1417</v>
      </c>
      <c r="C668" s="128" t="s">
        <v>155</v>
      </c>
      <c r="D668" s="128">
        <v>1</v>
      </c>
      <c r="E668" s="126">
        <f t="shared" si="10"/>
        <v>2675</v>
      </c>
      <c r="F668" s="295">
        <v>2500</v>
      </c>
    </row>
    <row r="669" spans="1:6" ht="19.5" customHeight="1" x14ac:dyDescent="0.3">
      <c r="A669" s="129" t="s">
        <v>1418</v>
      </c>
      <c r="B669" s="127" t="s">
        <v>1419</v>
      </c>
      <c r="C669" s="128" t="s">
        <v>155</v>
      </c>
      <c r="D669" s="128">
        <v>1</v>
      </c>
      <c r="E669" s="126">
        <f t="shared" si="10"/>
        <v>10165</v>
      </c>
      <c r="F669" s="295">
        <v>9500</v>
      </c>
    </row>
    <row r="670" spans="1:6" ht="19.5" customHeight="1" x14ac:dyDescent="0.3">
      <c r="A670" s="129" t="s">
        <v>1420</v>
      </c>
      <c r="B670" s="127" t="s">
        <v>1421</v>
      </c>
      <c r="C670" s="128" t="s">
        <v>1363</v>
      </c>
      <c r="D670" s="128">
        <v>1</v>
      </c>
      <c r="E670" s="126">
        <f t="shared" si="10"/>
        <v>0</v>
      </c>
      <c r="F670" s="295">
        <v>0</v>
      </c>
    </row>
    <row r="671" spans="1:6" ht="19.5" customHeight="1" x14ac:dyDescent="0.3">
      <c r="A671" s="129" t="s">
        <v>1422</v>
      </c>
      <c r="B671" s="127" t="s">
        <v>1423</v>
      </c>
      <c r="C671" s="128" t="s">
        <v>1424</v>
      </c>
      <c r="D671" s="128">
        <v>1</v>
      </c>
      <c r="E671" s="126">
        <f t="shared" si="10"/>
        <v>267500</v>
      </c>
      <c r="F671" s="295">
        <v>250000</v>
      </c>
    </row>
    <row r="672" spans="1:6" ht="19.5" customHeight="1" x14ac:dyDescent="0.3">
      <c r="A672" s="129" t="s">
        <v>1425</v>
      </c>
      <c r="B672" s="127" t="s">
        <v>1426</v>
      </c>
      <c r="C672" s="128" t="s">
        <v>155</v>
      </c>
      <c r="D672" s="128">
        <v>1</v>
      </c>
      <c r="E672" s="126">
        <f t="shared" si="10"/>
        <v>120798.72</v>
      </c>
      <c r="F672" s="295">
        <v>112896</v>
      </c>
    </row>
    <row r="673" spans="1:6" ht="19.5" customHeight="1" x14ac:dyDescent="0.3">
      <c r="A673" s="129" t="s">
        <v>1427</v>
      </c>
      <c r="B673" s="127" t="s">
        <v>1428</v>
      </c>
      <c r="C673" s="128" t="s">
        <v>1391</v>
      </c>
      <c r="D673" s="128">
        <v>1</v>
      </c>
      <c r="E673" s="126">
        <f t="shared" si="10"/>
        <v>600192.96000000008</v>
      </c>
      <c r="F673" s="295">
        <v>560928</v>
      </c>
    </row>
    <row r="674" spans="1:6" ht="19.5" customHeight="1" x14ac:dyDescent="0.3">
      <c r="A674" s="129" t="s">
        <v>1429</v>
      </c>
      <c r="B674" s="127" t="s">
        <v>1430</v>
      </c>
      <c r="C674" s="128" t="s">
        <v>1391</v>
      </c>
      <c r="D674" s="128">
        <v>1</v>
      </c>
      <c r="E674" s="126">
        <f t="shared" si="10"/>
        <v>160500</v>
      </c>
      <c r="F674" s="295">
        <v>150000</v>
      </c>
    </row>
    <row r="675" spans="1:6" ht="19.5" customHeight="1" x14ac:dyDescent="0.3">
      <c r="A675" s="129" t="s">
        <v>1431</v>
      </c>
      <c r="B675" s="127" t="s">
        <v>1432</v>
      </c>
      <c r="C675" s="128" t="s">
        <v>155</v>
      </c>
      <c r="D675" s="128">
        <v>1</v>
      </c>
      <c r="E675" s="126">
        <f t="shared" si="10"/>
        <v>59599</v>
      </c>
      <c r="F675" s="295">
        <v>55700</v>
      </c>
    </row>
    <row r="676" spans="1:6" ht="19.5" customHeight="1" x14ac:dyDescent="0.3">
      <c r="A676" s="129" t="s">
        <v>1433</v>
      </c>
      <c r="B676" s="127" t="s">
        <v>1434</v>
      </c>
      <c r="C676" s="128" t="s">
        <v>155</v>
      </c>
      <c r="D676" s="128">
        <v>1</v>
      </c>
      <c r="E676" s="126">
        <f t="shared" si="10"/>
        <v>28649.25</v>
      </c>
      <c r="F676" s="295">
        <v>26775</v>
      </c>
    </row>
    <row r="677" spans="1:6" ht="19.5" customHeight="1" x14ac:dyDescent="0.3">
      <c r="A677" s="129" t="s">
        <v>1435</v>
      </c>
      <c r="B677" s="127" t="s">
        <v>1436</v>
      </c>
      <c r="C677" s="128" t="s">
        <v>1370</v>
      </c>
      <c r="D677" s="128">
        <v>1</v>
      </c>
      <c r="E677" s="126">
        <f t="shared" si="10"/>
        <v>413040.33</v>
      </c>
      <c r="F677" s="295">
        <v>386019</v>
      </c>
    </row>
    <row r="678" spans="1:6" ht="19.5" customHeight="1" x14ac:dyDescent="0.3">
      <c r="A678" s="129" t="s">
        <v>1437</v>
      </c>
      <c r="B678" s="127" t="s">
        <v>1438</v>
      </c>
      <c r="C678" s="128" t="s">
        <v>1439</v>
      </c>
      <c r="D678" s="128">
        <v>1</v>
      </c>
      <c r="E678" s="126">
        <f t="shared" si="10"/>
        <v>4280</v>
      </c>
      <c r="F678" s="295">
        <v>4000</v>
      </c>
    </row>
    <row r="679" spans="1:6" ht="19.5" customHeight="1" x14ac:dyDescent="0.3">
      <c r="A679" s="129" t="s">
        <v>1440</v>
      </c>
      <c r="B679" s="127" t="s">
        <v>1441</v>
      </c>
      <c r="C679" s="128" t="s">
        <v>1370</v>
      </c>
      <c r="D679" s="128">
        <v>1</v>
      </c>
      <c r="E679" s="126">
        <f t="shared" si="10"/>
        <v>178262</v>
      </c>
      <c r="F679" s="295">
        <v>166600</v>
      </c>
    </row>
    <row r="680" spans="1:6" ht="19.5" customHeight="1" x14ac:dyDescent="0.3">
      <c r="A680" s="129" t="s">
        <v>1442</v>
      </c>
      <c r="B680" s="127" t="s">
        <v>1443</v>
      </c>
      <c r="C680" s="128" t="s">
        <v>155</v>
      </c>
      <c r="D680" s="128">
        <v>1</v>
      </c>
      <c r="E680" s="126">
        <f t="shared" si="10"/>
        <v>75396.48000000001</v>
      </c>
      <c r="F680" s="295">
        <v>70464</v>
      </c>
    </row>
    <row r="681" spans="1:6" ht="19.5" customHeight="1" x14ac:dyDescent="0.3">
      <c r="A681" s="129" t="s">
        <v>1444</v>
      </c>
      <c r="B681" s="127" t="s">
        <v>1445</v>
      </c>
      <c r="C681" s="128" t="s">
        <v>42</v>
      </c>
      <c r="D681" s="128">
        <v>1</v>
      </c>
      <c r="E681" s="126">
        <f t="shared" si="10"/>
        <v>36277.279999999999</v>
      </c>
      <c r="F681" s="295">
        <v>33904</v>
      </c>
    </row>
    <row r="682" spans="1:6" ht="19.5" customHeight="1" x14ac:dyDescent="0.3">
      <c r="A682" s="129" t="s">
        <v>1446</v>
      </c>
      <c r="B682" s="127" t="s">
        <v>1447</v>
      </c>
      <c r="C682" s="128" t="s">
        <v>155</v>
      </c>
      <c r="D682" s="128">
        <v>1</v>
      </c>
      <c r="E682" s="126">
        <f t="shared" si="10"/>
        <v>308.16000000000003</v>
      </c>
      <c r="F682" s="295">
        <v>288</v>
      </c>
    </row>
    <row r="683" spans="1:6" ht="19.5" customHeight="1" x14ac:dyDescent="0.3">
      <c r="A683" s="129" t="s">
        <v>1448</v>
      </c>
      <c r="B683" s="127" t="s">
        <v>1449</v>
      </c>
      <c r="C683" s="128" t="s">
        <v>1391</v>
      </c>
      <c r="D683" s="128">
        <v>1</v>
      </c>
      <c r="E683" s="126">
        <f t="shared" si="10"/>
        <v>299.60000000000002</v>
      </c>
      <c r="F683" s="324">
        <v>280</v>
      </c>
    </row>
    <row r="684" spans="1:6" ht="19.5" customHeight="1" x14ac:dyDescent="0.3">
      <c r="A684" s="129" t="s">
        <v>1450</v>
      </c>
      <c r="B684" s="127" t="s">
        <v>1451</v>
      </c>
      <c r="C684" s="128" t="s">
        <v>1391</v>
      </c>
      <c r="D684" s="128">
        <v>1</v>
      </c>
      <c r="E684" s="126">
        <f t="shared" si="10"/>
        <v>342.40000000000003</v>
      </c>
      <c r="F684" s="295">
        <v>320</v>
      </c>
    </row>
    <row r="685" spans="1:6" ht="19.5" customHeight="1" x14ac:dyDescent="0.3">
      <c r="A685" s="129" t="s">
        <v>1452</v>
      </c>
      <c r="B685" s="127" t="s">
        <v>1453</v>
      </c>
      <c r="C685" s="128" t="s">
        <v>1391</v>
      </c>
      <c r="D685" s="128">
        <v>1</v>
      </c>
      <c r="E685" s="126">
        <f t="shared" si="10"/>
        <v>321</v>
      </c>
      <c r="F685" s="295">
        <v>300</v>
      </c>
    </row>
    <row r="686" spans="1:6" ht="19.5" customHeight="1" x14ac:dyDescent="0.3">
      <c r="A686" s="129" t="s">
        <v>1454</v>
      </c>
      <c r="B686" s="127" t="s">
        <v>1455</v>
      </c>
      <c r="C686" s="128" t="s">
        <v>155</v>
      </c>
      <c r="D686" s="128">
        <v>1</v>
      </c>
      <c r="E686" s="126">
        <f t="shared" si="10"/>
        <v>19260</v>
      </c>
      <c r="F686" s="295">
        <v>18000</v>
      </c>
    </row>
    <row r="687" spans="1:6" ht="19.5" customHeight="1" x14ac:dyDescent="0.3">
      <c r="A687" s="129" t="s">
        <v>1456</v>
      </c>
      <c r="B687" s="127" t="s">
        <v>1457</v>
      </c>
      <c r="C687" s="128" t="s">
        <v>1370</v>
      </c>
      <c r="D687" s="128">
        <v>1</v>
      </c>
      <c r="E687" s="126">
        <f t="shared" si="10"/>
        <v>309785.33</v>
      </c>
      <c r="F687" s="295">
        <v>289519</v>
      </c>
    </row>
    <row r="688" spans="1:6" ht="19.5" customHeight="1" x14ac:dyDescent="0.3">
      <c r="A688" s="129" t="s">
        <v>1458</v>
      </c>
      <c r="B688" s="127" t="s">
        <v>1459</v>
      </c>
      <c r="C688" s="128" t="s">
        <v>155</v>
      </c>
      <c r="D688" s="128">
        <v>1</v>
      </c>
      <c r="E688" s="126">
        <f t="shared" si="10"/>
        <v>7490</v>
      </c>
      <c r="F688" s="295">
        <v>7000</v>
      </c>
    </row>
    <row r="689" spans="1:9" ht="19.5" customHeight="1" x14ac:dyDescent="0.3">
      <c r="A689" s="129" t="s">
        <v>1460</v>
      </c>
      <c r="B689" s="127" t="s">
        <v>1461</v>
      </c>
      <c r="C689" s="128" t="s">
        <v>1462</v>
      </c>
      <c r="D689" s="128">
        <v>1</v>
      </c>
      <c r="E689" s="126">
        <f t="shared" si="10"/>
        <v>31832.500000000004</v>
      </c>
      <c r="F689" s="295">
        <v>29750</v>
      </c>
    </row>
    <row r="690" spans="1:9" ht="19.5" customHeight="1" x14ac:dyDescent="0.3">
      <c r="A690" s="129" t="s">
        <v>1463</v>
      </c>
      <c r="B690" s="127" t="s">
        <v>1464</v>
      </c>
      <c r="C690" s="128" t="s">
        <v>1370</v>
      </c>
      <c r="D690" s="128">
        <v>1</v>
      </c>
      <c r="E690" s="126">
        <f t="shared" si="10"/>
        <v>53478.600000000006</v>
      </c>
      <c r="F690" s="295">
        <v>49980</v>
      </c>
    </row>
    <row r="691" spans="1:9" ht="19.5" customHeight="1" x14ac:dyDescent="0.3">
      <c r="A691" s="129" t="s">
        <v>1465</v>
      </c>
      <c r="B691" s="127" t="s">
        <v>1466</v>
      </c>
      <c r="C691" s="128" t="s">
        <v>1370</v>
      </c>
      <c r="D691" s="128">
        <v>1</v>
      </c>
      <c r="E691" s="126">
        <f t="shared" si="10"/>
        <v>343403.66000000003</v>
      </c>
      <c r="F691" s="295">
        <v>320938</v>
      </c>
    </row>
    <row r="692" spans="1:9" ht="19.5" customHeight="1" x14ac:dyDescent="0.3">
      <c r="A692" s="129" t="s">
        <v>1467</v>
      </c>
      <c r="B692" s="127" t="s">
        <v>1468</v>
      </c>
      <c r="C692" s="128" t="s">
        <v>1370</v>
      </c>
      <c r="D692" s="128">
        <v>1</v>
      </c>
      <c r="E692" s="126">
        <f t="shared" si="10"/>
        <v>327533.42000000004</v>
      </c>
      <c r="F692" s="295">
        <v>306106</v>
      </c>
    </row>
    <row r="693" spans="1:9" ht="19.5" customHeight="1" x14ac:dyDescent="0.3">
      <c r="A693" s="129" t="s">
        <v>1469</v>
      </c>
      <c r="B693" s="127" t="s">
        <v>1470</v>
      </c>
      <c r="C693" s="128" t="s">
        <v>1471</v>
      </c>
      <c r="D693" s="128"/>
      <c r="E693" s="126">
        <f t="shared" si="10"/>
        <v>0</v>
      </c>
      <c r="F693" s="295">
        <v>0</v>
      </c>
    </row>
    <row r="694" spans="1:9" ht="19.5" customHeight="1" x14ac:dyDescent="0.3">
      <c r="A694" s="129" t="s">
        <v>1472</v>
      </c>
      <c r="B694" s="127" t="s">
        <v>1137</v>
      </c>
      <c r="C694" s="128" t="s">
        <v>155</v>
      </c>
      <c r="D694" s="128">
        <v>1</v>
      </c>
      <c r="E694" s="126">
        <f t="shared" si="10"/>
        <v>642</v>
      </c>
      <c r="F694" s="295">
        <v>600</v>
      </c>
    </row>
    <row r="695" spans="1:9" ht="19.5" customHeight="1" x14ac:dyDescent="0.3">
      <c r="A695" s="129" t="s">
        <v>1473</v>
      </c>
      <c r="B695" s="127" t="s">
        <v>1474</v>
      </c>
      <c r="C695" s="128" t="s">
        <v>155</v>
      </c>
      <c r="D695" s="128">
        <v>1</v>
      </c>
      <c r="E695" s="126">
        <f t="shared" si="10"/>
        <v>18190</v>
      </c>
      <c r="F695" s="295">
        <v>17000</v>
      </c>
    </row>
    <row r="696" spans="1:9" ht="19.5" customHeight="1" x14ac:dyDescent="0.3">
      <c r="A696" s="129" t="s">
        <v>1475</v>
      </c>
      <c r="B696" s="127" t="s">
        <v>1476</v>
      </c>
      <c r="C696" s="128" t="s">
        <v>155</v>
      </c>
      <c r="D696" s="128">
        <v>1</v>
      </c>
      <c r="E696" s="126">
        <f t="shared" si="10"/>
        <v>21400</v>
      </c>
      <c r="F696" s="295">
        <v>20000</v>
      </c>
    </row>
    <row r="697" spans="1:9" ht="19.5" customHeight="1" x14ac:dyDescent="0.3">
      <c r="A697" s="129" t="s">
        <v>1477</v>
      </c>
      <c r="B697" s="127" t="s">
        <v>1478</v>
      </c>
      <c r="C697" s="128" t="s">
        <v>155</v>
      </c>
      <c r="D697" s="128">
        <v>1</v>
      </c>
      <c r="E697" s="126">
        <f t="shared" si="10"/>
        <v>40660</v>
      </c>
      <c r="F697" s="295">
        <v>38000</v>
      </c>
    </row>
    <row r="698" spans="1:9" ht="19.5" customHeight="1" x14ac:dyDescent="0.3">
      <c r="A698" s="129" t="s">
        <v>1479</v>
      </c>
      <c r="B698" s="127" t="s">
        <v>1480</v>
      </c>
      <c r="C698" s="128" t="s">
        <v>155</v>
      </c>
      <c r="D698" s="128">
        <v>1</v>
      </c>
      <c r="E698" s="126">
        <f t="shared" ref="E698:E706" si="11">+F698*(1+$E$29)</f>
        <v>76158.320000000007</v>
      </c>
      <c r="F698" s="295">
        <v>71176</v>
      </c>
    </row>
    <row r="699" spans="1:9" ht="19.5" customHeight="1" x14ac:dyDescent="0.3">
      <c r="A699" s="129" t="s">
        <v>1481</v>
      </c>
      <c r="B699" s="127" t="s">
        <v>1482</v>
      </c>
      <c r="C699" s="128" t="s">
        <v>1391</v>
      </c>
      <c r="D699" s="128">
        <v>1</v>
      </c>
      <c r="E699" s="126">
        <f t="shared" si="11"/>
        <v>42800</v>
      </c>
      <c r="F699" s="295">
        <v>40000</v>
      </c>
      <c r="I699" s="131"/>
    </row>
    <row r="700" spans="1:9" ht="19.5" customHeight="1" x14ac:dyDescent="0.3">
      <c r="A700" s="129" t="s">
        <v>1483</v>
      </c>
      <c r="B700" s="127" t="s">
        <v>1484</v>
      </c>
      <c r="C700" s="128" t="s">
        <v>1391</v>
      </c>
      <c r="D700" s="128">
        <v>1</v>
      </c>
      <c r="E700" s="126">
        <f t="shared" si="11"/>
        <v>53500</v>
      </c>
      <c r="F700" s="295">
        <v>50000</v>
      </c>
      <c r="I700" s="131"/>
    </row>
    <row r="701" spans="1:9" ht="19.5" customHeight="1" x14ac:dyDescent="0.3">
      <c r="A701" s="129" t="s">
        <v>1485</v>
      </c>
      <c r="B701" s="127" t="s">
        <v>1486</v>
      </c>
      <c r="C701" s="128" t="s">
        <v>1391</v>
      </c>
      <c r="D701" s="128">
        <v>1</v>
      </c>
      <c r="E701" s="126">
        <f t="shared" si="11"/>
        <v>21400</v>
      </c>
      <c r="F701" s="295">
        <v>20000</v>
      </c>
      <c r="I701" s="131"/>
    </row>
    <row r="702" spans="1:9" ht="19.5" customHeight="1" x14ac:dyDescent="0.3">
      <c r="A702" s="129" t="s">
        <v>1487</v>
      </c>
      <c r="B702" s="127" t="s">
        <v>1488</v>
      </c>
      <c r="C702" s="128" t="s">
        <v>1517</v>
      </c>
      <c r="D702" s="128">
        <v>1</v>
      </c>
      <c r="E702" s="126">
        <f t="shared" si="11"/>
        <v>39590</v>
      </c>
      <c r="F702" s="295">
        <v>37000</v>
      </c>
      <c r="I702" s="131"/>
    </row>
    <row r="703" spans="1:9" ht="19.5" customHeight="1" x14ac:dyDescent="0.3">
      <c r="A703" s="129" t="s">
        <v>1489</v>
      </c>
      <c r="B703" s="127" t="s">
        <v>1490</v>
      </c>
      <c r="C703" s="128" t="s">
        <v>1370</v>
      </c>
      <c r="D703" s="128">
        <v>1</v>
      </c>
      <c r="E703" s="126">
        <f t="shared" si="11"/>
        <v>283550</v>
      </c>
      <c r="F703" s="295">
        <v>265000</v>
      </c>
      <c r="I703" s="131"/>
    </row>
    <row r="704" spans="1:9" ht="19.5" customHeight="1" x14ac:dyDescent="0.3">
      <c r="A704" s="129" t="s">
        <v>1491</v>
      </c>
      <c r="B704" s="127" t="s">
        <v>1492</v>
      </c>
      <c r="C704" s="128" t="s">
        <v>1370</v>
      </c>
      <c r="D704" s="128">
        <v>1</v>
      </c>
      <c r="E704" s="126">
        <f t="shared" si="11"/>
        <v>123050</v>
      </c>
      <c r="F704" s="295">
        <v>115000</v>
      </c>
      <c r="I704" s="131"/>
    </row>
    <row r="705" spans="1:6" ht="19.5" customHeight="1" x14ac:dyDescent="0.3">
      <c r="A705" s="129" t="s">
        <v>1493</v>
      </c>
      <c r="B705" s="127" t="s">
        <v>1494</v>
      </c>
      <c r="C705" s="128" t="s">
        <v>26</v>
      </c>
      <c r="D705" s="128">
        <v>1</v>
      </c>
      <c r="E705" s="126">
        <f t="shared" si="11"/>
        <v>19923.400000000001</v>
      </c>
      <c r="F705" s="295">
        <v>18620</v>
      </c>
    </row>
    <row r="706" spans="1:6" ht="19.5" customHeight="1" x14ac:dyDescent="0.3">
      <c r="A706" s="129" t="s">
        <v>1495</v>
      </c>
      <c r="B706" s="127" t="s">
        <v>1496</v>
      </c>
      <c r="C706" s="75" t="s">
        <v>26</v>
      </c>
      <c r="D706" s="75">
        <v>1</v>
      </c>
      <c r="E706" s="126">
        <f t="shared" si="11"/>
        <v>127617.83</v>
      </c>
      <c r="F706" s="295">
        <v>119269</v>
      </c>
    </row>
    <row r="707" spans="1:6" ht="19.5" customHeight="1" x14ac:dyDescent="0.3">
      <c r="A707" s="129"/>
      <c r="B707" s="127"/>
    </row>
    <row r="708" spans="1:6" ht="19.5" customHeight="1" x14ac:dyDescent="0.3">
      <c r="A708" s="129"/>
      <c r="B708" s="127"/>
    </row>
    <row r="709" spans="1:6" ht="54.75" customHeight="1" x14ac:dyDescent="0.3">
      <c r="A709" s="129"/>
      <c r="B709" s="127"/>
    </row>
    <row r="710" spans="1:6" ht="50.25" customHeight="1" x14ac:dyDescent="0.3">
      <c r="E710" s="310"/>
    </row>
    <row r="711" spans="1:6" ht="45" customHeight="1" x14ac:dyDescent="0.3">
      <c r="E711" s="310"/>
    </row>
    <row r="712" spans="1:6" ht="48.75" customHeight="1" x14ac:dyDescent="0.3">
      <c r="E712" s="310"/>
    </row>
    <row r="713" spans="1:6" ht="19.5" customHeight="1" x14ac:dyDescent="0.3">
      <c r="E713" s="310"/>
    </row>
    <row r="714" spans="1:6" ht="19.5" customHeight="1" x14ac:dyDescent="0.3">
      <c r="E714" s="310"/>
    </row>
    <row r="715" spans="1:6" ht="82.5" customHeight="1" x14ac:dyDescent="0.3">
      <c r="E715" s="310"/>
    </row>
    <row r="716" spans="1:6" s="295" customFormat="1" ht="32.25" customHeight="1" x14ac:dyDescent="0.3">
      <c r="A716" s="129"/>
      <c r="B716" s="296"/>
      <c r="C716" s="75"/>
      <c r="D716" s="75"/>
      <c r="E716" s="310"/>
    </row>
    <row r="717" spans="1:6" s="295" customFormat="1" ht="19.5" customHeight="1" x14ac:dyDescent="0.3">
      <c r="A717" s="313"/>
      <c r="B717" s="296"/>
      <c r="C717" s="75"/>
      <c r="D717" s="75"/>
      <c r="E717" s="310"/>
    </row>
    <row r="718" spans="1:6" s="295" customFormat="1" ht="19.5" customHeight="1" x14ac:dyDescent="0.3">
      <c r="A718" s="313"/>
      <c r="B718" s="296"/>
      <c r="C718" s="75"/>
      <c r="D718" s="75"/>
      <c r="E718" s="310"/>
    </row>
    <row r="719" spans="1:6" s="295" customFormat="1" ht="19.5" customHeight="1" x14ac:dyDescent="0.3">
      <c r="A719" s="313"/>
      <c r="B719" s="296"/>
      <c r="C719" s="75"/>
      <c r="D719" s="75"/>
      <c r="E719" s="310"/>
    </row>
    <row r="1740" spans="7:7" ht="19.5" customHeight="1" x14ac:dyDescent="0.3">
      <c r="G1740" s="311"/>
    </row>
  </sheetData>
  <mergeCells count="3">
    <mergeCell ref="A2:E2"/>
    <mergeCell ref="A4:E4"/>
    <mergeCell ref="A26:E27"/>
  </mergeCells>
  <conditionalFormatting sqref="A167">
    <cfRule type="duplicateValues" dxfId="4" priority="5"/>
  </conditionalFormatting>
  <conditionalFormatting sqref="A182:A183">
    <cfRule type="duplicateValues" dxfId="3" priority="4"/>
  </conditionalFormatting>
  <conditionalFormatting sqref="A203">
    <cfRule type="duplicateValues" dxfId="2" priority="3"/>
  </conditionalFormatting>
  <conditionalFormatting sqref="A469">
    <cfRule type="duplicateValues" dxfId="1" priority="2"/>
  </conditionalFormatting>
  <conditionalFormatting sqref="A566">
    <cfRule type="duplicateValues" dxfId="0" priority="1"/>
  </conditionalFormatting>
  <pageMargins left="0.5" right="0.5" top="0.5" bottom="0.5" header="0" footer="0"/>
  <pageSetup scale="47" fitToWidth="2" fitToHeight="0" orientation="landscape" r:id="rId1"/>
  <headerFooter>
    <oddHeader>&amp;L&amp;"+,Regular"&amp;16&amp;K04+035Customer&amp;"-,Regular"&amp;K01+000 Contacts</oddHeader>
    <oddFooter>Page &amp;P of &amp;N</oddFooter>
  </headerFooter>
  <rowBreaks count="3" manualBreakCount="3">
    <brk id="512" max="5" man="1"/>
    <brk id="565" max="5" man="1"/>
    <brk id="639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</sheetPr>
  <dimension ref="A2:S13"/>
  <sheetViews>
    <sheetView zoomScale="80" zoomScaleNormal="80" workbookViewId="0">
      <selection activeCell="D16" sqref="D16"/>
    </sheetView>
  </sheetViews>
  <sheetFormatPr baseColWidth="10" defaultColWidth="14.44140625" defaultRowHeight="15" customHeight="1" x14ac:dyDescent="0.25"/>
  <cols>
    <col min="1" max="1" width="14.44140625" style="6"/>
    <col min="2" max="2" width="8.88671875" style="6" bestFit="1" customWidth="1"/>
    <col min="3" max="3" width="12.6640625" style="6" customWidth="1"/>
    <col min="4" max="4" width="12" style="6" customWidth="1"/>
    <col min="5" max="5" width="13.5546875" style="6" customWidth="1"/>
    <col min="6" max="6" width="15.109375" style="6" bestFit="1" customWidth="1"/>
    <col min="7" max="7" width="14.44140625" style="6"/>
    <col min="8" max="8" width="16.44140625" style="6" customWidth="1"/>
    <col min="9" max="16384" width="14.44140625" style="6"/>
  </cols>
  <sheetData>
    <row r="2" spans="1:19" ht="15" customHeight="1" x14ac:dyDescent="0.3">
      <c r="A2" s="619" t="s">
        <v>1678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20"/>
    </row>
    <row r="4" spans="1:19" s="326" customFormat="1" ht="15" customHeight="1" x14ac:dyDescent="0.25">
      <c r="A4" s="327" t="s">
        <v>0</v>
      </c>
    </row>
    <row r="5" spans="1:19" s="329" customFormat="1" ht="41.4" x14ac:dyDescent="0.3">
      <c r="A5" s="330" t="s">
        <v>1679</v>
      </c>
      <c r="B5" s="330" t="s">
        <v>1680</v>
      </c>
      <c r="C5" s="330" t="s">
        <v>1685</v>
      </c>
      <c r="D5" s="330" t="s">
        <v>1692</v>
      </c>
      <c r="E5" s="330" t="s">
        <v>1693</v>
      </c>
      <c r="F5" s="330" t="s">
        <v>1681</v>
      </c>
      <c r="G5" s="330" t="s">
        <v>1696</v>
      </c>
      <c r="H5" s="330" t="s">
        <v>1697</v>
      </c>
      <c r="I5" s="330" t="s">
        <v>1704</v>
      </c>
      <c r="J5" s="330" t="s">
        <v>1698</v>
      </c>
      <c r="K5" s="330" t="s">
        <v>1699</v>
      </c>
      <c r="L5" s="330" t="s">
        <v>1700</v>
      </c>
      <c r="M5" s="330" t="s">
        <v>1682</v>
      </c>
      <c r="N5" s="330" t="s">
        <v>1683</v>
      </c>
      <c r="O5" s="330" t="s">
        <v>1686</v>
      </c>
    </row>
    <row r="6" spans="1:19" s="7" customFormat="1" ht="15" customHeight="1" x14ac:dyDescent="0.3">
      <c r="A6" s="331" t="s">
        <v>1834</v>
      </c>
      <c r="B6" s="331" t="s">
        <v>1835</v>
      </c>
      <c r="C6" s="331">
        <v>2</v>
      </c>
      <c r="D6" s="332">
        <v>45.15</v>
      </c>
      <c r="E6" s="331">
        <v>16</v>
      </c>
      <c r="F6" s="331" t="s">
        <v>1684</v>
      </c>
      <c r="G6" s="332">
        <v>1589.82</v>
      </c>
      <c r="H6" s="332">
        <v>1589.83</v>
      </c>
      <c r="I6" s="332">
        <f>D6*1*AVERAGE((G6-J6),(H6-K6))</f>
        <v>65.467499999996917</v>
      </c>
      <c r="J6" s="332">
        <v>1588.42</v>
      </c>
      <c r="K6" s="332">
        <v>1588.33</v>
      </c>
      <c r="L6" s="332">
        <v>6.1</v>
      </c>
      <c r="M6" s="644">
        <f>ROUND(30/145*D6,0)</f>
        <v>9</v>
      </c>
      <c r="N6" s="331">
        <v>2</v>
      </c>
      <c r="O6" s="331"/>
    </row>
    <row r="7" spans="1:19" s="7" customFormat="1" ht="15" customHeight="1" x14ac:dyDescent="0.3">
      <c r="A7" s="331" t="s">
        <v>1835</v>
      </c>
      <c r="B7" s="331" t="s">
        <v>1836</v>
      </c>
      <c r="C7" s="331">
        <v>1</v>
      </c>
      <c r="D7" s="332">
        <v>46.6</v>
      </c>
      <c r="E7" s="331">
        <v>16</v>
      </c>
      <c r="F7" s="331" t="s">
        <v>1684</v>
      </c>
      <c r="G7" s="332">
        <f>+H6</f>
        <v>1589.83</v>
      </c>
      <c r="H7" s="332">
        <v>1589.58</v>
      </c>
      <c r="I7" s="332">
        <f t="shared" ref="I7:I8" si="0">D7*1*AVERAGE((G7-J7),(H7-K7))</f>
        <v>135.13999999999893</v>
      </c>
      <c r="J7" s="332">
        <v>1587.27</v>
      </c>
      <c r="K7" s="332">
        <v>1586.34</v>
      </c>
      <c r="L7" s="332">
        <v>6.5</v>
      </c>
      <c r="M7" s="644">
        <f>ROUND(30/145*D7,0)</f>
        <v>10</v>
      </c>
      <c r="N7" s="331">
        <v>2</v>
      </c>
      <c r="O7" s="331"/>
    </row>
    <row r="8" spans="1:19" s="7" customFormat="1" ht="15" customHeight="1" x14ac:dyDescent="0.3">
      <c r="A8" s="331" t="s">
        <v>1837</v>
      </c>
      <c r="B8" s="331" t="s">
        <v>1836</v>
      </c>
      <c r="C8" s="331">
        <v>1</v>
      </c>
      <c r="D8" s="332">
        <v>53.49</v>
      </c>
      <c r="E8" s="331">
        <v>16</v>
      </c>
      <c r="F8" s="331" t="s">
        <v>1684</v>
      </c>
      <c r="G8" s="332">
        <f>+H7</f>
        <v>1589.58</v>
      </c>
      <c r="H8" s="332">
        <v>1590.42</v>
      </c>
      <c r="I8" s="332">
        <f t="shared" si="0"/>
        <v>117.9454500000022</v>
      </c>
      <c r="J8" s="332">
        <v>1589.29</v>
      </c>
      <c r="K8" s="332">
        <v>1586.3</v>
      </c>
      <c r="L8" s="332">
        <v>7</v>
      </c>
      <c r="M8" s="644">
        <f>ROUND(30/145*D8,0)</f>
        <v>11</v>
      </c>
      <c r="N8" s="331">
        <v>2</v>
      </c>
      <c r="O8" s="331"/>
    </row>
    <row r="9" spans="1:19" s="7" customFormat="1" ht="15" customHeight="1" x14ac:dyDescent="0.3"/>
    <row r="10" spans="1:19" s="7" customFormat="1" ht="15" customHeight="1" x14ac:dyDescent="0.3">
      <c r="A10" s="328" t="s">
        <v>8</v>
      </c>
      <c r="P10" s="328" t="s">
        <v>1844</v>
      </c>
    </row>
    <row r="11" spans="1:19" s="7" customFormat="1" ht="55.2" x14ac:dyDescent="0.3">
      <c r="A11" s="330" t="s">
        <v>1679</v>
      </c>
      <c r="B11" s="330" t="s">
        <v>1680</v>
      </c>
      <c r="C11" s="330" t="s">
        <v>1692</v>
      </c>
      <c r="D11" s="330" t="s">
        <v>1693</v>
      </c>
      <c r="E11" s="330" t="s">
        <v>1681</v>
      </c>
      <c r="F11" s="330" t="s">
        <v>1689</v>
      </c>
      <c r="G11" s="330" t="s">
        <v>1695</v>
      </c>
      <c r="H11" s="330" t="s">
        <v>1694</v>
      </c>
      <c r="I11" s="330" t="s">
        <v>1691</v>
      </c>
      <c r="J11" s="330" t="s">
        <v>1690</v>
      </c>
      <c r="K11" s="330" t="s">
        <v>1701</v>
      </c>
      <c r="L11" s="330" t="s">
        <v>1702</v>
      </c>
      <c r="M11" s="330" t="s">
        <v>1703</v>
      </c>
      <c r="N11" s="330"/>
      <c r="P11" s="330" t="s">
        <v>1845</v>
      </c>
      <c r="Q11" s="330" t="s">
        <v>1846</v>
      </c>
      <c r="R11" s="330" t="s">
        <v>1847</v>
      </c>
    </row>
    <row r="12" spans="1:19" s="7" customFormat="1" ht="15" customHeight="1" x14ac:dyDescent="0.3">
      <c r="A12" s="331" t="s">
        <v>1687</v>
      </c>
      <c r="B12" s="331" t="s">
        <v>1688</v>
      </c>
      <c r="C12" s="332">
        <f>+D6+D7+D8</f>
        <v>145.24</v>
      </c>
      <c r="D12" s="333">
        <v>3</v>
      </c>
      <c r="E12" s="331" t="s">
        <v>1684</v>
      </c>
      <c r="F12" s="331">
        <f>+M6+M7+M8</f>
        <v>30</v>
      </c>
      <c r="G12" s="332">
        <v>2</v>
      </c>
      <c r="H12" s="332">
        <v>2</v>
      </c>
      <c r="I12" s="332">
        <v>1</v>
      </c>
      <c r="J12" s="333">
        <f>2*C12*1.2</f>
        <v>348.57600000000002</v>
      </c>
      <c r="K12" s="331">
        <f>+C12*2</f>
        <v>290.48</v>
      </c>
      <c r="L12" s="331">
        <f>+(D6*L6)+(D7*L7)+(D8*L8)</f>
        <v>952.74500000000012</v>
      </c>
      <c r="M12" s="332">
        <f>6*2</f>
        <v>12</v>
      </c>
      <c r="N12" s="332"/>
      <c r="P12" s="7">
        <f>20*1.2*SUM(C6:C8)</f>
        <v>96</v>
      </c>
      <c r="Q12" s="7">
        <f>2*7*26</f>
        <v>364</v>
      </c>
      <c r="R12" s="7">
        <f>3.5*3.5*26*SUM(N6:N8)</f>
        <v>1911</v>
      </c>
      <c r="S12" s="7">
        <f>+P12+Q12+R12</f>
        <v>2371</v>
      </c>
    </row>
    <row r="13" spans="1:19" ht="15" customHeight="1" x14ac:dyDescent="0.25">
      <c r="P13" s="647"/>
      <c r="Q13" s="647"/>
      <c r="R13" s="647"/>
      <c r="S13" s="647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11</vt:i4>
      </vt:variant>
    </vt:vector>
  </HeadingPairs>
  <TitlesOfParts>
    <vt:vector size="19" baseType="lpstr">
      <vt:lpstr>Presupuesto_OFICIAL</vt:lpstr>
      <vt:lpstr>APUS</vt:lpstr>
      <vt:lpstr>AU</vt:lpstr>
      <vt:lpstr>Interventoria</vt:lpstr>
      <vt:lpstr>F.M. INTERV</vt:lpstr>
      <vt:lpstr>MO</vt:lpstr>
      <vt:lpstr>BD</vt:lpstr>
      <vt:lpstr>Cantidades</vt:lpstr>
      <vt:lpstr>APUS!Área_de_impresión</vt:lpstr>
      <vt:lpstr>AU!Área_de_impresión</vt:lpstr>
      <vt:lpstr>BD!Área_de_impresión</vt:lpstr>
      <vt:lpstr>Interventoria!Área_de_impresión</vt:lpstr>
      <vt:lpstr>MO!Área_de_impresión</vt:lpstr>
      <vt:lpstr>Presupuesto_OFICIAL!Área_de_impresión</vt:lpstr>
      <vt:lpstr>APUS!Títulos_a_imprimir</vt:lpstr>
      <vt:lpstr>AU!Títulos_a_imprimir</vt:lpstr>
      <vt:lpstr>BD!Títulos_a_imprimir</vt:lpstr>
      <vt:lpstr>Interventoria!Títulos_a_imprimir</vt:lpstr>
      <vt:lpstr>Presupuesto_OFICIAL!Títulos_a_imprimir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DAVID CASTRILLON</cp:lastModifiedBy>
  <cp:lastPrinted>2021-08-25T20:16:32Z</cp:lastPrinted>
  <dcterms:created xsi:type="dcterms:W3CDTF">2020-08-28T01:35:27Z</dcterms:created>
  <dcterms:modified xsi:type="dcterms:W3CDTF">2022-12-01T14:38:12Z</dcterms:modified>
</cp:coreProperties>
</file>