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guevara\Desktop\invias\Procesos de Contratación 2019\SELECCION ABREVIADA MENOR CUANTIA\SA-MC-DT-CAL-009-2019\"/>
    </mc:Choice>
  </mc:AlternateContent>
  <xr:revisionPtr revIDLastSave="0" documentId="10_ncr:100000_{05FCD174-08F6-4196-8319-632016A94DFD}" xr6:coauthVersionLast="31" xr6:coauthVersionMax="31" xr10:uidLastSave="{00000000-0000-0000-0000-000000000000}"/>
  <bookViews>
    <workbookView xWindow="0" yWindow="0" windowWidth="28800" windowHeight="11610" tabRatio="906" firstSheet="1" activeTab="1" xr2:uid="{00000000-000D-0000-FFFF-FFFF00000000}"/>
  </bookViews>
  <sheets>
    <sheet name="DATOS INICIALES " sheetId="370" r:id="rId1"/>
    <sheet name="PRESUPUESTO OFICIAL" sheetId="265" r:id="rId2"/>
    <sheet name="Materiales" sheetId="6" r:id="rId3"/>
    <sheet name="Equipo" sheetId="5" r:id="rId4"/>
    <sheet name="Mano de Obra" sheetId="385" r:id="rId5"/>
    <sheet name="SV-01" sheetId="9" r:id="rId6"/>
    <sheet name="SV-02" sheetId="326" r:id="rId7"/>
    <sheet name="SV-03" sheetId="11" r:id="rId8"/>
    <sheet name="SV-04" sheetId="15" r:id="rId9"/>
    <sheet name="SV-05" sheetId="25" r:id="rId10"/>
    <sheet name="SV-06" sheetId="26" r:id="rId11"/>
    <sheet name="SV-07" sheetId="29" r:id="rId12"/>
    <sheet name="SV-08" sheetId="252" r:id="rId13"/>
    <sheet name="SV-09" sheetId="32" r:id="rId14"/>
    <sheet name="SV-10" sheetId="33" r:id="rId15"/>
    <sheet name="SV-11" sheetId="308" r:id="rId16"/>
    <sheet name="SV-12" sheetId="289" r:id="rId17"/>
    <sheet name="SV-13" sheetId="340" r:id="rId18"/>
    <sheet name="SV-14" sheetId="38" r:id="rId19"/>
    <sheet name="SV-15" sheetId="193" r:id="rId20"/>
    <sheet name="SV-16" sheetId="344" r:id="rId21"/>
    <sheet name="SV-17" sheetId="354" r:id="rId22"/>
    <sheet name="SV-18" sheetId="355" r:id="rId23"/>
    <sheet name="SV-19" sheetId="386" r:id="rId24"/>
    <sheet name="SV-20" sheetId="387" r:id="rId25"/>
  </sheets>
  <externalReferences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</externalReferences>
  <definedNames>
    <definedName name="\a" localSheetId="4">#REF!</definedName>
    <definedName name="\a" localSheetId="23">#REF!</definedName>
    <definedName name="\a" localSheetId="24">#REF!</definedName>
    <definedName name="\a">#REF!</definedName>
    <definedName name="\s" localSheetId="4">#REF!</definedName>
    <definedName name="\s" localSheetId="23">#REF!</definedName>
    <definedName name="\s" localSheetId="24">#REF!</definedName>
    <definedName name="\s">#REF!</definedName>
    <definedName name="\X">[0]!ERR</definedName>
    <definedName name="\Z">[0]!ERR</definedName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PJ50" localSheetId="4">#REF!</definedName>
    <definedName name="_________PJ50" localSheetId="23">#REF!</definedName>
    <definedName name="_________PJ50" localSheetId="24">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4">#REF!</definedName>
    <definedName name="________MA2" localSheetId="23">#REF!</definedName>
    <definedName name="________MA2" localSheetId="24">#REF!</definedName>
    <definedName name="________MA2">#REF!</definedName>
    <definedName name="________PJ50" localSheetId="4">#REF!</definedName>
    <definedName name="________PJ50" localSheetId="23">#REF!</definedName>
    <definedName name="________PJ50" localSheetId="24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4">#REF!</definedName>
    <definedName name="_______MA2" localSheetId="23">#REF!</definedName>
    <definedName name="_______MA2" localSheetId="24">#REF!</definedName>
    <definedName name="_______MA2">#REF!</definedName>
    <definedName name="_______PJ50" localSheetId="4">#REF!</definedName>
    <definedName name="_______PJ50" localSheetId="23">#REF!</definedName>
    <definedName name="_______PJ50" localSheetId="24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 localSheetId="4">#REF!</definedName>
    <definedName name="______MA2" localSheetId="23">#REF!</definedName>
    <definedName name="______MA2" localSheetId="24">#REF!</definedName>
    <definedName name="______MA2">#REF!</definedName>
    <definedName name="______PJ50" localSheetId="4">#REF!</definedName>
    <definedName name="______PJ50" localSheetId="23">#REF!</definedName>
    <definedName name="______PJ50" localSheetId="24">#REF!</definedName>
    <definedName name="______PJ50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4">#REF!</definedName>
    <definedName name="_____MA2" localSheetId="23">#REF!</definedName>
    <definedName name="_____MA2" localSheetId="24">#REF!</definedName>
    <definedName name="_____MA2">#REF!</definedName>
    <definedName name="_____PJ50" localSheetId="4">#REF!</definedName>
    <definedName name="_____PJ50" localSheetId="23">#REF!</definedName>
    <definedName name="_____PJ50" localSheetId="24">#REF!</definedName>
    <definedName name="_____PJ50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MA2" localSheetId="4">#REF!</definedName>
    <definedName name="____MA2" localSheetId="23">#REF!</definedName>
    <definedName name="____MA2" localSheetId="24">#REF!</definedName>
    <definedName name="____MA2">#REF!</definedName>
    <definedName name="____PJ50" localSheetId="4">#REF!</definedName>
    <definedName name="____PJ50" localSheetId="23">#REF!</definedName>
    <definedName name="____PJ50" localSheetId="24">#REF!</definedName>
    <definedName name="____PJ50">#REF!</definedName>
    <definedName name="____pj51" localSheetId="4">#REF!</definedName>
    <definedName name="____pj51" localSheetId="23">#REF!</definedName>
    <definedName name="____pj51" localSheetId="24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MA2" localSheetId="4">#REF!</definedName>
    <definedName name="___MA2" localSheetId="23">#REF!</definedName>
    <definedName name="___MA2" localSheetId="24">#REF!</definedName>
    <definedName name="___MA2">#REF!</definedName>
    <definedName name="___PJ50" localSheetId="4">#REF!</definedName>
    <definedName name="___PJ50" localSheetId="23">#REF!</definedName>
    <definedName name="___PJ50" localSheetId="24">#REF!</definedName>
    <definedName name="___PJ50">#REF!</definedName>
    <definedName name="___pj51" localSheetId="4">#REF!</definedName>
    <definedName name="___pj51" localSheetId="23">#REF!</definedName>
    <definedName name="___pj51" localSheetId="24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F">[0]!ERR</definedName>
    <definedName name="__FS01">[0]!ERR</definedName>
    <definedName name="__MA2" localSheetId="4">#REF!</definedName>
    <definedName name="__MA2" localSheetId="23">#REF!</definedName>
    <definedName name="__MA2" localSheetId="24">#REF!</definedName>
    <definedName name="__MA2">#REF!</definedName>
    <definedName name="__mun2" localSheetId="4">[2]PESOS!#REF!</definedName>
    <definedName name="__mun2" localSheetId="23">[2]PESOS!#REF!</definedName>
    <definedName name="__mun2" localSheetId="24">[2]PESOS!#REF!</definedName>
    <definedName name="__mun2">[2]PESOS!#REF!</definedName>
    <definedName name="__num10" localSheetId="4">#REF!</definedName>
    <definedName name="__num10" localSheetId="23">#REF!</definedName>
    <definedName name="__num10" localSheetId="24">#REF!</definedName>
    <definedName name="__num10">#REF!</definedName>
    <definedName name="__num2" localSheetId="4">#REF!</definedName>
    <definedName name="__num2" localSheetId="23">#REF!</definedName>
    <definedName name="__num2" localSheetId="24">#REF!</definedName>
    <definedName name="__num2">#REF!</definedName>
    <definedName name="__num3" localSheetId="4">#REF!</definedName>
    <definedName name="__num3" localSheetId="23">#REF!</definedName>
    <definedName name="__num3" localSheetId="24">#REF!</definedName>
    <definedName name="__num3">#REF!</definedName>
    <definedName name="__num4" localSheetId="4">#REF!</definedName>
    <definedName name="__num4" localSheetId="23">#REF!</definedName>
    <definedName name="__num4" localSheetId="24">#REF!</definedName>
    <definedName name="__num4">#REF!</definedName>
    <definedName name="__num5" localSheetId="4">#REF!</definedName>
    <definedName name="__num5" localSheetId="23">#REF!</definedName>
    <definedName name="__num5" localSheetId="24">#REF!</definedName>
    <definedName name="__num5">#REF!</definedName>
    <definedName name="__num6" localSheetId="4">#REF!</definedName>
    <definedName name="__num6" localSheetId="23">#REF!</definedName>
    <definedName name="__num6" localSheetId="24">#REF!</definedName>
    <definedName name="__num6">#REF!</definedName>
    <definedName name="__num7" localSheetId="4">#REF!</definedName>
    <definedName name="__num7" localSheetId="23">#REF!</definedName>
    <definedName name="__num7" localSheetId="24">#REF!</definedName>
    <definedName name="__num7">#REF!</definedName>
    <definedName name="__num8" localSheetId="4">#REF!</definedName>
    <definedName name="__num8" localSheetId="23">#REF!</definedName>
    <definedName name="__num8" localSheetId="24">#REF!</definedName>
    <definedName name="__num8">#REF!</definedName>
    <definedName name="__num9" localSheetId="4">#REF!</definedName>
    <definedName name="__num9" localSheetId="23">#REF!</definedName>
    <definedName name="__num9" localSheetId="24">#REF!</definedName>
    <definedName name="__num9">#REF!</definedName>
    <definedName name="__PJ50" localSheetId="4">#REF!</definedName>
    <definedName name="__PJ50" localSheetId="23">#REF!</definedName>
    <definedName name="__PJ50" localSheetId="24">#REF!</definedName>
    <definedName name="__PJ50">#REF!</definedName>
    <definedName name="__pj51" localSheetId="4">#REF!</definedName>
    <definedName name="__pj51" localSheetId="23">#REF!</definedName>
    <definedName name="__pj51" localSheetId="24">#REF!</definedName>
    <definedName name="__pj51">#REF!</definedName>
    <definedName name="__ref4" localSheetId="4">#REF!</definedName>
    <definedName name="__ref4" localSheetId="23">#REF!</definedName>
    <definedName name="__ref4" localSheetId="24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[1]INV!$A$25:$D$28</definedName>
    <definedName name="_AFC3">[1]INV!$F$25:$I$28</definedName>
    <definedName name="_AFC5">[1]INV!$K$25:$N$28</definedName>
    <definedName name="_APU221" localSheetId="4">#REF!</definedName>
    <definedName name="_APU221" localSheetId="23">#REF!</definedName>
    <definedName name="_APU221" localSheetId="24">#REF!</definedName>
    <definedName name="_APU221">#REF!</definedName>
    <definedName name="_APU465" localSheetId="4">[3]!absc</definedName>
    <definedName name="_APU465" localSheetId="23">[3]!absc</definedName>
    <definedName name="_APU465" localSheetId="24">[3]!absc</definedName>
    <definedName name="_APU465">[3]!absc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4">#REF!</definedName>
    <definedName name="_EST1" localSheetId="23">#REF!</definedName>
    <definedName name="_EST1" localSheetId="24">#REF!</definedName>
    <definedName name="_EST1">#REF!</definedName>
    <definedName name="_EST10" localSheetId="4">#REF!</definedName>
    <definedName name="_EST10" localSheetId="23">#REF!</definedName>
    <definedName name="_EST10" localSheetId="24">#REF!</definedName>
    <definedName name="_EST10">#REF!</definedName>
    <definedName name="_EST11" localSheetId="4">#REF!</definedName>
    <definedName name="_EST11" localSheetId="23">#REF!</definedName>
    <definedName name="_EST11" localSheetId="24">#REF!</definedName>
    <definedName name="_EST11">#REF!</definedName>
    <definedName name="_EST12" localSheetId="4">#REF!</definedName>
    <definedName name="_EST12" localSheetId="23">#REF!</definedName>
    <definedName name="_EST12" localSheetId="24">#REF!</definedName>
    <definedName name="_EST12">#REF!</definedName>
    <definedName name="_EST13" localSheetId="4">#REF!</definedName>
    <definedName name="_EST13" localSheetId="23">#REF!</definedName>
    <definedName name="_EST13" localSheetId="24">#REF!</definedName>
    <definedName name="_EST13">#REF!</definedName>
    <definedName name="_EST14" localSheetId="4">#REF!</definedName>
    <definedName name="_EST14" localSheetId="23">#REF!</definedName>
    <definedName name="_EST14" localSheetId="24">#REF!</definedName>
    <definedName name="_EST14">#REF!</definedName>
    <definedName name="_EST15" localSheetId="4">#REF!</definedName>
    <definedName name="_EST15" localSheetId="23">#REF!</definedName>
    <definedName name="_EST15" localSheetId="24">#REF!</definedName>
    <definedName name="_EST15">#REF!</definedName>
    <definedName name="_EST16" localSheetId="4">#REF!</definedName>
    <definedName name="_EST16" localSheetId="23">#REF!</definedName>
    <definedName name="_EST16" localSheetId="24">#REF!</definedName>
    <definedName name="_EST16">#REF!</definedName>
    <definedName name="_EST17" localSheetId="4">#REF!</definedName>
    <definedName name="_EST17" localSheetId="23">#REF!</definedName>
    <definedName name="_EST17" localSheetId="24">#REF!</definedName>
    <definedName name="_EST17">#REF!</definedName>
    <definedName name="_EST18" localSheetId="4">#REF!</definedName>
    <definedName name="_EST18" localSheetId="23">#REF!</definedName>
    <definedName name="_EST18" localSheetId="24">#REF!</definedName>
    <definedName name="_EST18">#REF!</definedName>
    <definedName name="_EST19" localSheetId="4">#REF!</definedName>
    <definedName name="_EST19" localSheetId="23">#REF!</definedName>
    <definedName name="_EST19" localSheetId="24">#REF!</definedName>
    <definedName name="_EST19">#REF!</definedName>
    <definedName name="_EST2" localSheetId="4">#REF!</definedName>
    <definedName name="_EST2" localSheetId="23">#REF!</definedName>
    <definedName name="_EST2" localSheetId="24">#REF!</definedName>
    <definedName name="_EST2">#REF!</definedName>
    <definedName name="_EST3" localSheetId="4">#REF!</definedName>
    <definedName name="_EST3" localSheetId="23">#REF!</definedName>
    <definedName name="_EST3" localSheetId="24">#REF!</definedName>
    <definedName name="_EST3">#REF!</definedName>
    <definedName name="_EST4" localSheetId="4">#REF!</definedName>
    <definedName name="_EST4" localSheetId="23">#REF!</definedName>
    <definedName name="_EST4" localSheetId="24">#REF!</definedName>
    <definedName name="_EST4">#REF!</definedName>
    <definedName name="_EST5" localSheetId="4">#REF!</definedName>
    <definedName name="_EST5" localSheetId="23">#REF!</definedName>
    <definedName name="_EST5" localSheetId="24">#REF!</definedName>
    <definedName name="_EST5">#REF!</definedName>
    <definedName name="_EST6" localSheetId="4">#REF!</definedName>
    <definedName name="_EST6" localSheetId="23">#REF!</definedName>
    <definedName name="_EST6" localSheetId="24">#REF!</definedName>
    <definedName name="_EST6">#REF!</definedName>
    <definedName name="_EST7" localSheetId="4">#REF!</definedName>
    <definedName name="_EST7" localSheetId="23">#REF!</definedName>
    <definedName name="_EST7" localSheetId="24">#REF!</definedName>
    <definedName name="_EST7">#REF!</definedName>
    <definedName name="_EST8" localSheetId="4">#REF!</definedName>
    <definedName name="_EST8" localSheetId="23">#REF!</definedName>
    <definedName name="_EST8" localSheetId="24">#REF!</definedName>
    <definedName name="_EST8">#REF!</definedName>
    <definedName name="_EST9" localSheetId="4">#REF!</definedName>
    <definedName name="_EST9" localSheetId="23">#REF!</definedName>
    <definedName name="_EST9" localSheetId="24">#REF!</definedName>
    <definedName name="_EST9">#REF!</definedName>
    <definedName name="_EXC1" localSheetId="4">#REF!</definedName>
    <definedName name="_EXC1" localSheetId="23">#REF!</definedName>
    <definedName name="_EXC1" localSheetId="24">#REF!</definedName>
    <definedName name="_EXC1">#REF!</definedName>
    <definedName name="_EXC10" localSheetId="4">#REF!</definedName>
    <definedName name="_EXC10" localSheetId="23">#REF!</definedName>
    <definedName name="_EXC10" localSheetId="24">#REF!</definedName>
    <definedName name="_EXC10">#REF!</definedName>
    <definedName name="_EXC11" localSheetId="4">#REF!</definedName>
    <definedName name="_EXC11" localSheetId="23">#REF!</definedName>
    <definedName name="_EXC11" localSheetId="24">#REF!</definedName>
    <definedName name="_EXC11">#REF!</definedName>
    <definedName name="_EXC12" localSheetId="4">#REF!</definedName>
    <definedName name="_EXC12" localSheetId="23">#REF!</definedName>
    <definedName name="_EXC12" localSheetId="24">#REF!</definedName>
    <definedName name="_EXC12">#REF!</definedName>
    <definedName name="_EXC2" localSheetId="4">#REF!</definedName>
    <definedName name="_EXC2" localSheetId="23">#REF!</definedName>
    <definedName name="_EXC2" localSheetId="24">#REF!</definedName>
    <definedName name="_EXC2">#REF!</definedName>
    <definedName name="_EXC3" localSheetId="4">#REF!</definedName>
    <definedName name="_EXC3" localSheetId="23">#REF!</definedName>
    <definedName name="_EXC3" localSheetId="24">#REF!</definedName>
    <definedName name="_EXC3">#REF!</definedName>
    <definedName name="_EXC4" localSheetId="4">#REF!</definedName>
    <definedName name="_EXC4" localSheetId="23">#REF!</definedName>
    <definedName name="_EXC4" localSheetId="24">#REF!</definedName>
    <definedName name="_EXC4">#REF!</definedName>
    <definedName name="_EXC5" localSheetId="4">#REF!</definedName>
    <definedName name="_EXC5" localSheetId="23">#REF!</definedName>
    <definedName name="_EXC5" localSheetId="24">#REF!</definedName>
    <definedName name="_EXC5">#REF!</definedName>
    <definedName name="_EXC6" localSheetId="4">#REF!</definedName>
    <definedName name="_EXC6" localSheetId="23">#REF!</definedName>
    <definedName name="_EXC6" localSheetId="24">#REF!</definedName>
    <definedName name="_EXC6">#REF!</definedName>
    <definedName name="_EXC7" localSheetId="4">#REF!</definedName>
    <definedName name="_EXC7" localSheetId="23">#REF!</definedName>
    <definedName name="_EXC7" localSheetId="24">#REF!</definedName>
    <definedName name="_EXC7">#REF!</definedName>
    <definedName name="_EXC8" localSheetId="4">#REF!</definedName>
    <definedName name="_EXC8" localSheetId="23">#REF!</definedName>
    <definedName name="_EXC8" localSheetId="24">#REF!</definedName>
    <definedName name="_EXC8">#REF!</definedName>
    <definedName name="_EXC9" localSheetId="4">#REF!</definedName>
    <definedName name="_EXC9" localSheetId="23">#REF!</definedName>
    <definedName name="_EXC9" localSheetId="24">#REF!</definedName>
    <definedName name="_EXC9">#REF!</definedName>
    <definedName name="_F">[0]!ERR</definedName>
    <definedName name="_Fill" localSheetId="4" hidden="1">#REF!</definedName>
    <definedName name="_Fill" localSheetId="23" hidden="1">#REF!</definedName>
    <definedName name="_Fill" localSheetId="24" hidden="1">#REF!</definedName>
    <definedName name="_Fill" hidden="1">#REF!</definedName>
    <definedName name="_xlnm._FilterDatabase" localSheetId="3" hidden="1">Equipo!#REF!</definedName>
    <definedName name="_xlnm._FilterDatabase" localSheetId="4" hidden="1">'Mano de Obra'!#REF!</definedName>
    <definedName name="_xlnm._FilterDatabase" localSheetId="2" hidden="1">Materiales!$B$3:$B$150</definedName>
    <definedName name="_xlnm._FilterDatabase" localSheetId="1" hidden="1">'PRESUPUESTO OFICIAL'!$C$12:$K$24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PC2002" localSheetId="4">#REF!</definedName>
    <definedName name="_IPC2002" localSheetId="23">#REF!</definedName>
    <definedName name="_IPC2002" localSheetId="24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4" hidden="1">#REF!</definedName>
    <definedName name="_Key1" localSheetId="23" hidden="1">#REF!</definedName>
    <definedName name="_Key1" localSheetId="24" hidden="1">#REF!</definedName>
    <definedName name="_Key1" hidden="1">#REF!</definedName>
    <definedName name="_kjk6" hidden="1">{"TAB1",#N/A,TRUE,"GENERAL";"TAB2",#N/A,TRUE,"GENERAL";"TAB3",#N/A,TRUE,"GENERAL";"TAB4",#N/A,TRUE,"GENERAL";"TAB5",#N/A,TRUE,"GENERAL"}</definedName>
    <definedName name="_lar03" localSheetId="4">#REF!</definedName>
    <definedName name="_lar03" localSheetId="23">#REF!</definedName>
    <definedName name="_lar03" localSheetId="24">#REF!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4">#REF!</definedName>
    <definedName name="_MA2" localSheetId="23">#REF!</definedName>
    <definedName name="_MA2" localSheetId="24">#REF!</definedName>
    <definedName name="_MA2">#REF!</definedName>
    <definedName name="_mun2" localSheetId="4">[2]PESOS!#REF!</definedName>
    <definedName name="_mun2" localSheetId="23">[2]PESOS!#REF!</definedName>
    <definedName name="_mun2" localSheetId="24">[2]PESOS!#REF!</definedName>
    <definedName name="_mun2">[2]PESOS!#REF!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um10" localSheetId="4">#REF!</definedName>
    <definedName name="_num10" localSheetId="23">#REF!</definedName>
    <definedName name="_num10" localSheetId="24">#REF!</definedName>
    <definedName name="_num10">#REF!</definedName>
    <definedName name="_num2" localSheetId="4">#REF!</definedName>
    <definedName name="_num2" localSheetId="23">#REF!</definedName>
    <definedName name="_num2" localSheetId="24">#REF!</definedName>
    <definedName name="_num2">#REF!</definedName>
    <definedName name="_num3" localSheetId="4">#REF!</definedName>
    <definedName name="_num3" localSheetId="23">#REF!</definedName>
    <definedName name="_num3" localSheetId="24">#REF!</definedName>
    <definedName name="_num3">#REF!</definedName>
    <definedName name="_num4" localSheetId="4">#REF!</definedName>
    <definedName name="_num4" localSheetId="23">#REF!</definedName>
    <definedName name="_num4" localSheetId="24">#REF!</definedName>
    <definedName name="_num4">#REF!</definedName>
    <definedName name="_num5" localSheetId="4">#REF!</definedName>
    <definedName name="_num5" localSheetId="23">#REF!</definedName>
    <definedName name="_num5" localSheetId="24">#REF!</definedName>
    <definedName name="_num5">#REF!</definedName>
    <definedName name="_num6" localSheetId="4">#REF!</definedName>
    <definedName name="_num6" localSheetId="23">#REF!</definedName>
    <definedName name="_num6" localSheetId="24">#REF!</definedName>
    <definedName name="_num6">#REF!</definedName>
    <definedName name="_num7" localSheetId="4">#REF!</definedName>
    <definedName name="_num7" localSheetId="23">#REF!</definedName>
    <definedName name="_num7" localSheetId="24">#REF!</definedName>
    <definedName name="_num7">#REF!</definedName>
    <definedName name="_num8" localSheetId="4">#REF!</definedName>
    <definedName name="_num8" localSheetId="23">#REF!</definedName>
    <definedName name="_num8" localSheetId="24">#REF!</definedName>
    <definedName name="_num8">#REF!</definedName>
    <definedName name="_num9" localSheetId="4">#REF!</definedName>
    <definedName name="_num9" localSheetId="23">#REF!</definedName>
    <definedName name="_num9" localSheetId="24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J50" localSheetId="4">#REF!</definedName>
    <definedName name="_PJ50" localSheetId="23">#REF!</definedName>
    <definedName name="_PJ50" localSheetId="24">#REF!</definedName>
    <definedName name="_PJ50">#REF!</definedName>
    <definedName name="_pj51" localSheetId="4">#REF!</definedName>
    <definedName name="_pj51" localSheetId="23">#REF!</definedName>
    <definedName name="_pj51" localSheetId="24">#REF!</definedName>
    <definedName name="_pj51">#REF!</definedName>
    <definedName name="_PRE1" localSheetId="4">#REF!</definedName>
    <definedName name="_PRE1" localSheetId="23">#REF!</definedName>
    <definedName name="_PRE1" localSheetId="24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f4" localSheetId="4">#REF!</definedName>
    <definedName name="_ref4" localSheetId="23">#REF!</definedName>
    <definedName name="_ref4" localSheetId="24">#REF!</definedName>
    <definedName name="_ref4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4" hidden="1">#REF!</definedName>
    <definedName name="_Sort" localSheetId="23" hidden="1">#REF!</definedName>
    <definedName name="_Sort" localSheetId="24" hidden="1">#REF!</definedName>
    <definedName name="_Sort" hidden="1">#REF!</definedName>
    <definedName name="_srn001" localSheetId="4">#REF!</definedName>
    <definedName name="_srn001" localSheetId="23">#REF!</definedName>
    <definedName name="_srn001" localSheetId="24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4">'[4]DUB-823'!#REF!</definedName>
    <definedName name="a" localSheetId="17">'[4]DUB-823'!#REF!</definedName>
    <definedName name="a" localSheetId="20">'[4]DUB-823'!#REF!</definedName>
    <definedName name="a" localSheetId="21">'[4]DUB-823'!#REF!</definedName>
    <definedName name="a" localSheetId="22">'[4]DUB-823'!#REF!</definedName>
    <definedName name="a" localSheetId="23">'[4]DUB-823'!#REF!</definedName>
    <definedName name="a" localSheetId="24">'[4]DUB-823'!#REF!</definedName>
    <definedName name="a">'[4]DUB-823'!#REF!</definedName>
    <definedName name="A_impresión_IM" localSheetId="4">#REF!</definedName>
    <definedName name="A_impresión_IM" localSheetId="23">#REF!</definedName>
    <definedName name="A_impresión_IM" localSheetId="24">#REF!</definedName>
    <definedName name="A_impresión_IM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[5]otros!$C$5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 localSheetId="4">#REF!</definedName>
    <definedName name="abc" localSheetId="23">#REF!</definedName>
    <definedName name="abc" localSheetId="24">#REF!</definedName>
    <definedName name="abc">#REF!</definedName>
    <definedName name="ABG">[1]AASHTO!$A$2:$F$5</definedName>
    <definedName name="absc" localSheetId="4">[6]!absc</definedName>
    <definedName name="absc" localSheetId="23">[6]!absc</definedName>
    <definedName name="absc" localSheetId="24">[6]!absc</definedName>
    <definedName name="absc">[6]!absc</definedName>
    <definedName name="absc_" localSheetId="4">[7]!absc</definedName>
    <definedName name="absc_" localSheetId="23">[7]!absc</definedName>
    <definedName name="absc_" localSheetId="24">[7]!absc</definedName>
    <definedName name="absc_">[7]!absc</definedName>
    <definedName name="absc_1" localSheetId="4">[7]!absc</definedName>
    <definedName name="absc_1" localSheetId="23">[7]!absc</definedName>
    <definedName name="absc_1" localSheetId="24">[7]!absc</definedName>
    <definedName name="absc_1">[7]!absc</definedName>
    <definedName name="absc1" localSheetId="4">[8]!absc</definedName>
    <definedName name="absc1" localSheetId="23">[8]!absc</definedName>
    <definedName name="absc1" localSheetId="24">[8]!absc</definedName>
    <definedName name="absc1">[8]!absc</definedName>
    <definedName name="AccessDatabase" hidden="1">"C:\C-314\VOLUMENES\volfin4.mdb"</definedName>
    <definedName name="ad" localSheetId="4">#REF!</definedName>
    <definedName name="ad" localSheetId="23">#REF!</definedName>
    <definedName name="ad" localSheetId="24">#REF!</definedName>
    <definedName name="ad">#REF!</definedName>
    <definedName name="ADFGSDB" hidden="1">{"via1",#N/A,TRUE,"general";"via2",#N/A,TRUE,"general";"via3",#N/A,TRUE,"general"}</definedName>
    <definedName name="ADM">[5]otros!$C$2</definedName>
    <definedName name="administrador">[9]Informacion!$B$15</definedName>
    <definedName name="adoc1" localSheetId="4">[8]!absc</definedName>
    <definedName name="adoc1" localSheetId="23">[8]!absc</definedName>
    <definedName name="adoc1" localSheetId="24">[8]!absc</definedName>
    <definedName name="adoc1">[8]!absc</definedName>
    <definedName name="ADOC125" localSheetId="4">[10]!absc</definedName>
    <definedName name="ADOC125" localSheetId="23">[10]!absc</definedName>
    <definedName name="ADOC125" localSheetId="24">[10]!absc</definedName>
    <definedName name="ADOC125">[10]!absc</definedName>
    <definedName name="adoq" localSheetId="4">[11]!absc</definedName>
    <definedName name="adoq" localSheetId="23">[11]!absc</definedName>
    <definedName name="adoq" localSheetId="24">[11]!absc</definedName>
    <definedName name="adoq">[11]!absc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U" localSheetId="4">#REF!</definedName>
    <definedName name="AIU" localSheetId="23">#REF!</definedName>
    <definedName name="AIU" localSheetId="24">#REF!</definedName>
    <definedName name="AIU">#REF!</definedName>
    <definedName name="AjustDelAIU" localSheetId="4">#REF!</definedName>
    <definedName name="AjustDelAIU" localSheetId="23">#REF!</definedName>
    <definedName name="AjustDelAIU" localSheetId="24">#REF!</definedName>
    <definedName name="AjustDelAIU">#REF!</definedName>
    <definedName name="alc" localSheetId="4">[12]!absc</definedName>
    <definedName name="alc" localSheetId="23">[12]!absc</definedName>
    <definedName name="alc" localSheetId="24">[12]!absc</definedName>
    <definedName name="alc">[12]!absc</definedName>
    <definedName name="ANCLAJE" localSheetId="4">'[13]MC SF GAVIONES'!#REF!</definedName>
    <definedName name="ANCLAJE" localSheetId="23">'[13]MC SF GAVIONES'!#REF!</definedName>
    <definedName name="ANCLAJE" localSheetId="24">'[13]MC SF GAVIONES'!#REF!</definedName>
    <definedName name="ANCLAJE">'[13]MC SF GAVIONES'!#REF!</definedName>
    <definedName name="Antic">[14]BASES!$B$33</definedName>
    <definedName name="ANTICIPO">[15]BASES!$B$33</definedName>
    <definedName name="AÑO">[5]PRESUPUESTO!$D$13</definedName>
    <definedName name="AÑOWUIE">'[16]Res-Accide-10'!$R$2:$R$7</definedName>
    <definedName name="APU" localSheetId="4">[17]!absc</definedName>
    <definedName name="APU" localSheetId="23">[17]!absc</definedName>
    <definedName name="APU" localSheetId="24">[17]!absc</definedName>
    <definedName name="APU">[17]!absc</definedName>
    <definedName name="APU_directos" localSheetId="4">#REF!</definedName>
    <definedName name="APU_directos" localSheetId="23">#REF!</definedName>
    <definedName name="APU_directos" localSheetId="24">#REF!</definedName>
    <definedName name="APU_directos">#REF!</definedName>
    <definedName name="APU221.1" localSheetId="4">#REF!</definedName>
    <definedName name="APU221.1" localSheetId="23">#REF!</definedName>
    <definedName name="APU221.1" localSheetId="24">#REF!</definedName>
    <definedName name="APU221.1">#REF!</definedName>
    <definedName name="APU221.2" localSheetId="4">#REF!</definedName>
    <definedName name="APU221.2" localSheetId="23">#REF!</definedName>
    <definedName name="APU221.2" localSheetId="24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_xlnm.Print_Area" localSheetId="3">Equipo!$B$2:$D$91</definedName>
    <definedName name="_xlnm.Print_Area" localSheetId="4">'Mano de Obra'!$B$2:$E$95</definedName>
    <definedName name="_xlnm.Print_Area" localSheetId="2">Materiales!$A$2:$D$150</definedName>
    <definedName name="_xlnm.Print_Area" localSheetId="1">'PRESUPUESTO OFICIAL'!$A$1:$M$46</definedName>
    <definedName name="_xlnm.Print_Area" localSheetId="5">'SV-01'!$B$1:$N$111</definedName>
    <definedName name="_xlnm.Print_Area" localSheetId="6">'SV-02'!$B$1:$N$111</definedName>
    <definedName name="_xlnm.Print_Area" localSheetId="7">'SV-03'!$B$1:$N$115</definedName>
    <definedName name="_xlnm.Print_Area" localSheetId="8">'SV-04'!$B$1:$N$111</definedName>
    <definedName name="_xlnm.Print_Area" localSheetId="9">'SV-05'!$B$1:$N$101</definedName>
    <definedName name="_xlnm.Print_Area" localSheetId="10">'SV-06'!$B$1:$N$110</definedName>
    <definedName name="_xlnm.Print_Area" localSheetId="11">'SV-07'!$B$1:$N$110</definedName>
    <definedName name="_xlnm.Print_Area" localSheetId="12">'SV-08'!$B$1:$N$116</definedName>
    <definedName name="_xlnm.Print_Area" localSheetId="13">'SV-09'!$B$1:$N$114</definedName>
    <definedName name="_xlnm.Print_Area" localSheetId="14">'SV-10'!$B$1:$N$115</definedName>
    <definedName name="_xlnm.Print_Area" localSheetId="15">'SV-11'!$B$1:$N$105</definedName>
    <definedName name="_xlnm.Print_Area" localSheetId="16">'SV-12'!$B$1:$N$111</definedName>
    <definedName name="_xlnm.Print_Area" localSheetId="17">'SV-13'!$B$1:$N$114</definedName>
    <definedName name="_xlnm.Print_Area" localSheetId="18">'SV-14'!$B$1:$N$114</definedName>
    <definedName name="_xlnm.Print_Area" localSheetId="19">'SV-15'!$B$1:$N$118</definedName>
    <definedName name="_xlnm.Print_Area" localSheetId="20">'SV-16'!$B$1:$N$117</definedName>
    <definedName name="_xlnm.Print_Area" localSheetId="21">'SV-17'!$B$1:$N$118</definedName>
    <definedName name="_xlnm.Print_Area" localSheetId="22">'SV-18'!$B$1:$N$99</definedName>
    <definedName name="_xlnm.Print_Area" localSheetId="23">'SV-19'!$B$1:$N$116</definedName>
    <definedName name="_xlnm.Print_Area" localSheetId="24">'SV-20'!$B$1:$N$115</definedName>
    <definedName name="_xlnm.Print_Area">#REF!</definedName>
    <definedName name="armuve">[0]!ERR</definedName>
    <definedName name="as">[0]!ERR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to1" localSheetId="4">#REF!</definedName>
    <definedName name="auto1" localSheetId="23">#REF!</definedName>
    <definedName name="auto1" localSheetId="24">#REF!</definedName>
    <definedName name="auto1">#REF!</definedName>
    <definedName name="auto123" localSheetId="4">#REF!</definedName>
    <definedName name="auto123" localSheetId="23">#REF!</definedName>
    <definedName name="auto123" localSheetId="24">#REF!</definedName>
    <definedName name="auto123">#REF!</definedName>
    <definedName name="auto2" localSheetId="4">#REF!</definedName>
    <definedName name="auto2" localSheetId="23">#REF!</definedName>
    <definedName name="auto2" localSheetId="24">#REF!</definedName>
    <definedName name="auto2">#REF!</definedName>
    <definedName name="AW" localSheetId="4">#REF!</definedName>
    <definedName name="AW" localSheetId="23">#REF!</definedName>
    <definedName name="AW" localSheetId="24">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_xlnm.Database" localSheetId="4">#REF!</definedName>
    <definedName name="_xlnm.Database" localSheetId="23">#REF!</definedName>
    <definedName name="_xlnm.Database" localSheetId="24">#REF!</definedName>
    <definedName name="_xlnm.Database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n" localSheetId="4">#REF!</definedName>
    <definedName name="bn" localSheetId="23">#REF!</definedName>
    <definedName name="bn" localSheetId="24">#REF!</definedName>
    <definedName name="bn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4">#REF!</definedName>
    <definedName name="C_" localSheetId="23">#REF!</definedName>
    <definedName name="C_" localSheetId="24">#REF!</definedName>
    <definedName name="C_">#REF!</definedName>
    <definedName name="CANT" localSheetId="4">#REF!</definedName>
    <definedName name="CANT" localSheetId="23">#REF!</definedName>
    <definedName name="CANT" localSheetId="24">#REF!</definedName>
    <definedName name="CANT">#REF!</definedName>
    <definedName name="ccccc" hidden="1">{"TAB1",#N/A,TRUE,"GENERAL";"TAB2",#N/A,TRUE,"GENERAL";"TAB3",#N/A,TRUE,"GENERAL";"TAB4",#N/A,TRUE,"GENERAL";"TAB5",#N/A,TRUE,"GENERAL"}</definedName>
    <definedName name="CCCCCC" localSheetId="4">'[18]A. P. U.'!#REF!</definedName>
    <definedName name="CCCCCC" localSheetId="23">'[18]A. P. U.'!#REF!</definedName>
    <definedName name="CCCCCC" localSheetId="24">'[18]A. P. U.'!#REF!</definedName>
    <definedName name="CCCCCC">'[18]A. P. U.'!#REF!</definedName>
    <definedName name="ccto210" localSheetId="4">#REF!</definedName>
    <definedName name="ccto210" localSheetId="23">#REF!</definedName>
    <definedName name="ccto210" localSheetId="24">#REF!</definedName>
    <definedName name="ccto210">#REF!</definedName>
    <definedName name="cd">[19]Hoja1!$C$81</definedName>
    <definedName name="cdcdc" hidden="1">{"via1",#N/A,TRUE,"general";"via2",#N/A,TRUE,"general";"via3",#N/A,TRUE,"general"}</definedName>
    <definedName name="CDctrl">[14]CDItem!$G$8</definedName>
    <definedName name="ceerf" hidden="1">{"TAB1",#N/A,TRUE,"GENERAL";"TAB2",#N/A,TRUE,"GENERAL";"TAB3",#N/A,TRUE,"GENERAL";"TAB4",#N/A,TRUE,"GENERAL";"TAB5",#N/A,TRUE,"GENERAL"}</definedName>
    <definedName name="CEMENTO">[20]Insum!$A$3:$H$63</definedName>
    <definedName name="COPIA">[0]!ERR</definedName>
    <definedName name="copiao4">[0]!ERR</definedName>
    <definedName name="corri">[0]!ERR</definedName>
    <definedName name="COSTODIRECTO" localSheetId="4">#REF!</definedName>
    <definedName name="COSTODIRECTO" localSheetId="23">#REF!</definedName>
    <definedName name="COSTODIRECTO" localSheetId="24">#REF!</definedName>
    <definedName name="COSTODIRECTO">#REF!</definedName>
    <definedName name="COSTOS">[21]TARIFAS!$A$1:$F$52</definedName>
    <definedName name="CTA" localSheetId="4">#REF!</definedName>
    <definedName name="CTA" localSheetId="23">#REF!</definedName>
    <definedName name="CTA" localSheetId="24">#REF!</definedName>
    <definedName name="CTA">#REF!</definedName>
    <definedName name="CUAL">[0]!ERR</definedName>
    <definedName name="CUBS" localSheetId="4">#REF!</definedName>
    <definedName name="CUBS" localSheetId="23">#REF!</definedName>
    <definedName name="CUBS" localSheetId="24">#REF!</definedName>
    <definedName name="CUBS">#REF!</definedName>
    <definedName name="CUNET" hidden="1">{"via1",#N/A,TRUE,"general";"via2",#N/A,TRUE,"general";"via3",#N/A,TRUE,"general"}</definedName>
    <definedName name="cv" localSheetId="4">#REF!</definedName>
    <definedName name="cv" localSheetId="16">#REF!</definedName>
    <definedName name="cv" localSheetId="17">#REF!</definedName>
    <definedName name="cv" localSheetId="20">#REF!</definedName>
    <definedName name="cv" localSheetId="21">#REF!</definedName>
    <definedName name="cv" localSheetId="22">#REF!</definedName>
    <definedName name="cv" localSheetId="23">#REF!</definedName>
    <definedName name="cv" localSheetId="24">#REF!</definedName>
    <definedName name="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rio" localSheetId="4">'[4]GPI 526'!#REF!</definedName>
    <definedName name="dario" localSheetId="17">'[4]GPI 526'!#REF!</definedName>
    <definedName name="dario" localSheetId="20">'[4]GPI 526'!#REF!</definedName>
    <definedName name="dario" localSheetId="21">'[4]GPI 526'!#REF!</definedName>
    <definedName name="dario" localSheetId="22">'[4]GPI 526'!#REF!</definedName>
    <definedName name="dario" localSheetId="23">'[4]GPI 526'!#REF!</definedName>
    <definedName name="dario" localSheetId="24">'[4]GPI 526'!#REF!</definedName>
    <definedName name="dario">'[4]GPI 526'!#REF!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4">#REF!</definedName>
    <definedName name="Dbgcm" localSheetId="23">#REF!</definedName>
    <definedName name="Dbgcm" localSheetId="24">#REF!</definedName>
    <definedName name="Dbgcm">#REF!</definedName>
    <definedName name="Dcacm" localSheetId="4">#REF!</definedName>
    <definedName name="Dcacm" localSheetId="23">#REF!</definedName>
    <definedName name="Dcacm" localSheetId="24">#REF!</definedName>
    <definedName name="Dcacm">#REF!</definedName>
    <definedName name="DCSDCTV" hidden="1">{"via1",#N/A,TRUE,"general";"via2",#N/A,TRUE,"general";"via3",#N/A,TRUE,"general"}</definedName>
    <definedName name="dd" localSheetId="4">#REF!</definedName>
    <definedName name="dd" localSheetId="23">#REF!</definedName>
    <definedName name="dd" localSheetId="24">#REF!</definedName>
    <definedName name="dd">#REF!</definedName>
    <definedName name="ddd" hidden="1">{"via1",#N/A,TRUE,"general";"via2",#N/A,TRUE,"general";"via3",#N/A,TRUE,"general"}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4">#REF!</definedName>
    <definedName name="demanto" localSheetId="16">#REF!</definedName>
    <definedName name="demanto" localSheetId="17">#REF!</definedName>
    <definedName name="demanto" localSheetId="20">#REF!</definedName>
    <definedName name="demanto" localSheetId="21">#REF!</definedName>
    <definedName name="demanto" localSheetId="22">#REF!</definedName>
    <definedName name="demanto" localSheetId="23">#REF!</definedName>
    <definedName name="demanto" localSheetId="24">#REF!</definedName>
    <definedName name="demanto">#REF!</definedName>
    <definedName name="DEX" localSheetId="4">#REF!</definedName>
    <definedName name="DEX" localSheetId="23">#REF!</definedName>
    <definedName name="DEX" localSheetId="24">#REF!</definedName>
    <definedName name="DEX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[5]PRESUPUESTO!$B$13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4">#REF!</definedName>
    <definedName name="Dsbcm" localSheetId="23">#REF!</definedName>
    <definedName name="Dsbcm" localSheetId="24">#REF!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[5]PRESUPUESTO!$E$7</definedName>
    <definedName name="emanto" localSheetId="4">#REF!</definedName>
    <definedName name="emanto" localSheetId="16">#REF!</definedName>
    <definedName name="emanto" localSheetId="17">#REF!</definedName>
    <definedName name="emanto" localSheetId="20">#REF!</definedName>
    <definedName name="emanto" localSheetId="21">#REF!</definedName>
    <definedName name="emanto" localSheetId="22">#REF!</definedName>
    <definedName name="emanto" localSheetId="23">#REF!</definedName>
    <definedName name="emanto" localSheetId="24">#REF!</definedName>
    <definedName name="emanto">#REF!</definedName>
    <definedName name="eme">[0]!ERR</definedName>
    <definedName name="ENTRADASP" localSheetId="4">#REF!</definedName>
    <definedName name="ENTRADASP" localSheetId="23">#REF!</definedName>
    <definedName name="ENTRADASP" localSheetId="24">#REF!</definedName>
    <definedName name="ENTRADASP">#REF!</definedName>
    <definedName name="equipo">[22]Equipo!$A$7:$A$65536</definedName>
    <definedName name="eqw" hidden="1">{"via1",#N/A,TRUE,"general";"via2",#N/A,TRUE,"general";"via3",#N/A,TRUE,"general"}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ECIFICACION" localSheetId="4">#REF!</definedName>
    <definedName name="ESPECIFICACION" localSheetId="23">#REF!</definedName>
    <definedName name="ESPECIFICACION" localSheetId="24">#REF!</definedName>
    <definedName name="ESPECIFICACION">#REF!</definedName>
    <definedName name="Especificación" localSheetId="4">#REF!</definedName>
    <definedName name="Especificación" localSheetId="23">#REF!</definedName>
    <definedName name="Especificación" localSheetId="24">#REF!</definedName>
    <definedName name="Especificación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4">#REF!</definedName>
    <definedName name="EXC" localSheetId="17">#REF!</definedName>
    <definedName name="EXC" localSheetId="20">#REF!</definedName>
    <definedName name="EXC" localSheetId="21">#REF!</definedName>
    <definedName name="EXC" localSheetId="22">#REF!</definedName>
    <definedName name="EXC" localSheetId="23">#REF!</definedName>
    <definedName name="EXC" localSheetId="24">#REF!</definedName>
    <definedName name="EXC">#REF!</definedName>
    <definedName name="exCEL" localSheetId="4">#REF!</definedName>
    <definedName name="exCEL" localSheetId="16">#REF!</definedName>
    <definedName name="exCEL" localSheetId="17">#REF!</definedName>
    <definedName name="exCEL" localSheetId="20">#REF!</definedName>
    <definedName name="exCEL" localSheetId="21">#REF!</definedName>
    <definedName name="exCEL" localSheetId="22">#REF!</definedName>
    <definedName name="exCEL" localSheetId="23">#REF!</definedName>
    <definedName name="exCEL" localSheetId="24">#REF!</definedName>
    <definedName name="exCEL">#REF!</definedName>
    <definedName name="Excel_BuiltIn_Print_Area_3" localSheetId="4">#REF!</definedName>
    <definedName name="Excel_BuiltIn_Print_Area_3" localSheetId="16">#REF!</definedName>
    <definedName name="Excel_BuiltIn_Print_Area_3" localSheetId="17">#REF!</definedName>
    <definedName name="Excel_BuiltIn_Print_Area_3" localSheetId="20">#REF!</definedName>
    <definedName name="Excel_BuiltIn_Print_Area_3" localSheetId="21">#REF!</definedName>
    <definedName name="Excel_BuiltIn_Print_Area_3" localSheetId="22">#REF!</definedName>
    <definedName name="Excel_BuiltIn_Print_Area_3" localSheetId="23">#REF!</definedName>
    <definedName name="Excel_BuiltIn_Print_Area_3" localSheetId="24">#REF!</definedName>
    <definedName name="Excel_BuiltIn_Print_Area_3">#REF!</definedName>
    <definedName name="Excel_BuiltIn_Print_Area_3_X" localSheetId="4">#REF!</definedName>
    <definedName name="Excel_BuiltIn_Print_Area_3_X" localSheetId="16">#REF!</definedName>
    <definedName name="Excel_BuiltIn_Print_Area_3_X" localSheetId="17">#REF!</definedName>
    <definedName name="Excel_BuiltIn_Print_Area_3_X" localSheetId="20">#REF!</definedName>
    <definedName name="Excel_BuiltIn_Print_Area_3_X" localSheetId="21">#REF!</definedName>
    <definedName name="Excel_BuiltIn_Print_Area_3_X" localSheetId="22">#REF!</definedName>
    <definedName name="Excel_BuiltIn_Print_Area_3_X" localSheetId="23">#REF!</definedName>
    <definedName name="Excel_BuiltIn_Print_Area_3_X" localSheetId="24">#REF!</definedName>
    <definedName name="Excel_BuiltIn_Print_Area_3_X">#REF!</definedName>
    <definedName name="Excel_BuiltIn_Print_Titles_10" localSheetId="4">[4]SKJ452!#REF!</definedName>
    <definedName name="Excel_BuiltIn_Print_Titles_10" localSheetId="16">[4]SKJ452!#REF!</definedName>
    <definedName name="Excel_BuiltIn_Print_Titles_10" localSheetId="17">[4]SKJ452!#REF!</definedName>
    <definedName name="Excel_BuiltIn_Print_Titles_10" localSheetId="20">[4]SKJ452!#REF!</definedName>
    <definedName name="Excel_BuiltIn_Print_Titles_10" localSheetId="21">[4]SKJ452!#REF!</definedName>
    <definedName name="Excel_BuiltIn_Print_Titles_10" localSheetId="22">[4]SKJ452!#REF!</definedName>
    <definedName name="Excel_BuiltIn_Print_Titles_10" localSheetId="23">[4]SKJ452!#REF!</definedName>
    <definedName name="Excel_BuiltIn_Print_Titles_10" localSheetId="24">[4]SKJ452!#REF!</definedName>
    <definedName name="Excel_BuiltIn_Print_Titles_10">[4]SKJ452!#REF!</definedName>
    <definedName name="Excel_BuiltIn_Print_Titles_11" localSheetId="4">[4]ITA878!#REF!</definedName>
    <definedName name="Excel_BuiltIn_Print_Titles_11" localSheetId="16">[4]ITA878!#REF!</definedName>
    <definedName name="Excel_BuiltIn_Print_Titles_11" localSheetId="17">[4]ITA878!#REF!</definedName>
    <definedName name="Excel_BuiltIn_Print_Titles_11" localSheetId="20">[4]ITA878!#REF!</definedName>
    <definedName name="Excel_BuiltIn_Print_Titles_11" localSheetId="21">[4]ITA878!#REF!</definedName>
    <definedName name="Excel_BuiltIn_Print_Titles_11" localSheetId="22">[4]ITA878!#REF!</definedName>
    <definedName name="Excel_BuiltIn_Print_Titles_11" localSheetId="23">[4]ITA878!#REF!</definedName>
    <definedName name="Excel_BuiltIn_Print_Titles_11" localSheetId="24">[4]ITA878!#REF!</definedName>
    <definedName name="Excel_BuiltIn_Print_Titles_11">[4]ITA878!#REF!</definedName>
    <definedName name="Excel_BuiltIn_Print_Titles_12" localSheetId="4">'[4]AEA-944'!#REF!</definedName>
    <definedName name="Excel_BuiltIn_Print_Titles_12" localSheetId="16">'[4]AEA-944'!#REF!</definedName>
    <definedName name="Excel_BuiltIn_Print_Titles_12" localSheetId="17">'[4]AEA-944'!#REF!</definedName>
    <definedName name="Excel_BuiltIn_Print_Titles_12" localSheetId="20">'[4]AEA-944'!#REF!</definedName>
    <definedName name="Excel_BuiltIn_Print_Titles_12" localSheetId="21">'[4]AEA-944'!#REF!</definedName>
    <definedName name="Excel_BuiltIn_Print_Titles_12" localSheetId="22">'[4]AEA-944'!#REF!</definedName>
    <definedName name="Excel_BuiltIn_Print_Titles_12" localSheetId="23">'[4]AEA-944'!#REF!</definedName>
    <definedName name="Excel_BuiltIn_Print_Titles_12" localSheetId="24">'[4]AEA-944'!#REF!</definedName>
    <definedName name="Excel_BuiltIn_Print_Titles_12">'[4]AEA-944'!#REF!</definedName>
    <definedName name="Excel_BuiltIn_Print_Titles_13" localSheetId="4">'[4]DUB-823'!#REF!</definedName>
    <definedName name="Excel_BuiltIn_Print_Titles_13" localSheetId="16">'[4]DUB-823'!#REF!</definedName>
    <definedName name="Excel_BuiltIn_Print_Titles_13" localSheetId="17">'[4]DUB-823'!#REF!</definedName>
    <definedName name="Excel_BuiltIn_Print_Titles_13" localSheetId="20">'[4]DUB-823'!#REF!</definedName>
    <definedName name="Excel_BuiltIn_Print_Titles_13" localSheetId="21">'[4]DUB-823'!#REF!</definedName>
    <definedName name="Excel_BuiltIn_Print_Titles_13" localSheetId="22">'[4]DUB-823'!#REF!</definedName>
    <definedName name="Excel_BuiltIn_Print_Titles_13" localSheetId="23">'[4]DUB-823'!#REF!</definedName>
    <definedName name="Excel_BuiltIn_Print_Titles_13" localSheetId="24">'[4]DUB-823'!#REF!</definedName>
    <definedName name="Excel_BuiltIn_Print_Titles_13">'[4]DUB-823'!#REF!</definedName>
    <definedName name="Excel_BuiltIn_Print_Titles_14" localSheetId="4">'[4]GPI 526'!#REF!</definedName>
    <definedName name="Excel_BuiltIn_Print_Titles_14" localSheetId="16">'[4]GPI 526'!#REF!</definedName>
    <definedName name="Excel_BuiltIn_Print_Titles_14" localSheetId="17">'[4]GPI 526'!#REF!</definedName>
    <definedName name="Excel_BuiltIn_Print_Titles_14" localSheetId="20">'[4]GPI 526'!#REF!</definedName>
    <definedName name="Excel_BuiltIn_Print_Titles_14" localSheetId="21">'[4]GPI 526'!#REF!</definedName>
    <definedName name="Excel_BuiltIn_Print_Titles_14" localSheetId="22">'[4]GPI 526'!#REF!</definedName>
    <definedName name="Excel_BuiltIn_Print_Titles_14" localSheetId="23">'[4]GPI 526'!#REF!</definedName>
    <definedName name="Excel_BuiltIn_Print_Titles_14" localSheetId="24">'[4]GPI 526'!#REF!</definedName>
    <definedName name="Excel_BuiltIn_Print_Titles_14">'[4]GPI 526'!#REF!</definedName>
    <definedName name="Excel_BuiltIn_Print_Titles_15" localSheetId="4">#REF!</definedName>
    <definedName name="Excel_BuiltIn_Print_Titles_15" localSheetId="16">#REF!</definedName>
    <definedName name="Excel_BuiltIn_Print_Titles_15" localSheetId="17">#REF!</definedName>
    <definedName name="Excel_BuiltIn_Print_Titles_15" localSheetId="20">#REF!</definedName>
    <definedName name="Excel_BuiltIn_Print_Titles_15" localSheetId="21">#REF!</definedName>
    <definedName name="Excel_BuiltIn_Print_Titles_15" localSheetId="22">#REF!</definedName>
    <definedName name="Excel_BuiltIn_Print_Titles_15" localSheetId="23">#REF!</definedName>
    <definedName name="Excel_BuiltIn_Print_Titles_15" localSheetId="24">#REF!</definedName>
    <definedName name="Excel_BuiltIn_Print_Titles_15">#REF!</definedName>
    <definedName name="Excel_BuiltIn_Print_Titles_16" localSheetId="4">#REF!</definedName>
    <definedName name="Excel_BuiltIn_Print_Titles_16" localSheetId="16">#REF!</definedName>
    <definedName name="Excel_BuiltIn_Print_Titles_16" localSheetId="17">#REF!</definedName>
    <definedName name="Excel_BuiltIn_Print_Titles_16" localSheetId="20">#REF!</definedName>
    <definedName name="Excel_BuiltIn_Print_Titles_16" localSheetId="21">#REF!</definedName>
    <definedName name="Excel_BuiltIn_Print_Titles_16" localSheetId="22">#REF!</definedName>
    <definedName name="Excel_BuiltIn_Print_Titles_16" localSheetId="23">#REF!</definedName>
    <definedName name="Excel_BuiltIn_Print_Titles_16" localSheetId="24">#REF!</definedName>
    <definedName name="Excel_BuiltIn_Print_Titles_16">#REF!</definedName>
    <definedName name="Excel_BuiltIn_Print_Titles_17" localSheetId="4">#REF!</definedName>
    <definedName name="Excel_BuiltIn_Print_Titles_17" localSheetId="16">#REF!</definedName>
    <definedName name="Excel_BuiltIn_Print_Titles_17" localSheetId="17">#REF!</definedName>
    <definedName name="Excel_BuiltIn_Print_Titles_17" localSheetId="20">#REF!</definedName>
    <definedName name="Excel_BuiltIn_Print_Titles_17" localSheetId="21">#REF!</definedName>
    <definedName name="Excel_BuiltIn_Print_Titles_17" localSheetId="22">#REF!</definedName>
    <definedName name="Excel_BuiltIn_Print_Titles_17" localSheetId="23">#REF!</definedName>
    <definedName name="Excel_BuiltIn_Print_Titles_17" localSheetId="24">#REF!</definedName>
    <definedName name="Excel_BuiltIn_Print_Titles_17">#REF!</definedName>
    <definedName name="Excel_BuiltIn_Print_Titles_18" localSheetId="4">#REF!</definedName>
    <definedName name="Excel_BuiltIn_Print_Titles_18" localSheetId="16">#REF!</definedName>
    <definedName name="Excel_BuiltIn_Print_Titles_18" localSheetId="17">#REF!</definedName>
    <definedName name="Excel_BuiltIn_Print_Titles_18" localSheetId="20">#REF!</definedName>
    <definedName name="Excel_BuiltIn_Print_Titles_18" localSheetId="21">#REF!</definedName>
    <definedName name="Excel_BuiltIn_Print_Titles_18" localSheetId="22">#REF!</definedName>
    <definedName name="Excel_BuiltIn_Print_Titles_18" localSheetId="23">#REF!</definedName>
    <definedName name="Excel_BuiltIn_Print_Titles_18" localSheetId="24">#REF!</definedName>
    <definedName name="Excel_BuiltIn_Print_Titles_18">#REF!</definedName>
    <definedName name="Excel_BuiltIn_Print_Titles_19" localSheetId="4">[4]XXJ617!#REF!</definedName>
    <definedName name="Excel_BuiltIn_Print_Titles_19" localSheetId="16">[4]XXJ617!#REF!</definedName>
    <definedName name="Excel_BuiltIn_Print_Titles_19" localSheetId="17">[4]XXJ617!#REF!</definedName>
    <definedName name="Excel_BuiltIn_Print_Titles_19" localSheetId="20">[4]XXJ617!#REF!</definedName>
    <definedName name="Excel_BuiltIn_Print_Titles_19" localSheetId="21">[4]XXJ617!#REF!</definedName>
    <definedName name="Excel_BuiltIn_Print_Titles_19" localSheetId="22">[4]XXJ617!#REF!</definedName>
    <definedName name="Excel_BuiltIn_Print_Titles_19" localSheetId="23">[4]XXJ617!#REF!</definedName>
    <definedName name="Excel_BuiltIn_Print_Titles_19" localSheetId="24">[4]XXJ617!#REF!</definedName>
    <definedName name="Excel_BuiltIn_Print_Titles_19">[4]XXJ617!#REF!</definedName>
    <definedName name="Excel_BuiltIn_Print_Titles_20" localSheetId="4">#REF!</definedName>
    <definedName name="Excel_BuiltIn_Print_Titles_20" localSheetId="16">#REF!</definedName>
    <definedName name="Excel_BuiltIn_Print_Titles_20" localSheetId="17">#REF!</definedName>
    <definedName name="Excel_BuiltIn_Print_Titles_20" localSheetId="20">#REF!</definedName>
    <definedName name="Excel_BuiltIn_Print_Titles_20" localSheetId="21">#REF!</definedName>
    <definedName name="Excel_BuiltIn_Print_Titles_20" localSheetId="22">#REF!</definedName>
    <definedName name="Excel_BuiltIn_Print_Titles_20" localSheetId="23">#REF!</definedName>
    <definedName name="Excel_BuiltIn_Print_Titles_20" localSheetId="24">#REF!</definedName>
    <definedName name="Excel_BuiltIn_Print_Titles_20">#REF!</definedName>
    <definedName name="Excel_BuiltIn_Print_Titles_21" localSheetId="4">[4]SNG_855!#REF!</definedName>
    <definedName name="Excel_BuiltIn_Print_Titles_21" localSheetId="16">[4]SNG_855!#REF!</definedName>
    <definedName name="Excel_BuiltIn_Print_Titles_21" localSheetId="17">[4]SNG_855!#REF!</definedName>
    <definedName name="Excel_BuiltIn_Print_Titles_21" localSheetId="20">[4]SNG_855!#REF!</definedName>
    <definedName name="Excel_BuiltIn_Print_Titles_21" localSheetId="21">[4]SNG_855!#REF!</definedName>
    <definedName name="Excel_BuiltIn_Print_Titles_21" localSheetId="22">[4]SNG_855!#REF!</definedName>
    <definedName name="Excel_BuiltIn_Print_Titles_21" localSheetId="23">[4]SNG_855!#REF!</definedName>
    <definedName name="Excel_BuiltIn_Print_Titles_21" localSheetId="24">[4]SNG_855!#REF!</definedName>
    <definedName name="Excel_BuiltIn_Print_Titles_21">[4]SNG_855!#REF!</definedName>
    <definedName name="Excel_BuiltIn_Print_Titles_23" localSheetId="4">#REF!</definedName>
    <definedName name="Excel_BuiltIn_Print_Titles_23" localSheetId="16">#REF!</definedName>
    <definedName name="Excel_BuiltIn_Print_Titles_23" localSheetId="17">#REF!</definedName>
    <definedName name="Excel_BuiltIn_Print_Titles_23" localSheetId="20">#REF!</definedName>
    <definedName name="Excel_BuiltIn_Print_Titles_23" localSheetId="21">#REF!</definedName>
    <definedName name="Excel_BuiltIn_Print_Titles_23" localSheetId="22">#REF!</definedName>
    <definedName name="Excel_BuiltIn_Print_Titles_23" localSheetId="23">#REF!</definedName>
    <definedName name="Excel_BuiltIn_Print_Titles_23" localSheetId="24">#REF!</definedName>
    <definedName name="Excel_BuiltIn_Print_Titles_23">#REF!</definedName>
    <definedName name="Excel_BuiltIn_Print_Titles_3" localSheetId="4">#REF!</definedName>
    <definedName name="Excel_BuiltIn_Print_Titles_3" localSheetId="16">#REF!</definedName>
    <definedName name="Excel_BuiltIn_Print_Titles_3" localSheetId="17">#REF!</definedName>
    <definedName name="Excel_BuiltIn_Print_Titles_3" localSheetId="20">#REF!</definedName>
    <definedName name="Excel_BuiltIn_Print_Titles_3" localSheetId="21">#REF!</definedName>
    <definedName name="Excel_BuiltIn_Print_Titles_3" localSheetId="22">#REF!</definedName>
    <definedName name="Excel_BuiltIn_Print_Titles_3" localSheetId="23">#REF!</definedName>
    <definedName name="Excel_BuiltIn_Print_Titles_3" localSheetId="24">#REF!</definedName>
    <definedName name="Excel_BuiltIn_Print_Titles_3">#REF!</definedName>
    <definedName name="Excel_BuiltIn_Print_Titles_5" localSheetId="4">'[4]VEA 374'!#REF!</definedName>
    <definedName name="Excel_BuiltIn_Print_Titles_5" localSheetId="16">'[4]VEA 374'!#REF!</definedName>
    <definedName name="Excel_BuiltIn_Print_Titles_5" localSheetId="17">'[4]VEA 374'!#REF!</definedName>
    <definedName name="Excel_BuiltIn_Print_Titles_5" localSheetId="20">'[4]VEA 374'!#REF!</definedName>
    <definedName name="Excel_BuiltIn_Print_Titles_5" localSheetId="21">'[4]VEA 374'!#REF!</definedName>
    <definedName name="Excel_BuiltIn_Print_Titles_5" localSheetId="22">'[4]VEA 374'!#REF!</definedName>
    <definedName name="Excel_BuiltIn_Print_Titles_5" localSheetId="23">'[4]VEA 374'!#REF!</definedName>
    <definedName name="Excel_BuiltIn_Print_Titles_5" localSheetId="24">'[4]VEA 374'!#REF!</definedName>
    <definedName name="Excel_BuiltIn_Print_Titles_5">'[4]VEA 374'!#REF!</definedName>
    <definedName name="Excel_BuiltIn_Print_Titles_5_XX" localSheetId="4">'[4]VEA 374'!#REF!</definedName>
    <definedName name="Excel_BuiltIn_Print_Titles_5_XX" localSheetId="16">'[4]VEA 374'!#REF!</definedName>
    <definedName name="Excel_BuiltIn_Print_Titles_5_XX" localSheetId="17">'[4]VEA 374'!#REF!</definedName>
    <definedName name="Excel_BuiltIn_Print_Titles_5_XX" localSheetId="20">'[4]VEA 374'!#REF!</definedName>
    <definedName name="Excel_BuiltIn_Print_Titles_5_XX" localSheetId="21">'[4]VEA 374'!#REF!</definedName>
    <definedName name="Excel_BuiltIn_Print_Titles_5_XX" localSheetId="22">'[4]VEA 374'!#REF!</definedName>
    <definedName name="Excel_BuiltIn_Print_Titles_5_XX" localSheetId="23">'[4]VEA 374'!#REF!</definedName>
    <definedName name="Excel_BuiltIn_Print_Titles_5_XX" localSheetId="24">'[4]VEA 374'!#REF!</definedName>
    <definedName name="Excel_BuiltIn_Print_Titles_5_XX">'[4]VEA 374'!#REF!</definedName>
    <definedName name="Excel_BuiltIn_Print_Titles_6" localSheetId="4">#REF!</definedName>
    <definedName name="Excel_BuiltIn_Print_Titles_6" localSheetId="16">#REF!</definedName>
    <definedName name="Excel_BuiltIn_Print_Titles_6" localSheetId="17">#REF!</definedName>
    <definedName name="Excel_BuiltIn_Print_Titles_6" localSheetId="20">#REF!</definedName>
    <definedName name="Excel_BuiltIn_Print_Titles_6" localSheetId="21">#REF!</definedName>
    <definedName name="Excel_BuiltIn_Print_Titles_6" localSheetId="22">#REF!</definedName>
    <definedName name="Excel_BuiltIn_Print_Titles_6" localSheetId="23">#REF!</definedName>
    <definedName name="Excel_BuiltIn_Print_Titles_6" localSheetId="24">#REF!</definedName>
    <definedName name="Excel_BuiltIn_Print_Titles_6">#REF!</definedName>
    <definedName name="Excel_BuiltIn_Print_Titles_7" localSheetId="4">[4]HFB024!#REF!</definedName>
    <definedName name="Excel_BuiltIn_Print_Titles_7" localSheetId="16">[4]HFB024!#REF!</definedName>
    <definedName name="Excel_BuiltIn_Print_Titles_7" localSheetId="17">[4]HFB024!#REF!</definedName>
    <definedName name="Excel_BuiltIn_Print_Titles_7" localSheetId="20">[4]HFB024!#REF!</definedName>
    <definedName name="Excel_BuiltIn_Print_Titles_7" localSheetId="21">[4]HFB024!#REF!</definedName>
    <definedName name="Excel_BuiltIn_Print_Titles_7" localSheetId="22">[4]HFB024!#REF!</definedName>
    <definedName name="Excel_BuiltIn_Print_Titles_7" localSheetId="23">[4]HFB024!#REF!</definedName>
    <definedName name="Excel_BuiltIn_Print_Titles_7" localSheetId="24">[4]HFB024!#REF!</definedName>
    <definedName name="Excel_BuiltIn_Print_Titles_7">[4]HFB024!#REF!</definedName>
    <definedName name="Excel_BuiltIn_Print_Titles_8" localSheetId="4">#REF!</definedName>
    <definedName name="Excel_BuiltIn_Print_Titles_8" localSheetId="16">#REF!</definedName>
    <definedName name="Excel_BuiltIn_Print_Titles_8" localSheetId="17">#REF!</definedName>
    <definedName name="Excel_BuiltIn_Print_Titles_8" localSheetId="20">#REF!</definedName>
    <definedName name="Excel_BuiltIn_Print_Titles_8" localSheetId="21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>#REF!</definedName>
    <definedName name="Excel_BuiltIn_Print_Titles_9" localSheetId="4">[4]PAJ825!#REF!</definedName>
    <definedName name="Excel_BuiltIn_Print_Titles_9" localSheetId="16">[4]PAJ825!#REF!</definedName>
    <definedName name="Excel_BuiltIn_Print_Titles_9" localSheetId="17">[4]PAJ825!#REF!</definedName>
    <definedName name="Excel_BuiltIn_Print_Titles_9" localSheetId="20">[4]PAJ825!#REF!</definedName>
    <definedName name="Excel_BuiltIn_Print_Titles_9" localSheetId="21">[4]PAJ825!#REF!</definedName>
    <definedName name="Excel_BuiltIn_Print_Titles_9" localSheetId="22">[4]PAJ825!#REF!</definedName>
    <definedName name="Excel_BuiltIn_Print_Titles_9" localSheetId="23">[4]PAJ825!#REF!</definedName>
    <definedName name="Excel_BuiltIn_Print_Titles_9" localSheetId="24">[4]PAJ825!#REF!</definedName>
    <definedName name="Excel_BuiltIn_Print_Titles_9">[4]PAJ825!#REF!</definedName>
    <definedName name="EXCROC">'[23]Análisis de precios'!$H$52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" localSheetId="4">'[16]Res-Accide-10'!#REF!</definedName>
    <definedName name="fer" localSheetId="23">'[16]Res-Accide-10'!#REF!</definedName>
    <definedName name="fer" localSheetId="24">'[16]Res-Accide-10'!#REF!</definedName>
    <definedName name="fer">'[16]Res-Accide-10'!#REF!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NANCIACION">[0]!ERR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u">[0]!ERR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AJ" localSheetId="4">#REF!</definedName>
    <definedName name="GAJ" localSheetId="23">#REF!</definedName>
    <definedName name="GAJ" localSheetId="24">#REF!</definedName>
    <definedName name="GAJ">#REF!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 localSheetId="4">#REF!</definedName>
    <definedName name="Geotex" localSheetId="23">#REF!</definedName>
    <definedName name="Geotex" localSheetId="24">#REF!</definedName>
    <definedName name="Geotex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4">#REF!</definedName>
    <definedName name="GRAF2" localSheetId="23">#REF!</definedName>
    <definedName name="GRAF2" localSheetId="24">#REF!</definedName>
    <definedName name="GRAF2">#REF!</definedName>
    <definedName name="GRAF3" localSheetId="4">#REF!</definedName>
    <definedName name="GRAF3" localSheetId="23">#REF!</definedName>
    <definedName name="GRAF3" localSheetId="24">#REF!</definedName>
    <definedName name="GRAF3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RUPO1" localSheetId="4">#REF!</definedName>
    <definedName name="GRUPO1" localSheetId="23">#REF!</definedName>
    <definedName name="GRUPO1" localSheetId="24">#REF!</definedName>
    <definedName name="GRUPO1">#REF!</definedName>
    <definedName name="GRUPO123" localSheetId="4">#REF!</definedName>
    <definedName name="GRUPO123" localSheetId="23">#REF!</definedName>
    <definedName name="GRUPO123" localSheetId="24">#REF!</definedName>
    <definedName name="GRUPO123">#REF!</definedName>
    <definedName name="GRUPO13" localSheetId="4">#REF!</definedName>
    <definedName name="GRUPO13" localSheetId="23">#REF!</definedName>
    <definedName name="GRUPO13" localSheetId="24">#REF!</definedName>
    <definedName name="GRUPO13">#REF!</definedName>
    <definedName name="GRUPO2" localSheetId="4">#REF!</definedName>
    <definedName name="GRUPO2" localSheetId="23">#REF!</definedName>
    <definedName name="GRUPO2" localSheetId="24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[24]BASE!$C$4:$H$255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RE" localSheetId="4">#REF!</definedName>
    <definedName name="GTRE" localSheetId="23">#REF!</definedName>
    <definedName name="GTRE" localSheetId="24">#REF!</definedName>
    <definedName name="GTRE">#REF!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n" hidden="1">{"TAB1",#N/A,TRUE,"GENERAL";"TAB2",#N/A,TRUE,"GENERAL";"TAB3",#N/A,TRUE,"GENERAL";"TAB4",#N/A,TRUE,"GENERAL";"TAB5",#N/A,TRUE,"GENERAL"}</definedName>
    <definedName name="HOJA1" localSheetId="4">#REF!</definedName>
    <definedName name="HOJA1" localSheetId="23">#REF!</definedName>
    <definedName name="HOJA1" localSheetId="24">#REF!</definedName>
    <definedName name="HOJA1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4">#REF!</definedName>
    <definedName name="I" localSheetId="23">#REF!</definedName>
    <definedName name="I" localSheetId="24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[0]!ERR</definedName>
    <definedName name="IF" localSheetId="4">'[18]A. P. U.'!#REF!</definedName>
    <definedName name="IF" localSheetId="23">'[18]A. P. U.'!#REF!</definedName>
    <definedName name="IF" localSheetId="24">'[18]A. P. U.'!#REF!</definedName>
    <definedName name="IF">'[18]A. P. U.'!#REF!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[5]otros!$C$3</definedName>
    <definedName name="INDICE" localSheetId="4">#REF!</definedName>
    <definedName name="INDICE" localSheetId="23">#REF!</definedName>
    <definedName name="INDICE" localSheetId="24">#REF!</definedName>
    <definedName name="INDICE">#REF!</definedName>
    <definedName name="inf" localSheetId="4">#REF!</definedName>
    <definedName name="inf" localSheetId="21">#REF!</definedName>
    <definedName name="inf" localSheetId="22">#REF!</definedName>
    <definedName name="inf" localSheetId="23">#REF!</definedName>
    <definedName name="inf" localSheetId="24">#REF!</definedName>
    <definedName name="inf">#REF!</definedName>
    <definedName name="Inicio">[14]BASES!$E$26</definedName>
    <definedName name="Insumos_auxiliares" localSheetId="4">[25]Insumos!#REF!</definedName>
    <definedName name="Insumos_auxiliares" localSheetId="23">[25]Insumos!#REF!</definedName>
    <definedName name="Insumos_auxiliares" localSheetId="24">[25]Insumos!#REF!</definedName>
    <definedName name="Insumos_auxiliares">[25]Insumos!#REF!</definedName>
    <definedName name="Insumos_basicos" localSheetId="4">#REF!</definedName>
    <definedName name="Insumos_basicos" localSheetId="23">#REF!</definedName>
    <definedName name="Insumos_basicos" localSheetId="24">#REF!</definedName>
    <definedName name="Insumos_basicos">#REF!</definedName>
    <definedName name="INV_11">'[26]PR 1'!$A$2:$N$655</definedName>
    <definedName name="IOUHH">[0]!ERR</definedName>
    <definedName name="ITEM">[24]BASE!$C$4:$H$255</definedName>
    <definedName name="ITEM1" localSheetId="4">#REF!</definedName>
    <definedName name="ITEM1" localSheetId="21">#REF!</definedName>
    <definedName name="ITEM1" localSheetId="22">#REF!</definedName>
    <definedName name="ITEM1" localSheetId="23">#REF!</definedName>
    <definedName name="ITEM1" localSheetId="24">#REF!</definedName>
    <definedName name="ITEM1">#REF!</definedName>
    <definedName name="ITEM15" localSheetId="4">#REF!</definedName>
    <definedName name="ITEM15" localSheetId="21">#REF!</definedName>
    <definedName name="ITEM15" localSheetId="22">#REF!</definedName>
    <definedName name="ITEM15" localSheetId="23">#REF!</definedName>
    <definedName name="ITEM15" localSheetId="24">#REF!</definedName>
    <definedName name="ITEM15">#REF!</definedName>
    <definedName name="ITEM2" localSheetId="4">#REF!</definedName>
    <definedName name="ITEM2" localSheetId="21">#REF!</definedName>
    <definedName name="ITEM2" localSheetId="22">#REF!</definedName>
    <definedName name="ITEM2" localSheetId="23">#REF!</definedName>
    <definedName name="ITEM2" localSheetId="24">#REF!</definedName>
    <definedName name="ITEM2">#REF!</definedName>
    <definedName name="item210.3" localSheetId="4">#REF!</definedName>
    <definedName name="item210.3" localSheetId="23">#REF!</definedName>
    <definedName name="item210.3" localSheetId="24">#REF!</definedName>
    <definedName name="item210.3">#REF!</definedName>
    <definedName name="item230.1" localSheetId="4">#REF!</definedName>
    <definedName name="item230.1" localSheetId="23">#REF!</definedName>
    <definedName name="item230.1" localSheetId="24">#REF!</definedName>
    <definedName name="item230.1">#REF!</definedName>
    <definedName name="ITEM3" localSheetId="4">#REF!</definedName>
    <definedName name="ITEM3" localSheetId="21">#REF!</definedName>
    <definedName name="ITEM3" localSheetId="22">#REF!</definedName>
    <definedName name="ITEM3" localSheetId="23">#REF!</definedName>
    <definedName name="ITEM3" localSheetId="24">#REF!</definedName>
    <definedName name="ITEM3">#REF!</definedName>
    <definedName name="item310" localSheetId="4">#REF!</definedName>
    <definedName name="item310" localSheetId="23">#REF!</definedName>
    <definedName name="item310" localSheetId="24">#REF!</definedName>
    <definedName name="item310">#REF!</definedName>
    <definedName name="item320.2" localSheetId="4">#REF!</definedName>
    <definedName name="item320.2" localSheetId="23">#REF!</definedName>
    <definedName name="item320.2" localSheetId="24">#REF!</definedName>
    <definedName name="item320.2">#REF!</definedName>
    <definedName name="item330.1" localSheetId="4">#REF!</definedName>
    <definedName name="item330.1" localSheetId="23">#REF!</definedName>
    <definedName name="item330.1" localSheetId="24">#REF!</definedName>
    <definedName name="item330.1">#REF!</definedName>
    <definedName name="item420" localSheetId="4">#REF!</definedName>
    <definedName name="item420" localSheetId="23">#REF!</definedName>
    <definedName name="item420" localSheetId="24">#REF!</definedName>
    <definedName name="item420">#REF!</definedName>
    <definedName name="item450.2P" localSheetId="4">#REF!</definedName>
    <definedName name="item450.2P" localSheetId="23">#REF!</definedName>
    <definedName name="item450.2P" localSheetId="24">#REF!</definedName>
    <definedName name="item450.2P">#REF!</definedName>
    <definedName name="item600.1" localSheetId="4">#REF!</definedName>
    <definedName name="item600.1" localSheetId="23">#REF!</definedName>
    <definedName name="item600.1" localSheetId="24">#REF!</definedName>
    <definedName name="item600.1">#REF!</definedName>
    <definedName name="item610.1" localSheetId="4">#REF!</definedName>
    <definedName name="item610.1" localSheetId="23">#REF!</definedName>
    <definedName name="item610.1" localSheetId="24">#REF!</definedName>
    <definedName name="item610.1">#REF!</definedName>
    <definedName name="item610.2" localSheetId="4">#REF!</definedName>
    <definedName name="item610.2" localSheetId="23">#REF!</definedName>
    <definedName name="item610.2" localSheetId="24">#REF!</definedName>
    <definedName name="item610.2">#REF!</definedName>
    <definedName name="item630.4" localSheetId="4">#REF!</definedName>
    <definedName name="item630.4" localSheetId="23">#REF!</definedName>
    <definedName name="item630.4" localSheetId="24">#REF!</definedName>
    <definedName name="item630.4">#REF!</definedName>
    <definedName name="item630.6" localSheetId="4">#REF!</definedName>
    <definedName name="item630.6" localSheetId="23">#REF!</definedName>
    <definedName name="item630.6" localSheetId="24">#REF!</definedName>
    <definedName name="item630.6">#REF!</definedName>
    <definedName name="item630.7" localSheetId="4">#REF!</definedName>
    <definedName name="item630.7" localSheetId="23">#REF!</definedName>
    <definedName name="item630.7" localSheetId="24">#REF!</definedName>
    <definedName name="item630.7">#REF!</definedName>
    <definedName name="item640.3" localSheetId="4">#REF!</definedName>
    <definedName name="item640.3" localSheetId="23">#REF!</definedName>
    <definedName name="item640.3" localSheetId="24">#REF!</definedName>
    <definedName name="item640.3">#REF!</definedName>
    <definedName name="item661" localSheetId="4">#REF!</definedName>
    <definedName name="item661" localSheetId="23">#REF!</definedName>
    <definedName name="item661" localSheetId="24">#REF!</definedName>
    <definedName name="item661">#REF!</definedName>
    <definedName name="item671" localSheetId="4">#REF!</definedName>
    <definedName name="item671" localSheetId="23">#REF!</definedName>
    <definedName name="item671" localSheetId="24">#REF!</definedName>
    <definedName name="item671">#REF!</definedName>
    <definedName name="item673.1" localSheetId="4">#REF!</definedName>
    <definedName name="item673.1" localSheetId="23">#REF!</definedName>
    <definedName name="item673.1" localSheetId="24">#REF!</definedName>
    <definedName name="item673.1">#REF!</definedName>
    <definedName name="item673.3" localSheetId="4">#REF!</definedName>
    <definedName name="item673.3" localSheetId="23">#REF!</definedName>
    <definedName name="item673.3" localSheetId="24">#REF!</definedName>
    <definedName name="item673.3">#REF!</definedName>
    <definedName name="item681" localSheetId="4">#REF!</definedName>
    <definedName name="item681" localSheetId="23">#REF!</definedName>
    <definedName name="item681" localSheetId="24">#REF!</definedName>
    <definedName name="item681">#REF!</definedName>
    <definedName name="item700.1" localSheetId="4">#REF!</definedName>
    <definedName name="item700.1" localSheetId="23">#REF!</definedName>
    <definedName name="item700.1" localSheetId="24">#REF!</definedName>
    <definedName name="item700.1">#REF!</definedName>
    <definedName name="item710.1" localSheetId="4">#REF!</definedName>
    <definedName name="item710.1" localSheetId="23">#REF!</definedName>
    <definedName name="item710.1" localSheetId="24">#REF!</definedName>
    <definedName name="item710.1">#REF!</definedName>
    <definedName name="item710.2" localSheetId="4">#REF!</definedName>
    <definedName name="item710.2" localSheetId="23">#REF!</definedName>
    <definedName name="item710.2" localSheetId="24">#REF!</definedName>
    <definedName name="item710.2">#REF!</definedName>
    <definedName name="item730.1" localSheetId="4">#REF!</definedName>
    <definedName name="item730.1" localSheetId="23">#REF!</definedName>
    <definedName name="item730.1" localSheetId="24">#REF!</definedName>
    <definedName name="item730.1">#REF!</definedName>
    <definedName name="item730.2" localSheetId="4">#REF!</definedName>
    <definedName name="item730.2" localSheetId="23">#REF!</definedName>
    <definedName name="item730.2" localSheetId="24">#REF!</definedName>
    <definedName name="item730.2">#REF!</definedName>
    <definedName name="item730.2.4" localSheetId="4">#REF!</definedName>
    <definedName name="item730.2.4" localSheetId="23">#REF!</definedName>
    <definedName name="item730.2.4" localSheetId="24">#REF!</definedName>
    <definedName name="item730.2.4">#REF!</definedName>
    <definedName name="item900.2" localSheetId="4">#REF!</definedName>
    <definedName name="item900.2" localSheetId="23">#REF!</definedName>
    <definedName name="item900.2" localSheetId="24">#REF!</definedName>
    <definedName name="item900.2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4">#REF!</definedName>
    <definedName name="IVA" localSheetId="23">#REF!</definedName>
    <definedName name="IVA" localSheetId="24">#REF!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4">#REF!</definedName>
    <definedName name="jkl" localSheetId="23">#REF!</definedName>
    <definedName name="jkl" localSheetId="24">#REF!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4">#REF!</definedName>
    <definedName name="jvv" localSheetId="23">#REF!</definedName>
    <definedName name="jvv" localSheetId="24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4">#REF!</definedName>
    <definedName name="K0F1" localSheetId="23">#REF!</definedName>
    <definedName name="K0F1" localSheetId="24">#REF!</definedName>
    <definedName name="K0F1">#REF!</definedName>
    <definedName name="K0F2" localSheetId="4">#REF!</definedName>
    <definedName name="K0F2" localSheetId="23">#REF!</definedName>
    <definedName name="K0F2" localSheetId="24">#REF!</definedName>
    <definedName name="K0F2">#REF!</definedName>
    <definedName name="K10ALO" localSheetId="4">#REF!</definedName>
    <definedName name="K10ALO" localSheetId="23">#REF!</definedName>
    <definedName name="K10ALO" localSheetId="24">#REF!</definedName>
    <definedName name="K10ALO">#REF!</definedName>
    <definedName name="K11ALO" localSheetId="4">#REF!</definedName>
    <definedName name="K11ALO" localSheetId="23">#REF!</definedName>
    <definedName name="K11ALO" localSheetId="24">#REF!</definedName>
    <definedName name="K11ALO">#REF!</definedName>
    <definedName name="K1F1" localSheetId="4">#REF!</definedName>
    <definedName name="K1F1" localSheetId="23">#REF!</definedName>
    <definedName name="K1F1" localSheetId="24">#REF!</definedName>
    <definedName name="K1F1">#REF!</definedName>
    <definedName name="K1F2" localSheetId="4">#REF!</definedName>
    <definedName name="K1F2" localSheetId="23">#REF!</definedName>
    <definedName name="K1F2" localSheetId="24">#REF!</definedName>
    <definedName name="K1F2">#REF!</definedName>
    <definedName name="K2F1" localSheetId="4">#REF!</definedName>
    <definedName name="K2F1" localSheetId="23">#REF!</definedName>
    <definedName name="K2F1" localSheetId="24">#REF!</definedName>
    <definedName name="K2F1">#REF!</definedName>
    <definedName name="K2F2" localSheetId="4">#REF!</definedName>
    <definedName name="K2F2" localSheetId="23">#REF!</definedName>
    <definedName name="K2F2" localSheetId="24">#REF!</definedName>
    <definedName name="K2F2">#REF!</definedName>
    <definedName name="K3F1" localSheetId="4">#REF!</definedName>
    <definedName name="K3F1" localSheetId="23">#REF!</definedName>
    <definedName name="K3F1" localSheetId="24">#REF!</definedName>
    <definedName name="K3F1">#REF!</definedName>
    <definedName name="K3F2" localSheetId="4">#REF!</definedName>
    <definedName name="K3F2" localSheetId="23">#REF!</definedName>
    <definedName name="K3F2" localSheetId="24">#REF!</definedName>
    <definedName name="K3F2">#REF!</definedName>
    <definedName name="K4F1" localSheetId="4">#REF!</definedName>
    <definedName name="K4F1" localSheetId="23">#REF!</definedName>
    <definedName name="K4F1" localSheetId="24">#REF!</definedName>
    <definedName name="K4F1">#REF!</definedName>
    <definedName name="K4F2" localSheetId="4">#REF!</definedName>
    <definedName name="K4F2" localSheetId="23">#REF!</definedName>
    <definedName name="K4F2" localSheetId="24">#REF!</definedName>
    <definedName name="K4F2">#REF!</definedName>
    <definedName name="K5F1" localSheetId="4">#REF!</definedName>
    <definedName name="K5F1" localSheetId="23">#REF!</definedName>
    <definedName name="K5F1" localSheetId="24">#REF!</definedName>
    <definedName name="K5F1">#REF!</definedName>
    <definedName name="K5F2" localSheetId="4">#REF!</definedName>
    <definedName name="K5F2" localSheetId="23">#REF!</definedName>
    <definedName name="K5F2" localSheetId="24">#REF!</definedName>
    <definedName name="K5F2">#REF!</definedName>
    <definedName name="K6F1" localSheetId="4">#REF!</definedName>
    <definedName name="K6F1" localSheetId="23">#REF!</definedName>
    <definedName name="K6F1" localSheetId="24">#REF!</definedName>
    <definedName name="K6F1">#REF!</definedName>
    <definedName name="K6F2" localSheetId="4">#REF!</definedName>
    <definedName name="K6F2" localSheetId="23">#REF!</definedName>
    <definedName name="K6F2" localSheetId="24">#REF!</definedName>
    <definedName name="K6F2">#REF!</definedName>
    <definedName name="K7F1" localSheetId="4">#REF!</definedName>
    <definedName name="K7F1" localSheetId="23">#REF!</definedName>
    <definedName name="K7F1" localSheetId="24">#REF!</definedName>
    <definedName name="K7F1">#REF!</definedName>
    <definedName name="K7F2" localSheetId="4">#REF!</definedName>
    <definedName name="K7F2" localSheetId="23">#REF!</definedName>
    <definedName name="K7F2" localSheetId="24">#REF!</definedName>
    <definedName name="K7F2">#REF!</definedName>
    <definedName name="K8ALO" localSheetId="4">#REF!</definedName>
    <definedName name="K8ALO" localSheetId="23">#REF!</definedName>
    <definedName name="K8ALO" localSheetId="24">#REF!</definedName>
    <definedName name="K8ALO">#REF!</definedName>
    <definedName name="K8F1" localSheetId="4">#REF!</definedName>
    <definedName name="K8F1" localSheetId="23">#REF!</definedName>
    <definedName name="K8F1" localSheetId="24">#REF!</definedName>
    <definedName name="K8F1">#REF!</definedName>
    <definedName name="K8F2" localSheetId="4">#REF!</definedName>
    <definedName name="K8F2" localSheetId="23">#REF!</definedName>
    <definedName name="K8F2" localSheetId="24">#REF!</definedName>
    <definedName name="K8F2">#REF!</definedName>
    <definedName name="K9ALO" localSheetId="4">#REF!</definedName>
    <definedName name="K9ALO" localSheetId="23">#REF!</definedName>
    <definedName name="K9ALO" localSheetId="24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 localSheetId="4">#REF!</definedName>
    <definedName name="klklk" localSheetId="23">#REF!</definedName>
    <definedName name="klklk" localSheetId="24">#REF!</definedName>
    <definedName name="klklk">#REF!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ICITACION" localSheetId="4">#REF!</definedName>
    <definedName name="LICITACION" localSheetId="23">#REF!</definedName>
    <definedName name="LICITACION" localSheetId="24">#REF!</definedName>
    <definedName name="LICITACION">#REF!</definedName>
    <definedName name="LINEA" localSheetId="4">[27]CONT_ADI!#REF!</definedName>
    <definedName name="LINEA" localSheetId="23">[27]CONT_ADI!#REF!</definedName>
    <definedName name="LINEA" localSheetId="24">[27]CONT_ADI!#REF!</definedName>
    <definedName name="LINEA">[27]CONT_ADI!#REF!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CA" localSheetId="4">[8]!absc</definedName>
    <definedName name="LOCA" localSheetId="23">[8]!absc</definedName>
    <definedName name="LOCA" localSheetId="24">[8]!absc</definedName>
    <definedName name="LOCA">[8]!absc</definedName>
    <definedName name="LOCA1" localSheetId="4">[17]!absc</definedName>
    <definedName name="LOCA1" localSheetId="23">[17]!absc</definedName>
    <definedName name="LOCA1" localSheetId="24">[17]!absc</definedName>
    <definedName name="LOCA1">[17]!absc</definedName>
    <definedName name="LOCALIZACION_Y_REPLANTEO" localSheetId="4">#REF!</definedName>
    <definedName name="LOCALIZACION_Y_REPLANTEO" localSheetId="23">#REF!</definedName>
    <definedName name="LOCALIZACION_Y_REPLANTEO" localSheetId="24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lun" localSheetId="4">'[16]Res-Accide-10'!#REF!</definedName>
    <definedName name="lun" localSheetId="23">'[16]Res-Accide-10'!#REF!</definedName>
    <definedName name="lun" localSheetId="24">'[16]Res-Accide-10'!#REF!</definedName>
    <definedName name="lun">'[16]Res-Accide-10'!#REF!</definedName>
    <definedName name="MA" localSheetId="4">'[16]Res-Accide-10'!#REF!</definedName>
    <definedName name="MA" localSheetId="23">'[16]Res-Accide-10'!#REF!</definedName>
    <definedName name="MA" localSheetId="24">'[16]Res-Accide-10'!#REF!</definedName>
    <definedName name="MA">'[16]Res-Accide-10'!#REF!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[20]Insum!$A$68:$H$98</definedName>
    <definedName name="mar" localSheetId="4">'[16]Res-Accide-10'!#REF!</definedName>
    <definedName name="mar" localSheetId="23">'[16]Res-Accide-10'!#REF!</definedName>
    <definedName name="mar" localSheetId="24">'[16]Res-Accide-10'!#REF!</definedName>
    <definedName name="mar">'[16]Res-Accide-10'!#REF!</definedName>
    <definedName name="masor" hidden="1">{"via1",#N/A,TRUE,"general";"via2",#N/A,TRUE,"general";"via3",#N/A,TRUE,"general"}</definedName>
    <definedName name="MAT" localSheetId="4">#REF!</definedName>
    <definedName name="MAT" localSheetId="23">#REF!</definedName>
    <definedName name="MAT" localSheetId="24">#REF!</definedName>
    <definedName name="MAT">#REF!</definedName>
    <definedName name="materiales">[22]materiales!$A$7:$A$1317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ES">[5]PRESUPUESTO!$C$13</definedName>
    <definedName name="MESES" localSheetId="4">#REF!</definedName>
    <definedName name="MESES" localSheetId="23">#REF!</definedName>
    <definedName name="MESES" localSheetId="24">#REF!</definedName>
    <definedName name="MESES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MBRE" localSheetId="4">#REF!</definedName>
    <definedName name="NOMBRE" localSheetId="23">#REF!</definedName>
    <definedName name="NOMBRE" localSheetId="24">#REF!</definedName>
    <definedName name="NOMBRE">#REF!</definedName>
    <definedName name="NUEVO" localSheetId="4">#REF!</definedName>
    <definedName name="NUEVO" localSheetId="23">#REF!</definedName>
    <definedName name="NUEVO" localSheetId="24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4">#REF!</definedName>
    <definedName name="º1" localSheetId="23">#REF!</definedName>
    <definedName name="º1" localSheetId="24">#REF!</definedName>
    <definedName name="º1">#REF!</definedName>
    <definedName name="o9o9" hidden="1">{"via1",#N/A,TRUE,"general";"via2",#N/A,TRUE,"general";"via3",#N/A,TRUE,"general"}</definedName>
    <definedName name="OBJ">[5]PRESUPUESTO!$C$10</definedName>
    <definedName name="Obra" localSheetId="4">#REF!</definedName>
    <definedName name="Obra" localSheetId="23">#REF!</definedName>
    <definedName name="Obra" localSheetId="24">#REF!</definedName>
    <definedName name="Obr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tros">[22]otros!$A$6:$A$1235</definedName>
    <definedName name="p0p0" hidden="1">{"via1",#N/A,TRUE,"general";"via2",#N/A,TRUE,"general";"via3",#N/A,TRUE,"general"}</definedName>
    <definedName name="PEPE">[0]!ERR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[14]BASES!$E$27</definedName>
    <definedName name="PlazoAIU" localSheetId="4">#REF!</definedName>
    <definedName name="PlazoAIU" localSheetId="23">#REF!</definedName>
    <definedName name="PlazoAIU" localSheetId="24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OCETAS" localSheetId="4">#REF!</definedName>
    <definedName name="POCETAS" localSheetId="23">#REF!</definedName>
    <definedName name="POCETAS" localSheetId="24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4">#REF!</definedName>
    <definedName name="popu" localSheetId="23">#REF!</definedName>
    <definedName name="popu" localSheetId="24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4">#REF!</definedName>
    <definedName name="porc" localSheetId="23">#REF!</definedName>
    <definedName name="porc" localSheetId="24">#REF!</definedName>
    <definedName name="porc">#REF!</definedName>
    <definedName name="PORCE">[15]BASES!$E$26</definedName>
    <definedName name="pouig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4">#REF!</definedName>
    <definedName name="PRE" localSheetId="23">#REF!</definedName>
    <definedName name="PRE" localSheetId="24">#REF!</definedName>
    <definedName name="PRE">#REF!</definedName>
    <definedName name="PREST" localSheetId="4">#REF!</definedName>
    <definedName name="PREST" localSheetId="23">#REF!</definedName>
    <definedName name="PREST" localSheetId="24">#REF!</definedName>
    <definedName name="PREST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 localSheetId="4">#REF!</definedName>
    <definedName name="Print_Area_MI" localSheetId="23">#REF!</definedName>
    <definedName name="Print_Area_MI" localSheetId="24">#REF!</definedName>
    <definedName name="Print_Area_MI">#REF!</definedName>
    <definedName name="PRINT_TITLES">#N/A</definedName>
    <definedName name="PRINT_TITLES_MI">#N/A</definedName>
    <definedName name="PrOfic">[14]BASES!$B$31</definedName>
    <definedName name="programainv">[0]!ERR</definedName>
    <definedName name="Proponente" localSheetId="4">#REF!</definedName>
    <definedName name="Proponente" localSheetId="23">#REF!</definedName>
    <definedName name="Proponente" localSheetId="24">#REF!</definedName>
    <definedName name="Proponente">#REF!</definedName>
    <definedName name="PRUEBA" localSheetId="4">[28]!absc</definedName>
    <definedName name="PRUEBA" localSheetId="23">[28]!absc</definedName>
    <definedName name="PRUEBA" localSheetId="24">[28]!absc</definedName>
    <definedName name="PRUEBA">[28]!absc</definedName>
    <definedName name="prueba1" localSheetId="4">[28]!absc</definedName>
    <definedName name="prueba1" localSheetId="23">[28]!absc</definedName>
    <definedName name="prueba1" localSheetId="24">[28]!absc</definedName>
    <definedName name="prueba1">[28]!absc</definedName>
    <definedName name="PRUEBA2" localSheetId="4">#REF!</definedName>
    <definedName name="PRUEBA2" localSheetId="23">#REF!</definedName>
    <definedName name="PRUEBA2" localSheetId="24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" localSheetId="4">#REF!</definedName>
    <definedName name="Q" localSheetId="23">#REF!</definedName>
    <definedName name="Q" localSheetId="24">#REF!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4">#REF!</definedName>
    <definedName name="qaz" localSheetId="23">#REF!</definedName>
    <definedName name="qaz" localSheetId="24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l" localSheetId="4">#REF!</definedName>
    <definedName name="rell" localSheetId="23">#REF!</definedName>
    <definedName name="rell" localSheetId="24">#REF!</definedName>
    <definedName name="rell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enc">[14]BASES!$E$31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">[0]!ERR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Minimo">[14]BASES!$E$41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TOR" localSheetId="4">#REF!</definedName>
    <definedName name="SECTOR" localSheetId="23">#REF!</definedName>
    <definedName name="SECTOR" localSheetId="24">#REF!</definedName>
    <definedName name="SECTOR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>[0]!ERR</definedName>
    <definedName name="SISISIS">[0]!ERR</definedName>
    <definedName name="solver_adj" localSheetId="1" hidden="1">'PRESUPUESTO OFICIAL'!$K$26</definedName>
    <definedName name="solver_adj" localSheetId="7" hidden="1">'SV-03'!#REF!</definedName>
    <definedName name="solver_adj" localSheetId="8" hidden="1">'SV-04'!#REF!</definedName>
    <definedName name="solver_adj" localSheetId="13" hidden="1">'SV-09'!#REF!</definedName>
    <definedName name="solver_adj" localSheetId="17" hidden="1">'SV-13'!#REF!</definedName>
    <definedName name="solver_adj" localSheetId="18" hidden="1">'SV-14'!#REF!</definedName>
    <definedName name="solver_cvg" localSheetId="1" hidden="1">0.0001</definedName>
    <definedName name="solver_cvg" localSheetId="7" hidden="1">0.0001</definedName>
    <definedName name="solver_cvg" localSheetId="8" hidden="1">0.0001</definedName>
    <definedName name="solver_cvg" localSheetId="13" hidden="1">0.0001</definedName>
    <definedName name="solver_cvg" localSheetId="17" hidden="1">0.0001</definedName>
    <definedName name="solver_cvg" localSheetId="18" hidden="1">0.0001</definedName>
    <definedName name="solver_drv" localSheetId="1" hidden="1">1</definedName>
    <definedName name="solver_drv" localSheetId="7" hidden="1">1</definedName>
    <definedName name="solver_drv" localSheetId="8" hidden="1">1</definedName>
    <definedName name="solver_drv" localSheetId="13" hidden="1">1</definedName>
    <definedName name="solver_drv" localSheetId="17" hidden="1">1</definedName>
    <definedName name="solver_drv" localSheetId="18" hidden="1">1</definedName>
    <definedName name="solver_est" localSheetId="1" hidden="1">1</definedName>
    <definedName name="solver_est" localSheetId="7" hidden="1">1</definedName>
    <definedName name="solver_est" localSheetId="8" hidden="1">1</definedName>
    <definedName name="solver_est" localSheetId="13" hidden="1">1</definedName>
    <definedName name="solver_est" localSheetId="17" hidden="1">1</definedName>
    <definedName name="solver_est" localSheetId="18" hidden="1">1</definedName>
    <definedName name="solver_itr" localSheetId="1" hidden="1">100</definedName>
    <definedName name="solver_itr" localSheetId="7" hidden="1">100</definedName>
    <definedName name="solver_itr" localSheetId="8" hidden="1">100</definedName>
    <definedName name="solver_itr" localSheetId="13" hidden="1">100</definedName>
    <definedName name="solver_itr" localSheetId="17" hidden="1">100</definedName>
    <definedName name="solver_itr" localSheetId="18" hidden="1">100</definedName>
    <definedName name="solver_lhs1" localSheetId="1" hidden="1">'PRESUPUESTO OFICIAL'!$K$40</definedName>
    <definedName name="solver_lhs1" localSheetId="7" hidden="1">'SV-03'!#REF!</definedName>
    <definedName name="solver_lhs1" localSheetId="8" hidden="1">'SV-04'!#REF!</definedName>
    <definedName name="solver_lhs1" localSheetId="13" hidden="1">'SV-09'!#REF!</definedName>
    <definedName name="solver_lin" localSheetId="1" hidden="1">2</definedName>
    <definedName name="solver_lin" localSheetId="7" hidden="1">2</definedName>
    <definedName name="solver_lin" localSheetId="8" hidden="1">2</definedName>
    <definedName name="solver_lin" localSheetId="13" hidden="1">2</definedName>
    <definedName name="solver_lin" localSheetId="17" hidden="1">2</definedName>
    <definedName name="solver_lin" localSheetId="18" hidden="1">2</definedName>
    <definedName name="solver_neg" localSheetId="1" hidden="1">2</definedName>
    <definedName name="solver_neg" localSheetId="7" hidden="1">2</definedName>
    <definedName name="solver_neg" localSheetId="8" hidden="1">2</definedName>
    <definedName name="solver_neg" localSheetId="13" hidden="1">2</definedName>
    <definedName name="solver_neg" localSheetId="17" hidden="1">2</definedName>
    <definedName name="solver_neg" localSheetId="18" hidden="1">2</definedName>
    <definedName name="solver_num" localSheetId="1" hidden="1">1</definedName>
    <definedName name="solver_num" localSheetId="7" hidden="1">1</definedName>
    <definedName name="solver_num" localSheetId="8" hidden="1">1</definedName>
    <definedName name="solver_num" localSheetId="13" hidden="1">1</definedName>
    <definedName name="solver_num" localSheetId="17" hidden="1">0</definedName>
    <definedName name="solver_num" localSheetId="18" hidden="1">0</definedName>
    <definedName name="solver_nwt" localSheetId="1" hidden="1">1</definedName>
    <definedName name="solver_nwt" localSheetId="7" hidden="1">1</definedName>
    <definedName name="solver_nwt" localSheetId="8" hidden="1">1</definedName>
    <definedName name="solver_nwt" localSheetId="13" hidden="1">1</definedName>
    <definedName name="solver_nwt" localSheetId="17" hidden="1">1</definedName>
    <definedName name="solver_nwt" localSheetId="18" hidden="1">1</definedName>
    <definedName name="solver_opt" localSheetId="1" hidden="1">'PRESUPUESTO OFICIAL'!$K$40</definedName>
    <definedName name="solver_opt" localSheetId="7" hidden="1">'SV-03'!#REF!</definedName>
    <definedName name="solver_opt" localSheetId="8" hidden="1">'SV-04'!#REF!</definedName>
    <definedName name="solver_opt" localSheetId="13" hidden="1">'SV-09'!#REF!</definedName>
    <definedName name="solver_opt" localSheetId="17" hidden="1">'SV-13'!#REF!</definedName>
    <definedName name="solver_opt" localSheetId="18" hidden="1">'SV-14'!#REF!</definedName>
    <definedName name="solver_pre" localSheetId="1" hidden="1">0.000001</definedName>
    <definedName name="solver_pre" localSheetId="7" hidden="1">0.000001</definedName>
    <definedName name="solver_pre" localSheetId="8" hidden="1">0.000001</definedName>
    <definedName name="solver_pre" localSheetId="13" hidden="1">0.000001</definedName>
    <definedName name="solver_pre" localSheetId="17" hidden="1">0.000001</definedName>
    <definedName name="solver_pre" localSheetId="18" hidden="1">0.000001</definedName>
    <definedName name="solver_rel1" localSheetId="1" hidden="1">2</definedName>
    <definedName name="solver_rel1" localSheetId="7" hidden="1">2</definedName>
    <definedName name="solver_rel1" localSheetId="8" hidden="1">2</definedName>
    <definedName name="solver_rel1" localSheetId="13" hidden="1">2</definedName>
    <definedName name="solver_rhs1" localSheetId="1" hidden="1">'PRESUPUESTO OFICIAL'!$K$41</definedName>
    <definedName name="solver_rhs1" localSheetId="7" hidden="1">'SV-03'!#REF!</definedName>
    <definedName name="solver_rhs1" localSheetId="8" hidden="1">'SV-04'!#REF!</definedName>
    <definedName name="solver_rhs1" localSheetId="13" hidden="1">'SV-09'!#REF!</definedName>
    <definedName name="solver_scl" localSheetId="1" hidden="1">2</definedName>
    <definedName name="solver_scl" localSheetId="7" hidden="1">2</definedName>
    <definedName name="solver_scl" localSheetId="8" hidden="1">2</definedName>
    <definedName name="solver_scl" localSheetId="13" hidden="1">2</definedName>
    <definedName name="solver_scl" localSheetId="17" hidden="1">2</definedName>
    <definedName name="solver_scl" localSheetId="18" hidden="1">2</definedName>
    <definedName name="solver_sho" localSheetId="1" hidden="1">2</definedName>
    <definedName name="solver_sho" localSheetId="7" hidden="1">2</definedName>
    <definedName name="solver_sho" localSheetId="8" hidden="1">2</definedName>
    <definedName name="solver_sho" localSheetId="13" hidden="1">2</definedName>
    <definedName name="solver_sho" localSheetId="17" hidden="1">2</definedName>
    <definedName name="solver_sho" localSheetId="18" hidden="1">2</definedName>
    <definedName name="solver_tim" localSheetId="1" hidden="1">100</definedName>
    <definedName name="solver_tim" localSheetId="7" hidden="1">100</definedName>
    <definedName name="solver_tim" localSheetId="8" hidden="1">100</definedName>
    <definedName name="solver_tim" localSheetId="13" hidden="1">100</definedName>
    <definedName name="solver_tim" localSheetId="17" hidden="1">100</definedName>
    <definedName name="solver_tim" localSheetId="18" hidden="1">100</definedName>
    <definedName name="solver_tol" localSheetId="1" hidden="1">0.05</definedName>
    <definedName name="solver_tol" localSheetId="7" hidden="1">0.05</definedName>
    <definedName name="solver_tol" localSheetId="8" hidden="1">0.05</definedName>
    <definedName name="solver_tol" localSheetId="13" hidden="1">0.05</definedName>
    <definedName name="solver_tol" localSheetId="17" hidden="1">0.05</definedName>
    <definedName name="solver_tol" localSheetId="18" hidden="1">0.05</definedName>
    <definedName name="solver_typ" localSheetId="1" hidden="1">3</definedName>
    <definedName name="solver_typ" localSheetId="7" hidden="1">3</definedName>
    <definedName name="solver_typ" localSheetId="8" hidden="1">1</definedName>
    <definedName name="solver_typ" localSheetId="13" hidden="1">1</definedName>
    <definedName name="solver_typ" localSheetId="17" hidden="1">2</definedName>
    <definedName name="solver_typ" localSheetId="18" hidden="1">2</definedName>
    <definedName name="solver_val" localSheetId="1" hidden="1">63899000000</definedName>
    <definedName name="solver_val" localSheetId="7" hidden="1">490454</definedName>
    <definedName name="solver_val" localSheetId="8" hidden="1">0</definedName>
    <definedName name="solver_val" localSheetId="13" hidden="1">0</definedName>
    <definedName name="solver_val" localSheetId="17" hidden="1">69893</definedName>
    <definedName name="solver_val" localSheetId="18" hidden="1">69893</definedName>
    <definedName name="srwrwr" hidden="1">{"TAB1",#N/A,TRUE,"GENERAL";"TAB2",#N/A,TRUE,"GENERAL";"TAB3",#N/A,TRUE,"GENERAL";"TAB4",#N/A,TRUE,"GENERAL";"TAB5",#N/A,TRUE,"GENERAL"}</definedName>
    <definedName name="SS" localSheetId="4">#REF!</definedName>
    <definedName name="SS" localSheetId="23">#REF!</definedName>
    <definedName name="SS" localSheetId="24">#REF!</definedName>
    <definedName name="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ma">[19]Hoja1!$F$60</definedName>
    <definedName name="Summary" localSheetId="4">#REF!</definedName>
    <definedName name="Summary" localSheetId="23">#REF!</definedName>
    <definedName name="Summary" localSheetId="24">#REF!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4">[3]!absc</definedName>
    <definedName name="t" localSheetId="23">[3]!absc</definedName>
    <definedName name="t" localSheetId="24">[3]!absc</definedName>
    <definedName name="t">[3]!absc</definedName>
    <definedName name="t5t5" hidden="1">{"TAB1",#N/A,TRUE,"GENERAL";"TAB2",#N/A,TRUE,"GENERAL";"TAB3",#N/A,TRUE,"GENERAL";"TAB4",#N/A,TRUE,"GENERAL";"TAB5",#N/A,TRUE,"GENERAL"}</definedName>
    <definedName name="TABLA" localSheetId="4">#REF!</definedName>
    <definedName name="TABLA" localSheetId="23">#REF!</definedName>
    <definedName name="TABLA" localSheetId="24">#REF!</definedName>
    <definedName name="TABLA">#REF!</definedName>
    <definedName name="TARIFAS">[29]TARIFAS!$A$1:$F$52</definedName>
    <definedName name="tdy" hidden="1">{"TAB1",#N/A,TRUE,"GENERAL";"TAB2",#N/A,TRUE,"GENERAL";"TAB3",#N/A,TRUE,"GENERAL";"TAB4",#N/A,TRUE,"GENERAL";"TAB5",#N/A,TRUE,"GENERAL"}</definedName>
    <definedName name="TER">[0]!ERR</definedName>
    <definedName name="TERM">[0]!ERR</definedName>
    <definedName name="TÉRMINOS">[0]!ERR</definedName>
    <definedName name="TERR">[5]PRESUPUESTO!$I$7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EMPO">[15]BASES!$E$27</definedName>
    <definedName name="TITULO" localSheetId="4">#REF!</definedName>
    <definedName name="TITULO" localSheetId="23">#REF!</definedName>
    <definedName name="TITULO" localSheetId="24">#REF!</definedName>
    <definedName name="TITULO">#REF!</definedName>
    <definedName name="_xlnm.Print_Titles">#N/A</definedName>
    <definedName name="Títulos_a_imprimir_IM" localSheetId="4">#REF!</definedName>
    <definedName name="Títulos_a_imprimir_IM" localSheetId="23">#REF!</definedName>
    <definedName name="Títulos_a_imprimir_IM" localSheetId="24">#REF!</definedName>
    <definedName name="Títulos_a_imprimir_IM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AL" localSheetId="4">#REF!</definedName>
    <definedName name="TOTAL" localSheetId="23">#REF!</definedName>
    <definedName name="TOTAL" localSheetId="24">#REF!</definedName>
    <definedName name="TOTAL">#REF!</definedName>
    <definedName name="tr" hidden="1">{"TAB1",#N/A,TRUE,"GENERAL";"TAB2",#N/A,TRUE,"GENERAL";"TAB3",#N/A,TRUE,"GENERAL";"TAB4",#N/A,TRUE,"GENERAL";"TAB5",#N/A,TRUE,"GENERAL"}</definedName>
    <definedName name="TRAT">[30]desmonte!$E$48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4">#REF!</definedName>
    <definedName name="TtCD" localSheetId="23">#REF!</definedName>
    <definedName name="TtCD" localSheetId="24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4">#REF!</definedName>
    <definedName name="U" localSheetId="23">#REF!</definedName>
    <definedName name="U" localSheetId="24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4">#REF!</definedName>
    <definedName name="Ubicación" localSheetId="23">#REF!</definedName>
    <definedName name="Ubicación" localSheetId="24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TARIO">[31]Unitarios!$A$3:$D$13</definedName>
    <definedName name="Unitarios" localSheetId="4">#REF!</definedName>
    <definedName name="Unitarios" localSheetId="23">#REF!</definedName>
    <definedName name="Unitarios" localSheetId="24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L">[5]otros!$C$4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4">#REF!</definedName>
    <definedName name="VALDES" localSheetId="23">#REF!</definedName>
    <definedName name="VALDES" localSheetId="24">#REF!</definedName>
    <definedName name="VALDES">#REF!</definedName>
    <definedName name="valor1" localSheetId="4">#REF!</definedName>
    <definedName name="valor1" localSheetId="23">#REF!</definedName>
    <definedName name="valor1" localSheetId="24">#REF!</definedName>
    <definedName name="valor1">#REF!</definedName>
    <definedName name="valor2" localSheetId="4">#REF!</definedName>
    <definedName name="valor2" localSheetId="23">#REF!</definedName>
    <definedName name="valor2" localSheetId="24">#REF!</definedName>
    <definedName name="valor2">#REF!</definedName>
    <definedName name="VALOR3" localSheetId="4">#REF!</definedName>
    <definedName name="VALOR3" localSheetId="23">#REF!</definedName>
    <definedName name="VALOR3" localSheetId="24">#REF!</definedName>
    <definedName name="VALOR3">#REF!</definedName>
    <definedName name="vbvbvbvb" hidden="1">{"TAB1",#N/A,TRUE,"GENERAL";"TAB2",#N/A,TRUE,"GENERAL";"TAB3",#N/A,TRUE,"GENERAL";"TAB4",#N/A,TRUE,"GENERAL";"TAB5",#N/A,TRUE,"GENERAL"}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4">#REF!</definedName>
    <definedName name="VentaAiu" localSheetId="23">#REF!</definedName>
    <definedName name="VentaAiu" localSheetId="24">#REF!</definedName>
    <definedName name="VentaAiu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" localSheetId="4">#REF!</definedName>
    <definedName name="VVV" localSheetId="23">#REF!</definedName>
    <definedName name="VVV" localSheetId="24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 localSheetId="4">'[16]Res-Accide-10'!#REF!</definedName>
    <definedName name="WDFSDF" localSheetId="23">'[16]Res-Accide-10'!#REF!</definedName>
    <definedName name="WDFSDF" localSheetId="24">'[16]Res-Accide-10'!#REF!</definedName>
    <definedName name="WDFSDF">'[16]Res-Accide-10'!#REF!</definedName>
    <definedName name="WEFWE" localSheetId="4">'[16]Res-Accide-10'!#REF!</definedName>
    <definedName name="WEFWE" localSheetId="23">'[16]Res-Accide-10'!#REF!</definedName>
    <definedName name="WEFWE" localSheetId="24">'[16]Res-Accide-10'!#REF!</definedName>
    <definedName name="WEFWE">'[16]Res-Accide-10'!#REF!</definedName>
    <definedName name="WER">'[16]Res-Accide-10'!$S$2:$S$7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4">'[16]Res-Accide-10'!#REF!</definedName>
    <definedName name="WILSON" localSheetId="23">'[16]Res-Accide-10'!#REF!</definedName>
    <definedName name="WILSON" localSheetId="24">'[16]Res-Accide-10'!#REF!</definedName>
    <definedName name="WILSON">'[16]Res-Accide-10'!#REF!</definedName>
    <definedName name="WQEEWQ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4">#REF!</definedName>
    <definedName name="XX" localSheetId="16">#REF!</definedName>
    <definedName name="XX" localSheetId="17">#REF!</definedName>
    <definedName name="XX" localSheetId="20">#REF!</definedName>
    <definedName name="XX" localSheetId="21">#REF!</definedName>
    <definedName name="XX" localSheetId="22">#REF!</definedName>
    <definedName name="XX" localSheetId="23">#REF!</definedName>
    <definedName name="XX" localSheetId="24">#REF!</definedName>
    <definedName name="XX">#REF!</definedName>
    <definedName name="xxfg" hidden="1">{"via1",#N/A,TRUE,"general";"via2",#N/A,TRUE,"general";"via3",#N/A,TRUE,"general"}</definedName>
    <definedName name="xxxxx" localSheetId="4">[32]!absc</definedName>
    <definedName name="xxxxx" localSheetId="23">[32]!absc</definedName>
    <definedName name="xxxxx" localSheetId="24">[32]!absc</definedName>
    <definedName name="xxxxx">[32]!absc</definedName>
    <definedName name="xxxxxds" hidden="1">{"via1",#N/A,TRUE,"general";"via2",#N/A,TRUE,"general";"via3",#N/A,TRUE,"general"}</definedName>
    <definedName name="XXXXXXXXXX" localSheetId="4">#REF!</definedName>
    <definedName name="XXXXXXXXXX" localSheetId="23">#REF!</definedName>
    <definedName name="XXXXXXXXXX" localSheetId="24">#REF!</definedName>
    <definedName name="XXXXXXXXXX">#REF!</definedName>
    <definedName name="xxxxxxxxxx29" hidden="1">{"via1",#N/A,TRUE,"general";"via2",#N/A,TRUE,"general";"via3",#N/A,TRUE,"general"}</definedName>
    <definedName name="XXXXXXXXXXXX" localSheetId="4">#REF!</definedName>
    <definedName name="XXXXXXXXXXXX" localSheetId="23">#REF!</definedName>
    <definedName name="XXXXXXXXXXXX" localSheetId="24">#REF!</definedName>
    <definedName name="XXXXXXXXXXXX">#REF!</definedName>
    <definedName name="XZXZV" hidden="1">{"via1",#N/A,TRUE,"general";"via2",#N/A,TRUE,"general";"via3",#N/A,TRUE,"general"}</definedName>
    <definedName name="Y" localSheetId="4">[8]!absc</definedName>
    <definedName name="Y" localSheetId="23">[8]!absc</definedName>
    <definedName name="Y" localSheetId="24">[8]!absc</definedName>
    <definedName name="Y">[8]!absc</definedName>
    <definedName name="y6y6" hidden="1">{"via1",#N/A,TRUE,"general";"via2",#N/A,TRUE,"general";"via3",#N/A,TRUE,"general"}</definedName>
    <definedName name="YA" localSheetId="4">#REF!</definedName>
    <definedName name="YA" localSheetId="23">#REF!</definedName>
    <definedName name="YA" localSheetId="24">#REF!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4">#REF!</definedName>
    <definedName name="ZDF" localSheetId="23">#REF!</definedName>
    <definedName name="ZDF" localSheetId="24">#REF!</definedName>
    <definedName name="ZDF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4">'[18]A. P. U.'!#REF!</definedName>
    <definedName name="ZZZZZZZZZZZ" localSheetId="23">'[18]A. P. U.'!#REF!</definedName>
    <definedName name="ZZZZZZZZZZZ" localSheetId="24">'[18]A. P. U.'!#REF!</definedName>
    <definedName name="ZZZZZZZZZZZ">'[18]A. P. U.'!#REF!</definedName>
  </definedNames>
  <calcPr calcId="179017"/>
</workbook>
</file>

<file path=xl/calcChain.xml><?xml version="1.0" encoding="utf-8"?>
<calcChain xmlns="http://schemas.openxmlformats.org/spreadsheetml/2006/main">
  <c r="O35" i="265" l="1"/>
  <c r="N45" i="326"/>
  <c r="K45" i="326"/>
  <c r="B45" i="326"/>
  <c r="L51" i="326"/>
  <c r="L52" i="308" l="1"/>
  <c r="J52" i="308"/>
  <c r="B76" i="387" l="1"/>
  <c r="B77" i="387"/>
  <c r="B78" i="387"/>
  <c r="B79" i="387"/>
  <c r="B80" i="387"/>
  <c r="B81" i="387"/>
  <c r="J76" i="387"/>
  <c r="J77" i="387"/>
  <c r="J78" i="387"/>
  <c r="J79" i="387"/>
  <c r="J80" i="387"/>
  <c r="J81" i="387"/>
  <c r="I76" i="387"/>
  <c r="I77" i="387"/>
  <c r="I78" i="387"/>
  <c r="I79" i="387"/>
  <c r="I80" i="387"/>
  <c r="I81" i="387"/>
  <c r="B77" i="386"/>
  <c r="B78" i="386"/>
  <c r="B79" i="386"/>
  <c r="B80" i="386"/>
  <c r="B81" i="386"/>
  <c r="B82" i="386"/>
  <c r="N53" i="387"/>
  <c r="L54" i="387"/>
  <c r="N54" i="387" s="1"/>
  <c r="L55" i="387"/>
  <c r="N55" i="387" s="1"/>
  <c r="L56" i="387"/>
  <c r="N56" i="387" s="1"/>
  <c r="L57" i="387"/>
  <c r="N57" i="387" s="1"/>
  <c r="L58" i="387"/>
  <c r="N58" i="387" s="1"/>
  <c r="L59" i="387"/>
  <c r="N59" i="387" s="1"/>
  <c r="L60" i="387"/>
  <c r="N60" i="387" s="1"/>
  <c r="J53" i="387"/>
  <c r="J54" i="387"/>
  <c r="J55" i="387"/>
  <c r="J56" i="387"/>
  <c r="J57" i="387"/>
  <c r="J58" i="387"/>
  <c r="J59" i="387"/>
  <c r="J60" i="387"/>
  <c r="B53" i="387"/>
  <c r="B54" i="387"/>
  <c r="B55" i="387"/>
  <c r="B56" i="387"/>
  <c r="B57" i="387"/>
  <c r="B58" i="387"/>
  <c r="B59" i="387"/>
  <c r="B60" i="387"/>
  <c r="K39" i="387"/>
  <c r="N39" i="387" s="1"/>
  <c r="K40" i="387"/>
  <c r="N40" i="387" s="1"/>
  <c r="K41" i="387"/>
  <c r="N41" i="387" s="1"/>
  <c r="K42" i="387"/>
  <c r="N42" i="387" s="1"/>
  <c r="K43" i="387"/>
  <c r="N43" i="387" s="1"/>
  <c r="K44" i="387"/>
  <c r="N44" i="387" s="1"/>
  <c r="K38" i="387"/>
  <c r="B39" i="387"/>
  <c r="B40" i="387"/>
  <c r="B41" i="387"/>
  <c r="B42" i="387"/>
  <c r="B43" i="387"/>
  <c r="B44" i="387"/>
  <c r="B38" i="387"/>
  <c r="K78" i="387" l="1"/>
  <c r="N78" i="387" s="1"/>
  <c r="K80" i="387"/>
  <c r="N80" i="387" s="1"/>
  <c r="K76" i="387"/>
  <c r="N76" i="387" s="1"/>
  <c r="K79" i="387"/>
  <c r="N79" i="387" s="1"/>
  <c r="K81" i="387"/>
  <c r="N81" i="387" s="1"/>
  <c r="K77" i="387"/>
  <c r="N77" i="387" s="1"/>
  <c r="J77" i="386"/>
  <c r="J78" i="386"/>
  <c r="J79" i="386"/>
  <c r="J80" i="386"/>
  <c r="J81" i="386"/>
  <c r="J82" i="386"/>
  <c r="I77" i="386"/>
  <c r="I78" i="386"/>
  <c r="I79" i="386"/>
  <c r="I80" i="386"/>
  <c r="I81" i="386"/>
  <c r="I82" i="386"/>
  <c r="B73" i="326"/>
  <c r="B74" i="326"/>
  <c r="B75" i="326"/>
  <c r="B76" i="326"/>
  <c r="B77" i="326"/>
  <c r="B78" i="326"/>
  <c r="N54" i="386"/>
  <c r="L55" i="386"/>
  <c r="N55" i="386" s="1"/>
  <c r="L56" i="386"/>
  <c r="N56" i="386" s="1"/>
  <c r="L57" i="386"/>
  <c r="N57" i="386" s="1"/>
  <c r="L58" i="386"/>
  <c r="N58" i="386" s="1"/>
  <c r="L59" i="386"/>
  <c r="N59" i="386" s="1"/>
  <c r="L60" i="386"/>
  <c r="N60" i="386" s="1"/>
  <c r="L61" i="386"/>
  <c r="N61" i="386" s="1"/>
  <c r="J54" i="386"/>
  <c r="J55" i="386"/>
  <c r="J56" i="386"/>
  <c r="J57" i="386"/>
  <c r="J58" i="386"/>
  <c r="J59" i="386"/>
  <c r="J60" i="386"/>
  <c r="J61" i="386"/>
  <c r="B54" i="386"/>
  <c r="B55" i="386"/>
  <c r="B56" i="386"/>
  <c r="B57" i="386"/>
  <c r="B58" i="386"/>
  <c r="B59" i="386"/>
  <c r="B60" i="386"/>
  <c r="B61" i="386"/>
  <c r="K39" i="386"/>
  <c r="N39" i="386" s="1"/>
  <c r="K40" i="386"/>
  <c r="N40" i="386" s="1"/>
  <c r="K41" i="386"/>
  <c r="N41" i="386" s="1"/>
  <c r="K42" i="386"/>
  <c r="N42" i="386" s="1"/>
  <c r="K43" i="386"/>
  <c r="N43" i="386" s="1"/>
  <c r="K44" i="386"/>
  <c r="N44" i="386" s="1"/>
  <c r="B52" i="326"/>
  <c r="B53" i="326"/>
  <c r="B54" i="326"/>
  <c r="B55" i="326"/>
  <c r="B56" i="326"/>
  <c r="B57" i="326"/>
  <c r="B58" i="326"/>
  <c r="B59" i="326"/>
  <c r="J53" i="386"/>
  <c r="B53" i="386"/>
  <c r="L53" i="386"/>
  <c r="N53" i="386" s="1"/>
  <c r="K38" i="386"/>
  <c r="N38" i="386" s="1"/>
  <c r="B39" i="386"/>
  <c r="B40" i="386"/>
  <c r="B41" i="386"/>
  <c r="B42" i="386"/>
  <c r="B43" i="386"/>
  <c r="B44" i="386"/>
  <c r="N33" i="386"/>
  <c r="N33" i="387"/>
  <c r="L33" i="387"/>
  <c r="C33" i="387"/>
  <c r="B33" i="387"/>
  <c r="B114" i="387"/>
  <c r="B113" i="387"/>
  <c r="G112" i="387"/>
  <c r="G111" i="387"/>
  <c r="G110" i="387"/>
  <c r="G109" i="387"/>
  <c r="B105" i="387"/>
  <c r="G103" i="387"/>
  <c r="G102" i="387"/>
  <c r="G101" i="387"/>
  <c r="G100" i="387"/>
  <c r="J75" i="387"/>
  <c r="I75" i="387"/>
  <c r="B75" i="387"/>
  <c r="N68" i="387"/>
  <c r="N70" i="387" s="1"/>
  <c r="N62" i="387"/>
  <c r="N61" i="387"/>
  <c r="L52" i="387"/>
  <c r="N52" i="387" s="1"/>
  <c r="J52" i="387"/>
  <c r="B52" i="387"/>
  <c r="N38" i="387"/>
  <c r="N47" i="387" s="1"/>
  <c r="G28" i="387"/>
  <c r="E26" i="387"/>
  <c r="D24" i="387"/>
  <c r="D22" i="387"/>
  <c r="D19" i="387"/>
  <c r="H18" i="387"/>
  <c r="D18" i="387"/>
  <c r="J12" i="387"/>
  <c r="D12" i="387"/>
  <c r="N11" i="387"/>
  <c r="M11" i="387"/>
  <c r="L11" i="387"/>
  <c r="C6" i="387"/>
  <c r="L33" i="386"/>
  <c r="C33" i="386"/>
  <c r="B33" i="386"/>
  <c r="B115" i="386"/>
  <c r="B114" i="386"/>
  <c r="G113" i="386"/>
  <c r="G112" i="386"/>
  <c r="G111" i="386"/>
  <c r="G110" i="386"/>
  <c r="B106" i="386"/>
  <c r="G104" i="386"/>
  <c r="G103" i="386"/>
  <c r="G102" i="386"/>
  <c r="G101" i="386"/>
  <c r="J76" i="386"/>
  <c r="I76" i="386"/>
  <c r="B76" i="386"/>
  <c r="N69" i="386"/>
  <c r="N71" i="386" s="1"/>
  <c r="N63" i="386"/>
  <c r="N62" i="386"/>
  <c r="B38" i="386"/>
  <c r="G28" i="386"/>
  <c r="E26" i="386"/>
  <c r="D24" i="386"/>
  <c r="D22" i="386"/>
  <c r="D19" i="386"/>
  <c r="H18" i="386"/>
  <c r="D18" i="386"/>
  <c r="J12" i="386"/>
  <c r="D12" i="386"/>
  <c r="N11" i="386"/>
  <c r="M11" i="386"/>
  <c r="L11" i="386"/>
  <c r="C6" i="386"/>
  <c r="K79" i="386" l="1"/>
  <c r="N79" i="386" s="1"/>
  <c r="K80" i="386"/>
  <c r="N80" i="386" s="1"/>
  <c r="K81" i="386"/>
  <c r="N81" i="386" s="1"/>
  <c r="K77" i="386"/>
  <c r="N77" i="386" s="1"/>
  <c r="K82" i="386"/>
  <c r="N82" i="386" s="1"/>
  <c r="K78" i="386"/>
  <c r="N78" i="386" s="1"/>
  <c r="K75" i="387"/>
  <c r="N75" i="387" s="1"/>
  <c r="N63" i="387"/>
  <c r="N48" i="386"/>
  <c r="K76" i="386"/>
  <c r="N76" i="386" s="1"/>
  <c r="N64" i="386"/>
  <c r="J65" i="355"/>
  <c r="J66" i="355"/>
  <c r="I65" i="355"/>
  <c r="I66" i="355"/>
  <c r="J64" i="355"/>
  <c r="I64" i="355"/>
  <c r="B65" i="355"/>
  <c r="B66" i="355"/>
  <c r="B64" i="355"/>
  <c r="N57" i="355"/>
  <c r="L48" i="355"/>
  <c r="N48" i="355" s="1"/>
  <c r="L49" i="355"/>
  <c r="N49" i="355" s="1"/>
  <c r="L50" i="355"/>
  <c r="N50" i="355" s="1"/>
  <c r="L51" i="355"/>
  <c r="N51" i="355" s="1"/>
  <c r="L47" i="355"/>
  <c r="J48" i="355"/>
  <c r="J49" i="355"/>
  <c r="J50" i="355"/>
  <c r="J51" i="355"/>
  <c r="J47" i="355"/>
  <c r="B48" i="355"/>
  <c r="B49" i="355"/>
  <c r="B50" i="355"/>
  <c r="B51" i="355"/>
  <c r="B47" i="355"/>
  <c r="K38" i="355"/>
  <c r="N38" i="355" s="1"/>
  <c r="B45" i="354"/>
  <c r="B38" i="355"/>
  <c r="K64" i="355" l="1"/>
  <c r="K65" i="355"/>
  <c r="N85" i="386"/>
  <c r="N87" i="386" s="1"/>
  <c r="L94" i="386" s="1"/>
  <c r="K66" i="355"/>
  <c r="N66" i="355" s="1"/>
  <c r="N84" i="387"/>
  <c r="N86" i="387" s="1"/>
  <c r="L92" i="387" s="1"/>
  <c r="K84" i="354"/>
  <c r="J78" i="354"/>
  <c r="J79" i="354"/>
  <c r="J80" i="354"/>
  <c r="J81" i="354"/>
  <c r="J82" i="354"/>
  <c r="J83" i="354"/>
  <c r="I78" i="354"/>
  <c r="I79" i="354"/>
  <c r="I80" i="354"/>
  <c r="I81" i="354"/>
  <c r="I82" i="354"/>
  <c r="I83" i="354"/>
  <c r="J77" i="354"/>
  <c r="I77" i="354"/>
  <c r="B78" i="354"/>
  <c r="B79" i="354"/>
  <c r="B80" i="354"/>
  <c r="B81" i="354"/>
  <c r="B82" i="354"/>
  <c r="B83" i="354"/>
  <c r="B77" i="354"/>
  <c r="L70" i="354"/>
  <c r="N70" i="354" s="1"/>
  <c r="L54" i="354"/>
  <c r="N54" i="354" s="1"/>
  <c r="L55" i="354"/>
  <c r="N55" i="354" s="1"/>
  <c r="L56" i="354"/>
  <c r="N56" i="354" s="1"/>
  <c r="L57" i="354"/>
  <c r="N57" i="354" s="1"/>
  <c r="L58" i="354"/>
  <c r="N58" i="354" s="1"/>
  <c r="L59" i="354"/>
  <c r="N59" i="354" s="1"/>
  <c r="L60" i="354"/>
  <c r="N60" i="354" s="1"/>
  <c r="L61" i="354"/>
  <c r="N61" i="354" s="1"/>
  <c r="L53" i="354"/>
  <c r="K53" i="354"/>
  <c r="J54" i="354"/>
  <c r="J55" i="354"/>
  <c r="J56" i="354"/>
  <c r="J57" i="354"/>
  <c r="J58" i="354"/>
  <c r="J59" i="354"/>
  <c r="J60" i="354"/>
  <c r="J61" i="354"/>
  <c r="J53" i="354"/>
  <c r="B54" i="354"/>
  <c r="B55" i="354"/>
  <c r="B56" i="354"/>
  <c r="B57" i="354"/>
  <c r="B58" i="354"/>
  <c r="B59" i="354"/>
  <c r="B60" i="354"/>
  <c r="B61" i="354"/>
  <c r="B53" i="354"/>
  <c r="K39" i="354"/>
  <c r="N39" i="354" s="1"/>
  <c r="K40" i="354"/>
  <c r="N40" i="354" s="1"/>
  <c r="K41" i="354"/>
  <c r="N41" i="354" s="1"/>
  <c r="K42" i="354"/>
  <c r="N42" i="354" s="1"/>
  <c r="K43" i="354"/>
  <c r="N43" i="354" s="1"/>
  <c r="K44" i="354"/>
  <c r="N44" i="354" s="1"/>
  <c r="K38" i="354"/>
  <c r="N38" i="354" s="1"/>
  <c r="B39" i="354"/>
  <c r="B40" i="354"/>
  <c r="B41" i="354"/>
  <c r="B42" i="354"/>
  <c r="B43" i="354"/>
  <c r="B44" i="354"/>
  <c r="B38" i="354"/>
  <c r="J77" i="344"/>
  <c r="J78" i="344"/>
  <c r="J79" i="344"/>
  <c r="J80" i="344"/>
  <c r="J81" i="344"/>
  <c r="J82" i="344"/>
  <c r="J76" i="344"/>
  <c r="I77" i="344"/>
  <c r="I78" i="344"/>
  <c r="I79" i="344"/>
  <c r="I80" i="344"/>
  <c r="I81" i="344"/>
  <c r="I82" i="344"/>
  <c r="I76" i="344"/>
  <c r="B82" i="344"/>
  <c r="B77" i="344"/>
  <c r="B78" i="344"/>
  <c r="B79" i="344"/>
  <c r="B80" i="344"/>
  <c r="B81" i="344"/>
  <c r="B76" i="344"/>
  <c r="L70" i="344"/>
  <c r="N70" i="344" s="1"/>
  <c r="B70" i="344"/>
  <c r="K53" i="344"/>
  <c r="L54" i="344"/>
  <c r="N54" i="344" s="1"/>
  <c r="L55" i="344"/>
  <c r="N55" i="344" s="1"/>
  <c r="L56" i="344"/>
  <c r="N56" i="344" s="1"/>
  <c r="L57" i="344"/>
  <c r="N57" i="344" s="1"/>
  <c r="L58" i="344"/>
  <c r="N58" i="344" s="1"/>
  <c r="L59" i="344"/>
  <c r="N59" i="344" s="1"/>
  <c r="L60" i="344"/>
  <c r="N60" i="344" s="1"/>
  <c r="L61" i="344"/>
  <c r="N61" i="344" s="1"/>
  <c r="L53" i="344"/>
  <c r="J54" i="344"/>
  <c r="J55" i="344"/>
  <c r="J56" i="344"/>
  <c r="J57" i="344"/>
  <c r="J58" i="344"/>
  <c r="J59" i="344"/>
  <c r="J60" i="344"/>
  <c r="J61" i="344"/>
  <c r="J53" i="344"/>
  <c r="B54" i="344"/>
  <c r="B55" i="344"/>
  <c r="B56" i="344"/>
  <c r="B57" i="344"/>
  <c r="B58" i="344"/>
  <c r="B59" i="344"/>
  <c r="B60" i="344"/>
  <c r="B61" i="344"/>
  <c r="B53" i="344"/>
  <c r="K39" i="344"/>
  <c r="N39" i="344" s="1"/>
  <c r="K40" i="344"/>
  <c r="N40" i="344" s="1"/>
  <c r="K41" i="344"/>
  <c r="N41" i="344" s="1"/>
  <c r="K42" i="344"/>
  <c r="N42" i="344" s="1"/>
  <c r="K43" i="344"/>
  <c r="N43" i="344" s="1"/>
  <c r="K44" i="344"/>
  <c r="N44" i="344" s="1"/>
  <c r="K38" i="344"/>
  <c r="N38" i="344" s="1"/>
  <c r="B45" i="344"/>
  <c r="B39" i="344"/>
  <c r="B40" i="344"/>
  <c r="B41" i="344"/>
  <c r="B42" i="344"/>
  <c r="B43" i="344"/>
  <c r="B44" i="344"/>
  <c r="B38" i="344"/>
  <c r="N70" i="193"/>
  <c r="J78" i="193"/>
  <c r="J79" i="193"/>
  <c r="J80" i="193"/>
  <c r="J81" i="193"/>
  <c r="J82" i="193"/>
  <c r="J83" i="193"/>
  <c r="J77" i="193"/>
  <c r="I78" i="193"/>
  <c r="I79" i="193"/>
  <c r="I80" i="193"/>
  <c r="I81" i="193"/>
  <c r="I82" i="193"/>
  <c r="I83" i="193"/>
  <c r="I77" i="193"/>
  <c r="B78" i="193"/>
  <c r="B79" i="193"/>
  <c r="B80" i="193"/>
  <c r="B81" i="193"/>
  <c r="B82" i="193"/>
  <c r="B83" i="193"/>
  <c r="B77" i="193"/>
  <c r="K53" i="193"/>
  <c r="L54" i="193"/>
  <c r="N54" i="193" s="1"/>
  <c r="L55" i="193"/>
  <c r="N55" i="193" s="1"/>
  <c r="L56" i="193"/>
  <c r="N56" i="193" s="1"/>
  <c r="L57" i="193"/>
  <c r="N57" i="193" s="1"/>
  <c r="L58" i="193"/>
  <c r="N58" i="193" s="1"/>
  <c r="L59" i="193"/>
  <c r="N59" i="193" s="1"/>
  <c r="L60" i="193"/>
  <c r="N60" i="193" s="1"/>
  <c r="L61" i="193"/>
  <c r="N61" i="193" s="1"/>
  <c r="J54" i="193"/>
  <c r="J55" i="193"/>
  <c r="J56" i="193"/>
  <c r="J57" i="193"/>
  <c r="J58" i="193"/>
  <c r="J59" i="193"/>
  <c r="J60" i="193"/>
  <c r="J61" i="193"/>
  <c r="L53" i="193"/>
  <c r="J53" i="193"/>
  <c r="K39" i="193"/>
  <c r="N39" i="193" s="1"/>
  <c r="K40" i="193"/>
  <c r="N40" i="193" s="1"/>
  <c r="K41" i="193"/>
  <c r="N41" i="193" s="1"/>
  <c r="K42" i="193"/>
  <c r="N42" i="193" s="1"/>
  <c r="K43" i="193"/>
  <c r="N43" i="193" s="1"/>
  <c r="K44" i="193"/>
  <c r="N44" i="193" s="1"/>
  <c r="K38" i="193"/>
  <c r="N38" i="193" s="1"/>
  <c r="B54" i="193"/>
  <c r="B55" i="193"/>
  <c r="B56" i="193"/>
  <c r="B57" i="193"/>
  <c r="B58" i="193"/>
  <c r="B59" i="193"/>
  <c r="B60" i="193"/>
  <c r="B61" i="193"/>
  <c r="B53" i="193"/>
  <c r="B39" i="193"/>
  <c r="B40" i="193"/>
  <c r="B41" i="193"/>
  <c r="B42" i="193"/>
  <c r="B43" i="193"/>
  <c r="B44" i="193"/>
  <c r="B38" i="193"/>
  <c r="K82" i="193" l="1"/>
  <c r="N82" i="193" s="1"/>
  <c r="K80" i="344"/>
  <c r="N80" i="344" s="1"/>
  <c r="K81" i="193"/>
  <c r="N81" i="193" s="1"/>
  <c r="K76" i="344"/>
  <c r="K79" i="344"/>
  <c r="N79" i="344" s="1"/>
  <c r="K81" i="354"/>
  <c r="N81" i="354" s="1"/>
  <c r="K83" i="193"/>
  <c r="N83" i="193" s="1"/>
  <c r="K79" i="193"/>
  <c r="N79" i="193" s="1"/>
  <c r="K81" i="344"/>
  <c r="N81" i="344" s="1"/>
  <c r="K77" i="344"/>
  <c r="N77" i="344" s="1"/>
  <c r="K83" i="354"/>
  <c r="N83" i="354" s="1"/>
  <c r="K79" i="354"/>
  <c r="N79" i="354" s="1"/>
  <c r="K77" i="193"/>
  <c r="K80" i="193"/>
  <c r="N80" i="193" s="1"/>
  <c r="K82" i="344"/>
  <c r="N82" i="344" s="1"/>
  <c r="K78" i="344"/>
  <c r="N78" i="344" s="1"/>
  <c r="K78" i="193"/>
  <c r="N78" i="193" s="1"/>
  <c r="K77" i="354"/>
  <c r="N77" i="354" s="1"/>
  <c r="K82" i="354"/>
  <c r="N82" i="354" s="1"/>
  <c r="K78" i="354"/>
  <c r="N78" i="354" s="1"/>
  <c r="K80" i="354"/>
  <c r="N80" i="354" s="1"/>
  <c r="L93" i="387"/>
  <c r="L91" i="387"/>
  <c r="L92" i="386"/>
  <c r="L93" i="386"/>
  <c r="N67" i="38"/>
  <c r="J75" i="38"/>
  <c r="J76" i="38"/>
  <c r="J77" i="38"/>
  <c r="J78" i="38"/>
  <c r="J79" i="38"/>
  <c r="J80" i="38"/>
  <c r="J74" i="38"/>
  <c r="I75" i="38"/>
  <c r="I76" i="38"/>
  <c r="I77" i="38"/>
  <c r="I78" i="38"/>
  <c r="I79" i="38"/>
  <c r="K79" i="38" s="1"/>
  <c r="N79" i="38" s="1"/>
  <c r="I80" i="38"/>
  <c r="B75" i="38"/>
  <c r="B76" i="38"/>
  <c r="B77" i="38"/>
  <c r="B78" i="38"/>
  <c r="B79" i="38"/>
  <c r="B80" i="38"/>
  <c r="B74" i="38"/>
  <c r="I74" i="38"/>
  <c r="L53" i="38"/>
  <c r="N53" i="38" s="1"/>
  <c r="L54" i="38"/>
  <c r="N54" i="38" s="1"/>
  <c r="L55" i="38"/>
  <c r="N55" i="38" s="1"/>
  <c r="L56" i="38"/>
  <c r="N56" i="38" s="1"/>
  <c r="L57" i="38"/>
  <c r="N57" i="38" s="1"/>
  <c r="L58" i="38"/>
  <c r="N58" i="38" s="1"/>
  <c r="L59" i="38"/>
  <c r="N59" i="38" s="1"/>
  <c r="L60" i="38"/>
  <c r="N60" i="38" s="1"/>
  <c r="J53" i="38"/>
  <c r="J54" i="38"/>
  <c r="J55" i="38"/>
  <c r="J56" i="38"/>
  <c r="J57" i="38"/>
  <c r="J58" i="38"/>
  <c r="J59" i="38"/>
  <c r="J60" i="38"/>
  <c r="B59" i="38"/>
  <c r="B60" i="38"/>
  <c r="B55" i="38"/>
  <c r="B56" i="38"/>
  <c r="B57" i="38"/>
  <c r="B58" i="38"/>
  <c r="B53" i="38"/>
  <c r="B54" i="38"/>
  <c r="L52" i="38"/>
  <c r="N52" i="38" s="1"/>
  <c r="J52" i="38"/>
  <c r="B52" i="38"/>
  <c r="B72" i="9"/>
  <c r="K39" i="38"/>
  <c r="N39" i="38" s="1"/>
  <c r="K40" i="38"/>
  <c r="N40" i="38" s="1"/>
  <c r="K41" i="38"/>
  <c r="N41" i="38" s="1"/>
  <c r="K42" i="38"/>
  <c r="N42" i="38" s="1"/>
  <c r="K43" i="38"/>
  <c r="N43" i="38" s="1"/>
  <c r="K44" i="38"/>
  <c r="N44" i="38" s="1"/>
  <c r="K38" i="38"/>
  <c r="N38" i="38" s="1"/>
  <c r="B45" i="38"/>
  <c r="B39" i="38"/>
  <c r="B40" i="38"/>
  <c r="B41" i="38"/>
  <c r="B42" i="38"/>
  <c r="B43" i="38"/>
  <c r="B44" i="38"/>
  <c r="B38" i="38"/>
  <c r="K75" i="38" l="1"/>
  <c r="N75" i="38" s="1"/>
  <c r="K78" i="38"/>
  <c r="N78" i="38" s="1"/>
  <c r="K77" i="38"/>
  <c r="N77" i="38" s="1"/>
  <c r="K80" i="38"/>
  <c r="N80" i="38" s="1"/>
  <c r="K76" i="38"/>
  <c r="N76" i="38" s="1"/>
  <c r="K74" i="38"/>
  <c r="N74" i="38" s="1"/>
  <c r="N94" i="387"/>
  <c r="N96" i="387" s="1"/>
  <c r="J19" i="265" s="1"/>
  <c r="K19" i="265" s="1"/>
  <c r="N95" i="386"/>
  <c r="N97" i="386" s="1"/>
  <c r="J18" i="265" s="1"/>
  <c r="K18" i="265" s="1"/>
  <c r="P56" i="340"/>
  <c r="P57" i="340" s="1"/>
  <c r="P55" i="340"/>
  <c r="P53" i="340"/>
  <c r="P54" i="340" s="1"/>
  <c r="O53" i="340"/>
  <c r="O52" i="340"/>
  <c r="P52" i="340" s="1"/>
  <c r="P98" i="340"/>
  <c r="P100" i="340" s="1"/>
  <c r="O100" i="340"/>
  <c r="O38" i="38"/>
  <c r="J74" i="340" l="1"/>
  <c r="J73" i="340"/>
  <c r="B74" i="340"/>
  <c r="B73" i="340"/>
  <c r="L53" i="340"/>
  <c r="N53" i="340" s="1"/>
  <c r="L52" i="340"/>
  <c r="N52" i="340" s="1"/>
  <c r="J53" i="340"/>
  <c r="J52" i="340"/>
  <c r="B53" i="340"/>
  <c r="B52" i="340"/>
  <c r="K39" i="340"/>
  <c r="N39" i="340" s="1"/>
  <c r="K38" i="340"/>
  <c r="B39" i="340"/>
  <c r="B40" i="340"/>
  <c r="B38" i="340"/>
  <c r="J73" i="289"/>
  <c r="J72" i="289"/>
  <c r="B73" i="289"/>
  <c r="B72" i="289"/>
  <c r="K55" i="252" l="1"/>
  <c r="O54" i="252"/>
  <c r="K56" i="33"/>
  <c r="O55" i="33"/>
  <c r="O54" i="32"/>
  <c r="K54" i="15"/>
  <c r="O53" i="15"/>
  <c r="O54" i="11"/>
  <c r="O53" i="11"/>
  <c r="O53" i="326"/>
  <c r="O54" i="9"/>
  <c r="O53" i="9"/>
  <c r="N53" i="289" l="1"/>
  <c r="L52" i="289"/>
  <c r="N52" i="289" s="1"/>
  <c r="J53" i="289"/>
  <c r="J52" i="289"/>
  <c r="B53" i="289"/>
  <c r="B52" i="289"/>
  <c r="K39" i="289"/>
  <c r="N39" i="289" s="1"/>
  <c r="K38" i="289"/>
  <c r="N38" i="289" s="1"/>
  <c r="B39" i="289"/>
  <c r="B40" i="289"/>
  <c r="B38" i="289"/>
  <c r="J69" i="308"/>
  <c r="J68" i="308"/>
  <c r="B69" i="308"/>
  <c r="B68" i="308"/>
  <c r="N52" i="308"/>
  <c r="L51" i="308"/>
  <c r="N51" i="308" s="1"/>
  <c r="J51" i="308"/>
  <c r="B52" i="308"/>
  <c r="B51" i="308"/>
  <c r="K39" i="308"/>
  <c r="N39" i="308" s="1"/>
  <c r="B39" i="308"/>
  <c r="B40" i="308"/>
  <c r="K38" i="308"/>
  <c r="N38" i="308" s="1"/>
  <c r="B38" i="308"/>
  <c r="J76" i="33" l="1"/>
  <c r="J77" i="33"/>
  <c r="J78" i="33"/>
  <c r="J79" i="33"/>
  <c r="J80" i="33"/>
  <c r="J81" i="33"/>
  <c r="J75" i="33"/>
  <c r="B76" i="33"/>
  <c r="B77" i="33"/>
  <c r="B78" i="33"/>
  <c r="B79" i="33"/>
  <c r="B80" i="33"/>
  <c r="B81" i="33"/>
  <c r="B75" i="33"/>
  <c r="O53" i="33"/>
  <c r="L61" i="33"/>
  <c r="N61" i="33" s="1"/>
  <c r="J61" i="33"/>
  <c r="L54" i="33"/>
  <c r="N54" i="33" s="1"/>
  <c r="L55" i="33"/>
  <c r="N55" i="33" s="1"/>
  <c r="L56" i="33"/>
  <c r="N56" i="33" s="1"/>
  <c r="L57" i="33"/>
  <c r="N57" i="33" s="1"/>
  <c r="L58" i="33"/>
  <c r="N58" i="33" s="1"/>
  <c r="L59" i="33"/>
  <c r="N59" i="33" s="1"/>
  <c r="L60" i="33"/>
  <c r="N60" i="33" s="1"/>
  <c r="J54" i="33"/>
  <c r="J55" i="33"/>
  <c r="J56" i="33"/>
  <c r="J57" i="33"/>
  <c r="J58" i="33"/>
  <c r="J59" i="33"/>
  <c r="J60" i="33"/>
  <c r="B54" i="33"/>
  <c r="B55" i="33"/>
  <c r="B56" i="33"/>
  <c r="B57" i="33"/>
  <c r="B58" i="33"/>
  <c r="B59" i="33"/>
  <c r="B60" i="33"/>
  <c r="B61" i="33"/>
  <c r="L53" i="33"/>
  <c r="N53" i="33" s="1"/>
  <c r="J53" i="33"/>
  <c r="B53" i="33"/>
  <c r="K39" i="33"/>
  <c r="N39" i="33" s="1"/>
  <c r="K40" i="33"/>
  <c r="N40" i="33" s="1"/>
  <c r="K41" i="33"/>
  <c r="N41" i="33" s="1"/>
  <c r="K42" i="33"/>
  <c r="N42" i="33" s="1"/>
  <c r="K43" i="33"/>
  <c r="N43" i="33" s="1"/>
  <c r="K44" i="33"/>
  <c r="N44" i="33" s="1"/>
  <c r="K38" i="33"/>
  <c r="N38" i="33" s="1"/>
  <c r="B39" i="33"/>
  <c r="B40" i="33"/>
  <c r="B41" i="33"/>
  <c r="B42" i="33"/>
  <c r="B43" i="33"/>
  <c r="B44" i="33"/>
  <c r="B45" i="33"/>
  <c r="B38" i="33"/>
  <c r="N33" i="355"/>
  <c r="L33" i="355"/>
  <c r="C33" i="355"/>
  <c r="B33" i="355"/>
  <c r="N33" i="354"/>
  <c r="C33" i="354"/>
  <c r="B33" i="354"/>
  <c r="N33" i="344"/>
  <c r="C33" i="344"/>
  <c r="B33" i="344"/>
  <c r="N33" i="193"/>
  <c r="C33" i="193"/>
  <c r="B33" i="193"/>
  <c r="N33" i="38"/>
  <c r="L33" i="38"/>
  <c r="C33" i="38"/>
  <c r="B33" i="38"/>
  <c r="N33" i="340"/>
  <c r="L33" i="340"/>
  <c r="C33" i="340"/>
  <c r="B33" i="340"/>
  <c r="N33" i="289"/>
  <c r="L33" i="289"/>
  <c r="C33" i="289"/>
  <c r="B33" i="289"/>
  <c r="N33" i="308"/>
  <c r="L33" i="308"/>
  <c r="C33" i="308"/>
  <c r="B33" i="308"/>
  <c r="J76" i="32" l="1"/>
  <c r="J77" i="32"/>
  <c r="J78" i="32"/>
  <c r="J79" i="32"/>
  <c r="J80" i="32"/>
  <c r="J81" i="32"/>
  <c r="J75" i="32"/>
  <c r="B76" i="32"/>
  <c r="B77" i="32"/>
  <c r="B78" i="32"/>
  <c r="B79" i="32"/>
  <c r="B80" i="32"/>
  <c r="B81" i="32"/>
  <c r="B75" i="32"/>
  <c r="L60" i="32"/>
  <c r="N60" i="32" s="1"/>
  <c r="J60" i="32"/>
  <c r="L53" i="32"/>
  <c r="N53" i="32" s="1"/>
  <c r="L54" i="32"/>
  <c r="N54" i="32" s="1"/>
  <c r="L55" i="32"/>
  <c r="N55" i="32" s="1"/>
  <c r="L56" i="32"/>
  <c r="N56" i="32" s="1"/>
  <c r="L57" i="32"/>
  <c r="N57" i="32" s="1"/>
  <c r="L58" i="32"/>
  <c r="N58" i="32" s="1"/>
  <c r="L59" i="32"/>
  <c r="N59" i="32" s="1"/>
  <c r="L52" i="32"/>
  <c r="N52" i="32" s="1"/>
  <c r="J53" i="32"/>
  <c r="J54" i="32"/>
  <c r="J55" i="32"/>
  <c r="J56" i="32"/>
  <c r="J57" i="32"/>
  <c r="J58" i="32"/>
  <c r="J59" i="32"/>
  <c r="J52" i="32"/>
  <c r="B53" i="32"/>
  <c r="B54" i="32"/>
  <c r="B55" i="32"/>
  <c r="B56" i="32"/>
  <c r="B57" i="32"/>
  <c r="B58" i="32"/>
  <c r="B59" i="32"/>
  <c r="B60" i="32"/>
  <c r="B52" i="32"/>
  <c r="K39" i="32"/>
  <c r="N39" i="32" s="1"/>
  <c r="K40" i="32"/>
  <c r="N40" i="32" s="1"/>
  <c r="K41" i="32"/>
  <c r="N41" i="32" s="1"/>
  <c r="K42" i="32"/>
  <c r="N42" i="32" s="1"/>
  <c r="K43" i="32"/>
  <c r="N43" i="32" s="1"/>
  <c r="K44" i="32"/>
  <c r="N44" i="32" s="1"/>
  <c r="K38" i="32"/>
  <c r="N38" i="32" s="1"/>
  <c r="B39" i="32"/>
  <c r="B40" i="32"/>
  <c r="B41" i="32"/>
  <c r="B42" i="32"/>
  <c r="B43" i="32"/>
  <c r="B44" i="32"/>
  <c r="B45" i="32"/>
  <c r="B38" i="32"/>
  <c r="J76" i="252" l="1"/>
  <c r="J77" i="252"/>
  <c r="J78" i="252"/>
  <c r="J79" i="252"/>
  <c r="J80" i="252"/>
  <c r="J81" i="252"/>
  <c r="J75" i="252"/>
  <c r="B76" i="252"/>
  <c r="B77" i="252"/>
  <c r="B78" i="252"/>
  <c r="B79" i="252"/>
  <c r="B80" i="252"/>
  <c r="B81" i="252"/>
  <c r="B75" i="252"/>
  <c r="O55" i="252"/>
  <c r="O52" i="252"/>
  <c r="P52" i="252" s="1"/>
  <c r="L53" i="252"/>
  <c r="N53" i="252" s="1"/>
  <c r="L54" i="252"/>
  <c r="N54" i="252" s="1"/>
  <c r="L55" i="252"/>
  <c r="N55" i="252" s="1"/>
  <c r="L56" i="252"/>
  <c r="N56" i="252" s="1"/>
  <c r="L57" i="252"/>
  <c r="N57" i="252" s="1"/>
  <c r="L58" i="252"/>
  <c r="N58" i="252" s="1"/>
  <c r="L59" i="252"/>
  <c r="N59" i="252" s="1"/>
  <c r="L60" i="252"/>
  <c r="N60" i="252" s="1"/>
  <c r="L52" i="252"/>
  <c r="N52" i="252" s="1"/>
  <c r="J53" i="252"/>
  <c r="J54" i="252"/>
  <c r="J55" i="252"/>
  <c r="J56" i="252"/>
  <c r="J57" i="252"/>
  <c r="J58" i="252"/>
  <c r="J59" i="252"/>
  <c r="J60" i="252"/>
  <c r="J52" i="252"/>
  <c r="B53" i="252"/>
  <c r="B54" i="252"/>
  <c r="B55" i="252"/>
  <c r="B56" i="252"/>
  <c r="B57" i="252"/>
  <c r="B58" i="252"/>
  <c r="B59" i="252"/>
  <c r="B60" i="252"/>
  <c r="B52" i="252"/>
  <c r="K39" i="252"/>
  <c r="N39" i="252" s="1"/>
  <c r="K40" i="252"/>
  <c r="N40" i="252" s="1"/>
  <c r="K41" i="252"/>
  <c r="N41" i="252" s="1"/>
  <c r="K42" i="252"/>
  <c r="N42" i="252" s="1"/>
  <c r="K43" i="252"/>
  <c r="N43" i="252" s="1"/>
  <c r="K44" i="252"/>
  <c r="N44" i="252" s="1"/>
  <c r="K38" i="252"/>
  <c r="N38" i="252" s="1"/>
  <c r="B39" i="252"/>
  <c r="B40" i="252"/>
  <c r="B41" i="252"/>
  <c r="B42" i="252"/>
  <c r="B43" i="252"/>
  <c r="B44" i="252"/>
  <c r="B45" i="252"/>
  <c r="B38" i="252"/>
  <c r="B45" i="9"/>
  <c r="N33" i="33"/>
  <c r="L33" i="33"/>
  <c r="C33" i="33"/>
  <c r="K33" i="33"/>
  <c r="J33" i="33"/>
  <c r="G33" i="33"/>
  <c r="F33" i="33"/>
  <c r="E33" i="33"/>
  <c r="D33" i="33"/>
  <c r="B33" i="33"/>
  <c r="N33" i="32"/>
  <c r="L33" i="32"/>
  <c r="C33" i="32"/>
  <c r="B33" i="32"/>
  <c r="N33" i="252"/>
  <c r="L33" i="252"/>
  <c r="C33" i="252"/>
  <c r="B33" i="252"/>
  <c r="J73" i="29"/>
  <c r="J72" i="29"/>
  <c r="B73" i="29"/>
  <c r="B72" i="29"/>
  <c r="L53" i="29"/>
  <c r="N53" i="29" s="1"/>
  <c r="L52" i="29"/>
  <c r="N52" i="29" s="1"/>
  <c r="J53" i="29"/>
  <c r="J52" i="29"/>
  <c r="B53" i="29"/>
  <c r="J72" i="26"/>
  <c r="B72" i="26"/>
  <c r="J71" i="26"/>
  <c r="B71" i="26"/>
  <c r="L51" i="26"/>
  <c r="J51" i="26"/>
  <c r="B51" i="26"/>
  <c r="K39" i="26"/>
  <c r="N39" i="26" s="1"/>
  <c r="K38" i="26"/>
  <c r="N38" i="26" s="1"/>
  <c r="B39" i="26"/>
  <c r="B40" i="26"/>
  <c r="B38" i="26"/>
  <c r="O39" i="29" l="1"/>
  <c r="B52" i="29" l="1"/>
  <c r="B40" i="29" l="1"/>
  <c r="K39" i="29"/>
  <c r="N39" i="29" s="1"/>
  <c r="B39" i="29"/>
  <c r="K38" i="29"/>
  <c r="N38" i="29" s="1"/>
  <c r="B38" i="29"/>
  <c r="J65" i="25" l="1"/>
  <c r="J64" i="25"/>
  <c r="B65" i="25"/>
  <c r="B64" i="25"/>
  <c r="I65" i="25"/>
  <c r="L48" i="25"/>
  <c r="N48" i="25" s="1"/>
  <c r="J48" i="25"/>
  <c r="B48" i="25"/>
  <c r="L47" i="25"/>
  <c r="J47" i="25"/>
  <c r="B47" i="25"/>
  <c r="B40" i="25"/>
  <c r="K39" i="25"/>
  <c r="N39" i="25" s="1"/>
  <c r="K38" i="25"/>
  <c r="N38" i="25" s="1"/>
  <c r="B39" i="25"/>
  <c r="B38" i="25"/>
  <c r="K65" i="25" l="1"/>
  <c r="N65" i="25" s="1"/>
  <c r="E15" i="385"/>
  <c r="I72" i="289"/>
  <c r="K72" i="289" s="1"/>
  <c r="N72" i="289" s="1"/>
  <c r="I73" i="340"/>
  <c r="K73" i="340" s="1"/>
  <c r="N73" i="340" s="1"/>
  <c r="I68" i="308"/>
  <c r="K68" i="308" s="1"/>
  <c r="N68" i="308" s="1"/>
  <c r="I71" i="26"/>
  <c r="K71" i="26" s="1"/>
  <c r="N71" i="26" s="1"/>
  <c r="I72" i="29"/>
  <c r="K72" i="29" s="1"/>
  <c r="N72" i="29" s="1"/>
  <c r="O52" i="15"/>
  <c r="O51" i="15"/>
  <c r="J75" i="11"/>
  <c r="J76" i="11"/>
  <c r="J77" i="11"/>
  <c r="J78" i="11"/>
  <c r="J79" i="11"/>
  <c r="J80" i="11"/>
  <c r="J74" i="11"/>
  <c r="O51" i="11"/>
  <c r="K52" i="11"/>
  <c r="O51" i="9"/>
  <c r="P51" i="9" s="1"/>
  <c r="O52" i="9" l="1"/>
  <c r="P52" i="9" s="1"/>
  <c r="Q51" i="326"/>
  <c r="J73" i="15"/>
  <c r="J74" i="15"/>
  <c r="J75" i="15"/>
  <c r="J76" i="15"/>
  <c r="J77" i="15"/>
  <c r="J78" i="15"/>
  <c r="J72" i="15"/>
  <c r="B73" i="15"/>
  <c r="B74" i="15"/>
  <c r="B75" i="15"/>
  <c r="B76" i="15"/>
  <c r="B77" i="15"/>
  <c r="B78" i="15"/>
  <c r="B72" i="15"/>
  <c r="L52" i="15"/>
  <c r="N52" i="15" s="1"/>
  <c r="M52" i="15"/>
  <c r="L53" i="15"/>
  <c r="N53" i="15" s="1"/>
  <c r="M53" i="15"/>
  <c r="L54" i="15"/>
  <c r="N54" i="15" s="1"/>
  <c r="M54" i="15"/>
  <c r="L55" i="15"/>
  <c r="N55" i="15" s="1"/>
  <c r="M55" i="15"/>
  <c r="L56" i="15"/>
  <c r="N56" i="15" s="1"/>
  <c r="M56" i="15"/>
  <c r="L57" i="15"/>
  <c r="N57" i="15" s="1"/>
  <c r="M57" i="15"/>
  <c r="L58" i="15"/>
  <c r="N58" i="15" s="1"/>
  <c r="M58" i="15"/>
  <c r="L59" i="15"/>
  <c r="N59" i="15" s="1"/>
  <c r="M59" i="15"/>
  <c r="J59" i="15"/>
  <c r="J52" i="15"/>
  <c r="J53" i="15"/>
  <c r="J54" i="15"/>
  <c r="J55" i="15"/>
  <c r="J56" i="15"/>
  <c r="J57" i="15"/>
  <c r="J58" i="15"/>
  <c r="B52" i="15"/>
  <c r="B53" i="15"/>
  <c r="B54" i="15"/>
  <c r="B55" i="15"/>
  <c r="B56" i="15"/>
  <c r="B57" i="15"/>
  <c r="B58" i="15"/>
  <c r="B59" i="15"/>
  <c r="B51" i="15"/>
  <c r="L51" i="15"/>
  <c r="N51" i="15" s="1"/>
  <c r="M51" i="15"/>
  <c r="J51" i="15"/>
  <c r="K44" i="15"/>
  <c r="N44" i="15" s="1"/>
  <c r="K43" i="15"/>
  <c r="N43" i="15" s="1"/>
  <c r="K42" i="15"/>
  <c r="N42" i="15" s="1"/>
  <c r="K41" i="15"/>
  <c r="N41" i="15" s="1"/>
  <c r="K40" i="15"/>
  <c r="N40" i="15" s="1"/>
  <c r="K39" i="15"/>
  <c r="N39" i="15" s="1"/>
  <c r="K38" i="15"/>
  <c r="B39" i="15"/>
  <c r="B40" i="15"/>
  <c r="B41" i="15"/>
  <c r="B42" i="15"/>
  <c r="B43" i="15"/>
  <c r="B44" i="15"/>
  <c r="B38" i="15"/>
  <c r="B75" i="11"/>
  <c r="B76" i="11"/>
  <c r="B77" i="11"/>
  <c r="B78" i="11"/>
  <c r="B79" i="11"/>
  <c r="B80" i="11"/>
  <c r="B74" i="11"/>
  <c r="L52" i="11"/>
  <c r="L53" i="11"/>
  <c r="L54" i="11"/>
  <c r="N54" i="11" s="1"/>
  <c r="L55" i="11"/>
  <c r="N55" i="11" s="1"/>
  <c r="L56" i="11"/>
  <c r="L57" i="11"/>
  <c r="N57" i="11" s="1"/>
  <c r="L58" i="11"/>
  <c r="N58" i="11" s="1"/>
  <c r="L59" i="11"/>
  <c r="N59" i="11" s="1"/>
  <c r="J52" i="11"/>
  <c r="J53" i="11"/>
  <c r="J54" i="11"/>
  <c r="J55" i="11"/>
  <c r="J56" i="11"/>
  <c r="J57" i="11"/>
  <c r="J58" i="11"/>
  <c r="J59" i="11"/>
  <c r="B52" i="11"/>
  <c r="B53" i="11"/>
  <c r="B54" i="11"/>
  <c r="B55" i="11"/>
  <c r="B56" i="11"/>
  <c r="B57" i="11"/>
  <c r="B58" i="11"/>
  <c r="B59" i="11"/>
  <c r="N52" i="11"/>
  <c r="N53" i="11"/>
  <c r="N56" i="11"/>
  <c r="L51" i="11"/>
  <c r="N51" i="11" s="1"/>
  <c r="J51" i="11"/>
  <c r="B51" i="11"/>
  <c r="K39" i="11" l="1"/>
  <c r="N39" i="11" s="1"/>
  <c r="K40" i="11"/>
  <c r="N40" i="11" s="1"/>
  <c r="K41" i="11"/>
  <c r="N41" i="11" s="1"/>
  <c r="K42" i="11"/>
  <c r="N42" i="11" s="1"/>
  <c r="K43" i="11"/>
  <c r="N43" i="11" s="1"/>
  <c r="K44" i="11"/>
  <c r="N44" i="11" s="1"/>
  <c r="B39" i="11"/>
  <c r="B40" i="11"/>
  <c r="B41" i="11"/>
  <c r="B42" i="11"/>
  <c r="B43" i="11"/>
  <c r="B44" i="11"/>
  <c r="K38" i="11"/>
  <c r="N38" i="11" s="1"/>
  <c r="B38" i="11"/>
  <c r="J73" i="326"/>
  <c r="J74" i="326"/>
  <c r="J75" i="326"/>
  <c r="J76" i="326"/>
  <c r="J77" i="326"/>
  <c r="J78" i="326"/>
  <c r="J72" i="326"/>
  <c r="B72" i="326"/>
  <c r="N52" i="326"/>
  <c r="L53" i="326"/>
  <c r="N53" i="326" s="1"/>
  <c r="L54" i="326"/>
  <c r="N54" i="326" s="1"/>
  <c r="L55" i="326"/>
  <c r="N55" i="326" s="1"/>
  <c r="L56" i="326"/>
  <c r="N56" i="326" s="1"/>
  <c r="L57" i="326"/>
  <c r="N57" i="326" s="1"/>
  <c r="L58" i="326"/>
  <c r="N58" i="326" s="1"/>
  <c r="L59" i="326"/>
  <c r="N59" i="326" s="1"/>
  <c r="J59" i="326"/>
  <c r="J53" i="326"/>
  <c r="J54" i="326"/>
  <c r="J55" i="326"/>
  <c r="J56" i="326"/>
  <c r="J57" i="326"/>
  <c r="J58" i="326"/>
  <c r="N51" i="326"/>
  <c r="J51" i="326"/>
  <c r="B51" i="326"/>
  <c r="K39" i="326"/>
  <c r="N39" i="326" s="1"/>
  <c r="K40" i="326"/>
  <c r="N40" i="326" s="1"/>
  <c r="K41" i="326"/>
  <c r="N41" i="326" s="1"/>
  <c r="K42" i="326"/>
  <c r="N42" i="326" s="1"/>
  <c r="K43" i="326"/>
  <c r="N43" i="326" s="1"/>
  <c r="K44" i="326"/>
  <c r="B39" i="326"/>
  <c r="B40" i="326"/>
  <c r="B41" i="326"/>
  <c r="B42" i="326"/>
  <c r="B43" i="326"/>
  <c r="B44" i="326"/>
  <c r="B38" i="326"/>
  <c r="K38" i="326"/>
  <c r="N38" i="326" s="1"/>
  <c r="B33" i="9" l="1"/>
  <c r="N67" i="9"/>
  <c r="L59" i="9"/>
  <c r="N33" i="9" l="1"/>
  <c r="L33" i="9"/>
  <c r="C33" i="9"/>
  <c r="K39" i="9"/>
  <c r="N39" i="9" s="1"/>
  <c r="K40" i="9"/>
  <c r="N40" i="9" s="1"/>
  <c r="K41" i="9"/>
  <c r="N41" i="9" s="1"/>
  <c r="K42" i="9"/>
  <c r="N42" i="9" s="1"/>
  <c r="K43" i="9"/>
  <c r="N43" i="9" s="1"/>
  <c r="K44" i="9"/>
  <c r="N44" i="9" s="1"/>
  <c r="K38" i="9"/>
  <c r="N38" i="9" s="1"/>
  <c r="J72" i="9"/>
  <c r="J73" i="9"/>
  <c r="J74" i="9"/>
  <c r="J75" i="9"/>
  <c r="J76" i="9"/>
  <c r="J77" i="9"/>
  <c r="J78" i="9"/>
  <c r="B73" i="9"/>
  <c r="B74" i="9"/>
  <c r="B75" i="9"/>
  <c r="B76" i="9"/>
  <c r="B77" i="9"/>
  <c r="B78" i="9"/>
  <c r="I78" i="9"/>
  <c r="E6" i="385"/>
  <c r="E11" i="385"/>
  <c r="E16" i="385"/>
  <c r="E17" i="385"/>
  <c r="E18" i="385"/>
  <c r="E19" i="385"/>
  <c r="E20" i="385"/>
  <c r="E21" i="385"/>
  <c r="E22" i="385"/>
  <c r="E23" i="385"/>
  <c r="E4" i="385"/>
  <c r="E14" i="385"/>
  <c r="E13" i="385"/>
  <c r="I75" i="9"/>
  <c r="K75" i="9" s="1"/>
  <c r="N75" i="9" s="1"/>
  <c r="I74" i="9"/>
  <c r="I72" i="9"/>
  <c r="E12" i="385"/>
  <c r="I77" i="9"/>
  <c r="B2" i="385"/>
  <c r="B40" i="9"/>
  <c r="B41" i="9"/>
  <c r="B42" i="9"/>
  <c r="B43" i="9"/>
  <c r="B44" i="9"/>
  <c r="B38" i="9"/>
  <c r="N59" i="9"/>
  <c r="J59" i="9"/>
  <c r="B59" i="9"/>
  <c r="L52" i="9"/>
  <c r="N52" i="9" s="1"/>
  <c r="L53" i="9"/>
  <c r="N53" i="9" s="1"/>
  <c r="L54" i="9"/>
  <c r="N54" i="9" s="1"/>
  <c r="L55" i="9"/>
  <c r="N55" i="9" s="1"/>
  <c r="L56" i="9"/>
  <c r="N56" i="9" s="1"/>
  <c r="L57" i="9"/>
  <c r="N57" i="9" s="1"/>
  <c r="L58" i="9"/>
  <c r="N58" i="9" s="1"/>
  <c r="L51" i="9"/>
  <c r="N51" i="9" s="1"/>
  <c r="J52" i="9"/>
  <c r="J53" i="9"/>
  <c r="J54" i="9"/>
  <c r="J55" i="9"/>
  <c r="J56" i="9"/>
  <c r="J57" i="9"/>
  <c r="J58" i="9"/>
  <c r="J51" i="9"/>
  <c r="B52" i="9"/>
  <c r="B53" i="9"/>
  <c r="B54" i="9"/>
  <c r="B55" i="9"/>
  <c r="B56" i="9"/>
  <c r="B57" i="9"/>
  <c r="B58" i="9"/>
  <c r="B51" i="9"/>
  <c r="K78" i="9" l="1"/>
  <c r="N78" i="9" s="1"/>
  <c r="K74" i="9"/>
  <c r="N74" i="9" s="1"/>
  <c r="K72" i="9"/>
  <c r="N72" i="9" s="1"/>
  <c r="K77" i="9"/>
  <c r="N77" i="9" s="1"/>
  <c r="I76" i="33"/>
  <c r="K76" i="33" s="1"/>
  <c r="N76" i="33" s="1"/>
  <c r="I76" i="32"/>
  <c r="K76" i="32" s="1"/>
  <c r="N76" i="32" s="1"/>
  <c r="I76" i="252"/>
  <c r="K76" i="252" s="1"/>
  <c r="N76" i="252" s="1"/>
  <c r="I73" i="15"/>
  <c r="K73" i="15" s="1"/>
  <c r="N73" i="15" s="1"/>
  <c r="I75" i="11"/>
  <c r="K75" i="11" s="1"/>
  <c r="N75" i="11" s="1"/>
  <c r="I73" i="326"/>
  <c r="K73" i="326" s="1"/>
  <c r="N73" i="326" s="1"/>
  <c r="E7" i="385"/>
  <c r="E10" i="385"/>
  <c r="I78" i="33"/>
  <c r="K78" i="33" s="1"/>
  <c r="N78" i="33" s="1"/>
  <c r="I78" i="32"/>
  <c r="K78" i="32" s="1"/>
  <c r="N78" i="32" s="1"/>
  <c r="I78" i="252"/>
  <c r="K78" i="252" s="1"/>
  <c r="N78" i="252" s="1"/>
  <c r="I75" i="15"/>
  <c r="K75" i="15" s="1"/>
  <c r="N75" i="15" s="1"/>
  <c r="I77" i="11"/>
  <c r="K77" i="11" s="1"/>
  <c r="N77" i="11" s="1"/>
  <c r="I75" i="326"/>
  <c r="K75" i="326" s="1"/>
  <c r="N75" i="326" s="1"/>
  <c r="I75" i="33"/>
  <c r="K75" i="33" s="1"/>
  <c r="N75" i="33" s="1"/>
  <c r="I75" i="32"/>
  <c r="K75" i="32" s="1"/>
  <c r="N75" i="32" s="1"/>
  <c r="I75" i="252"/>
  <c r="K75" i="252" s="1"/>
  <c r="N75" i="252" s="1"/>
  <c r="I72" i="15"/>
  <c r="K72" i="15" s="1"/>
  <c r="N72" i="15" s="1"/>
  <c r="I74" i="11"/>
  <c r="K74" i="11" s="1"/>
  <c r="N74" i="11" s="1"/>
  <c r="I72" i="326"/>
  <c r="K72" i="326" s="1"/>
  <c r="N72" i="326" s="1"/>
  <c r="I79" i="33"/>
  <c r="K79" i="33" s="1"/>
  <c r="N79" i="33" s="1"/>
  <c r="I79" i="32"/>
  <c r="K79" i="32" s="1"/>
  <c r="N79" i="32" s="1"/>
  <c r="I79" i="252"/>
  <c r="K79" i="252" s="1"/>
  <c r="N79" i="252" s="1"/>
  <c r="I76" i="15"/>
  <c r="K76" i="15" s="1"/>
  <c r="N76" i="15" s="1"/>
  <c r="I78" i="11"/>
  <c r="K78" i="11" s="1"/>
  <c r="N78" i="11" s="1"/>
  <c r="I76" i="326"/>
  <c r="K76" i="326" s="1"/>
  <c r="N76" i="326" s="1"/>
  <c r="E9" i="385"/>
  <c r="E5" i="385"/>
  <c r="I73" i="9"/>
  <c r="K73" i="9" s="1"/>
  <c r="N73" i="9" s="1"/>
  <c r="I73" i="289"/>
  <c r="K73" i="289" s="1"/>
  <c r="N73" i="289" s="1"/>
  <c r="I74" i="340"/>
  <c r="K74" i="340" s="1"/>
  <c r="N74" i="340" s="1"/>
  <c r="I69" i="308"/>
  <c r="K69" i="308" s="1"/>
  <c r="N69" i="308" s="1"/>
  <c r="I80" i="33"/>
  <c r="K80" i="33" s="1"/>
  <c r="N80" i="33" s="1"/>
  <c r="I80" i="32"/>
  <c r="K80" i="32" s="1"/>
  <c r="N80" i="32" s="1"/>
  <c r="I73" i="29"/>
  <c r="K73" i="29" s="1"/>
  <c r="N73" i="29" s="1"/>
  <c r="I72" i="26"/>
  <c r="K72" i="26" s="1"/>
  <c r="N72" i="26" s="1"/>
  <c r="I80" i="252"/>
  <c r="K80" i="252" s="1"/>
  <c r="N80" i="252" s="1"/>
  <c r="I64" i="25"/>
  <c r="K64" i="25" s="1"/>
  <c r="N64" i="25" s="1"/>
  <c r="I77" i="15"/>
  <c r="K77" i="15" s="1"/>
  <c r="N77" i="15" s="1"/>
  <c r="I79" i="11"/>
  <c r="K79" i="11" s="1"/>
  <c r="N79" i="11" s="1"/>
  <c r="I77" i="326"/>
  <c r="K77" i="326" s="1"/>
  <c r="N77" i="326" s="1"/>
  <c r="I77" i="33"/>
  <c r="K77" i="33" s="1"/>
  <c r="N77" i="33" s="1"/>
  <c r="I77" i="32"/>
  <c r="K77" i="32" s="1"/>
  <c r="N77" i="32" s="1"/>
  <c r="I77" i="252"/>
  <c r="K77" i="252" s="1"/>
  <c r="N77" i="252" s="1"/>
  <c r="I74" i="15"/>
  <c r="K74" i="15" s="1"/>
  <c r="N74" i="15" s="1"/>
  <c r="I76" i="11"/>
  <c r="K76" i="11" s="1"/>
  <c r="N76" i="11" s="1"/>
  <c r="I74" i="326"/>
  <c r="K74" i="326" s="1"/>
  <c r="N74" i="326" s="1"/>
  <c r="E8" i="385"/>
  <c r="I81" i="33"/>
  <c r="K81" i="33" s="1"/>
  <c r="N81" i="33" s="1"/>
  <c r="I81" i="32"/>
  <c r="K81" i="32" s="1"/>
  <c r="N81" i="32" s="1"/>
  <c r="I81" i="252"/>
  <c r="K81" i="252" s="1"/>
  <c r="N81" i="252" s="1"/>
  <c r="I78" i="15"/>
  <c r="K78" i="15" s="1"/>
  <c r="N78" i="15" s="1"/>
  <c r="I80" i="11"/>
  <c r="K80" i="11" s="1"/>
  <c r="N80" i="11" s="1"/>
  <c r="I78" i="326"/>
  <c r="K78" i="326" s="1"/>
  <c r="N78" i="326" s="1"/>
  <c r="I76" i="9"/>
  <c r="K76" i="9" s="1"/>
  <c r="N76" i="9" s="1"/>
  <c r="N46" i="9"/>
  <c r="N60" i="9"/>
  <c r="B39" i="9"/>
  <c r="N80" i="9" l="1"/>
  <c r="N38" i="15"/>
  <c r="N51" i="26"/>
  <c r="N59" i="26" s="1"/>
  <c r="K26" i="265"/>
  <c r="N47" i="355"/>
  <c r="N52" i="355" s="1"/>
  <c r="N60" i="289"/>
  <c r="N53" i="193"/>
  <c r="N65" i="193" s="1"/>
  <c r="N53" i="344"/>
  <c r="N65" i="344" s="1"/>
  <c r="N53" i="354"/>
  <c r="N44" i="326"/>
  <c r="N46" i="326" s="1"/>
  <c r="N46" i="308"/>
  <c r="N38" i="340"/>
  <c r="K34" i="265"/>
  <c r="K33" i="265"/>
  <c r="K30" i="265"/>
  <c r="K31" i="265" s="1"/>
  <c r="N47" i="25"/>
  <c r="N52" i="25" s="1"/>
  <c r="P46" i="33"/>
  <c r="N33" i="29"/>
  <c r="N33" i="26"/>
  <c r="N33" i="25"/>
  <c r="N33" i="15"/>
  <c r="N33" i="11"/>
  <c r="N33" i="326"/>
  <c r="L33" i="326"/>
  <c r="C33" i="326"/>
  <c r="B33" i="326"/>
  <c r="B2" i="6"/>
  <c r="B2" i="5"/>
  <c r="G28" i="326"/>
  <c r="G28" i="11"/>
  <c r="G28" i="15"/>
  <c r="G28" i="25"/>
  <c r="G28" i="26"/>
  <c r="G28" i="29"/>
  <c r="G28" i="252"/>
  <c r="G28" i="32"/>
  <c r="G28" i="33"/>
  <c r="G28" i="308"/>
  <c r="G28" i="289"/>
  <c r="G28" i="340"/>
  <c r="G28" i="38"/>
  <c r="G28" i="193"/>
  <c r="G28" i="344"/>
  <c r="G28" i="354"/>
  <c r="G28" i="355"/>
  <c r="G28" i="9"/>
  <c r="E26" i="326"/>
  <c r="E26" i="11"/>
  <c r="E26" i="15"/>
  <c r="E26" i="25"/>
  <c r="E26" i="26"/>
  <c r="E26" i="29"/>
  <c r="E26" i="252"/>
  <c r="E26" i="32"/>
  <c r="E26" i="33"/>
  <c r="E26" i="308"/>
  <c r="E26" i="289"/>
  <c r="E26" i="340"/>
  <c r="E26" i="38"/>
  <c r="E26" i="193"/>
  <c r="E26" i="344"/>
  <c r="E26" i="354"/>
  <c r="E26" i="355"/>
  <c r="E26" i="9"/>
  <c r="D24" i="326"/>
  <c r="D24" i="11"/>
  <c r="D24" i="15"/>
  <c r="D24" i="25"/>
  <c r="D24" i="26"/>
  <c r="D24" i="29"/>
  <c r="D24" i="252"/>
  <c r="D24" i="32"/>
  <c r="D24" i="33"/>
  <c r="D24" i="308"/>
  <c r="D24" i="289"/>
  <c r="D24" i="340"/>
  <c r="D24" i="38"/>
  <c r="D24" i="193"/>
  <c r="D24" i="344"/>
  <c r="D24" i="354"/>
  <c r="D24" i="355"/>
  <c r="D24" i="9"/>
  <c r="D22" i="326"/>
  <c r="D22" i="11"/>
  <c r="D22" i="15"/>
  <c r="D22" i="25"/>
  <c r="D22" i="26"/>
  <c r="D22" i="29"/>
  <c r="D22" i="252"/>
  <c r="D22" i="32"/>
  <c r="D22" i="33"/>
  <c r="D22" i="308"/>
  <c r="D22" i="289"/>
  <c r="D22" i="340"/>
  <c r="D22" i="38"/>
  <c r="D22" i="193"/>
  <c r="D22" i="344"/>
  <c r="D22" i="354"/>
  <c r="D22" i="355"/>
  <c r="D22" i="9"/>
  <c r="D19" i="326"/>
  <c r="D19" i="11"/>
  <c r="D19" i="15"/>
  <c r="D19" i="25"/>
  <c r="D19" i="26"/>
  <c r="D19" i="29"/>
  <c r="D19" i="252"/>
  <c r="D19" i="32"/>
  <c r="D19" i="33"/>
  <c r="D19" i="308"/>
  <c r="D19" i="289"/>
  <c r="D19" i="340"/>
  <c r="D19" i="38"/>
  <c r="D19" i="193"/>
  <c r="D19" i="344"/>
  <c r="D19" i="354"/>
  <c r="D19" i="355"/>
  <c r="D19" i="9"/>
  <c r="H18" i="326"/>
  <c r="H18" i="11"/>
  <c r="H18" i="15"/>
  <c r="H18" i="25"/>
  <c r="H18" i="26"/>
  <c r="H18" i="29"/>
  <c r="H18" i="252"/>
  <c r="H18" i="32"/>
  <c r="H18" i="33"/>
  <c r="H18" i="308"/>
  <c r="H18" i="289"/>
  <c r="H18" i="340"/>
  <c r="H18" i="38"/>
  <c r="H18" i="193"/>
  <c r="H18" i="344"/>
  <c r="H18" i="354"/>
  <c r="H18" i="355"/>
  <c r="H18" i="9"/>
  <c r="J12" i="326"/>
  <c r="J12" i="11"/>
  <c r="J12" i="15"/>
  <c r="J12" i="25"/>
  <c r="J12" i="26"/>
  <c r="J12" i="29"/>
  <c r="J12" i="252"/>
  <c r="J12" i="32"/>
  <c r="J12" i="33"/>
  <c r="J12" i="308"/>
  <c r="J12" i="289"/>
  <c r="J12" i="340"/>
  <c r="J12" i="38"/>
  <c r="J12" i="193"/>
  <c r="J12" i="344"/>
  <c r="J12" i="354"/>
  <c r="J12" i="355"/>
  <c r="J12" i="9"/>
  <c r="D12" i="326"/>
  <c r="D12" i="11"/>
  <c r="D12" i="15"/>
  <c r="D12" i="25"/>
  <c r="D12" i="26"/>
  <c r="D12" i="29"/>
  <c r="D12" i="252"/>
  <c r="D12" i="32"/>
  <c r="D12" i="33"/>
  <c r="D12" i="308"/>
  <c r="D12" i="289"/>
  <c r="D12" i="340"/>
  <c r="D12" i="38"/>
  <c r="D12" i="193"/>
  <c r="D12" i="344"/>
  <c r="D12" i="354"/>
  <c r="D12" i="355"/>
  <c r="D12" i="9"/>
  <c r="C6" i="326"/>
  <c r="C6" i="11"/>
  <c r="C6" i="15"/>
  <c r="C6" i="25"/>
  <c r="C6" i="26"/>
  <c r="C6" i="29"/>
  <c r="C6" i="252"/>
  <c r="C6" i="32"/>
  <c r="C6" i="33"/>
  <c r="C6" i="308"/>
  <c r="C6" i="289"/>
  <c r="C6" i="340"/>
  <c r="C6" i="38"/>
  <c r="C6" i="193"/>
  <c r="C6" i="344"/>
  <c r="C6" i="354"/>
  <c r="C6" i="355"/>
  <c r="C6" i="9"/>
  <c r="D18" i="326"/>
  <c r="D18" i="11"/>
  <c r="D18" i="15"/>
  <c r="D18" i="25"/>
  <c r="D18" i="26"/>
  <c r="D18" i="29"/>
  <c r="D18" i="252"/>
  <c r="D18" i="32"/>
  <c r="D18" i="33"/>
  <c r="D18" i="308"/>
  <c r="D18" i="289"/>
  <c r="D18" i="340"/>
  <c r="D18" i="38"/>
  <c r="D18" i="193"/>
  <c r="D18" i="344"/>
  <c r="D18" i="354"/>
  <c r="D18" i="355"/>
  <c r="D18" i="9"/>
  <c r="N11" i="326"/>
  <c r="N11" i="11"/>
  <c r="N11" i="15"/>
  <c r="N11" i="25"/>
  <c r="N11" i="26"/>
  <c r="N11" i="29"/>
  <c r="N11" i="252"/>
  <c r="N11" i="32"/>
  <c r="N11" i="33"/>
  <c r="N11" i="308"/>
  <c r="N11" i="289"/>
  <c r="N11" i="340"/>
  <c r="N11" i="38"/>
  <c r="N11" i="193"/>
  <c r="N11" i="344"/>
  <c r="N11" i="354"/>
  <c r="N11" i="355"/>
  <c r="N11" i="9"/>
  <c r="M11" i="326"/>
  <c r="M11" i="11"/>
  <c r="M11" i="15"/>
  <c r="M11" i="25"/>
  <c r="M11" i="26"/>
  <c r="M11" i="29"/>
  <c r="M11" i="252"/>
  <c r="M11" i="32"/>
  <c r="M11" i="33"/>
  <c r="M11" i="308"/>
  <c r="M11" i="289"/>
  <c r="M11" i="340"/>
  <c r="M11" i="38"/>
  <c r="M11" i="193"/>
  <c r="M11" i="344"/>
  <c r="M11" i="354"/>
  <c r="M11" i="355"/>
  <c r="M11" i="9"/>
  <c r="L11" i="326"/>
  <c r="L11" i="11"/>
  <c r="L11" i="15"/>
  <c r="L11" i="25"/>
  <c r="L11" i="26"/>
  <c r="L11" i="29"/>
  <c r="L11" i="252"/>
  <c r="L11" i="32"/>
  <c r="L11" i="33"/>
  <c r="L11" i="308"/>
  <c r="L11" i="289"/>
  <c r="L11" i="340"/>
  <c r="L11" i="38"/>
  <c r="L11" i="193"/>
  <c r="L11" i="344"/>
  <c r="L11" i="354"/>
  <c r="L11" i="355"/>
  <c r="L11" i="9"/>
  <c r="G96" i="289"/>
  <c r="G97" i="289"/>
  <c r="G98" i="289"/>
  <c r="G99" i="289"/>
  <c r="B101" i="289"/>
  <c r="G105" i="289"/>
  <c r="G106" i="289"/>
  <c r="G107" i="289"/>
  <c r="G108" i="289"/>
  <c r="B109" i="289"/>
  <c r="B110" i="289"/>
  <c r="B98" i="355"/>
  <c r="B97" i="355"/>
  <c r="G96" i="355"/>
  <c r="G95" i="355"/>
  <c r="G94" i="355"/>
  <c r="G93" i="355"/>
  <c r="B89" i="355"/>
  <c r="G87" i="355"/>
  <c r="G86" i="355"/>
  <c r="G85" i="355"/>
  <c r="G84" i="355"/>
  <c r="B117" i="354"/>
  <c r="B116" i="354"/>
  <c r="G115" i="354"/>
  <c r="G114" i="354"/>
  <c r="G113" i="354"/>
  <c r="G112" i="354"/>
  <c r="B108" i="354"/>
  <c r="G106" i="354"/>
  <c r="G105" i="354"/>
  <c r="G104" i="354"/>
  <c r="G103" i="354"/>
  <c r="B116" i="344"/>
  <c r="B115" i="344"/>
  <c r="G114" i="344"/>
  <c r="G113" i="344"/>
  <c r="G112" i="344"/>
  <c r="G111" i="344"/>
  <c r="B107" i="344"/>
  <c r="G105" i="344"/>
  <c r="G104" i="344"/>
  <c r="G103" i="344"/>
  <c r="G102" i="344"/>
  <c r="B117" i="193"/>
  <c r="B116" i="193"/>
  <c r="G115" i="193"/>
  <c r="G114" i="193"/>
  <c r="G113" i="193"/>
  <c r="G112" i="193"/>
  <c r="B108" i="193"/>
  <c r="G106" i="193"/>
  <c r="G105" i="193"/>
  <c r="G104" i="193"/>
  <c r="G103" i="193"/>
  <c r="B113" i="38"/>
  <c r="B112" i="38"/>
  <c r="G111" i="38"/>
  <c r="G110" i="38"/>
  <c r="G109" i="38"/>
  <c r="G108" i="38"/>
  <c r="B104" i="38"/>
  <c r="G102" i="38"/>
  <c r="G101" i="38"/>
  <c r="G100" i="38"/>
  <c r="G99" i="38"/>
  <c r="B113" i="340"/>
  <c r="B112" i="340"/>
  <c r="G111" i="340"/>
  <c r="G110" i="340"/>
  <c r="G109" i="340"/>
  <c r="G108" i="340"/>
  <c r="B104" i="340"/>
  <c r="G102" i="340"/>
  <c r="G101" i="340"/>
  <c r="G100" i="340"/>
  <c r="G99" i="340"/>
  <c r="B104" i="308"/>
  <c r="B103" i="308"/>
  <c r="G102" i="308"/>
  <c r="G101" i="308"/>
  <c r="G100" i="308"/>
  <c r="G99" i="308"/>
  <c r="B95" i="308"/>
  <c r="G93" i="308"/>
  <c r="G92" i="308"/>
  <c r="G91" i="308"/>
  <c r="G90" i="308"/>
  <c r="B114" i="33"/>
  <c r="B113" i="33"/>
  <c r="G112" i="33"/>
  <c r="G111" i="33"/>
  <c r="G110" i="33"/>
  <c r="G109" i="33"/>
  <c r="B105" i="33"/>
  <c r="G103" i="33"/>
  <c r="G102" i="33"/>
  <c r="G101" i="33"/>
  <c r="G100" i="33"/>
  <c r="B113" i="32"/>
  <c r="B112" i="32"/>
  <c r="G111" i="32"/>
  <c r="G110" i="32"/>
  <c r="G109" i="32"/>
  <c r="G108" i="32"/>
  <c r="B104" i="32"/>
  <c r="G102" i="32"/>
  <c r="G101" i="32"/>
  <c r="G100" i="32"/>
  <c r="G99" i="32"/>
  <c r="B115" i="252"/>
  <c r="B114" i="252"/>
  <c r="G113" i="252"/>
  <c r="G112" i="252"/>
  <c r="G111" i="252"/>
  <c r="G110" i="252"/>
  <c r="B106" i="252"/>
  <c r="G104" i="252"/>
  <c r="G103" i="252"/>
  <c r="G102" i="252"/>
  <c r="G101" i="252"/>
  <c r="B109" i="29"/>
  <c r="B108" i="29"/>
  <c r="G107" i="29"/>
  <c r="G106" i="29"/>
  <c r="G105" i="29"/>
  <c r="G104" i="29"/>
  <c r="B100" i="29"/>
  <c r="G98" i="29"/>
  <c r="G97" i="29"/>
  <c r="G96" i="29"/>
  <c r="G95" i="29"/>
  <c r="B109" i="26"/>
  <c r="B108" i="26"/>
  <c r="G107" i="26"/>
  <c r="G106" i="26"/>
  <c r="G105" i="26"/>
  <c r="G104" i="26"/>
  <c r="B100" i="26"/>
  <c r="G98" i="26"/>
  <c r="G97" i="26"/>
  <c r="G96" i="26"/>
  <c r="G95" i="26"/>
  <c r="B100" i="25"/>
  <c r="B99" i="25"/>
  <c r="G98" i="25"/>
  <c r="G97" i="25"/>
  <c r="G96" i="25"/>
  <c r="G95" i="25"/>
  <c r="B91" i="25"/>
  <c r="G89" i="25"/>
  <c r="G88" i="25"/>
  <c r="G87" i="25"/>
  <c r="G86" i="25"/>
  <c r="B110" i="15"/>
  <c r="B109" i="15"/>
  <c r="G108" i="15"/>
  <c r="G107" i="15"/>
  <c r="G106" i="15"/>
  <c r="G105" i="15"/>
  <c r="B101" i="15"/>
  <c r="G99" i="15"/>
  <c r="G98" i="15"/>
  <c r="G97" i="15"/>
  <c r="G96" i="15"/>
  <c r="N59" i="355"/>
  <c r="N72" i="354"/>
  <c r="N80" i="289"/>
  <c r="N67" i="289"/>
  <c r="N47" i="289"/>
  <c r="N72" i="344"/>
  <c r="N72" i="193"/>
  <c r="N69" i="38"/>
  <c r="N62" i="38"/>
  <c r="N66" i="340"/>
  <c r="N68" i="340" s="1"/>
  <c r="N61" i="308"/>
  <c r="N63" i="308" s="1"/>
  <c r="N56" i="308"/>
  <c r="N70" i="33"/>
  <c r="N63" i="33"/>
  <c r="N70" i="32"/>
  <c r="N63" i="32"/>
  <c r="N70" i="252"/>
  <c r="L33" i="29"/>
  <c r="C33" i="29"/>
  <c r="B33" i="29"/>
  <c r="N65" i="29"/>
  <c r="N67" i="29" s="1"/>
  <c r="L33" i="26"/>
  <c r="C33" i="26"/>
  <c r="B33" i="26"/>
  <c r="N64" i="26"/>
  <c r="N66" i="26" s="1"/>
  <c r="L33" i="25"/>
  <c r="C33" i="25"/>
  <c r="B33" i="25"/>
  <c r="N57" i="25"/>
  <c r="N59" i="25" s="1"/>
  <c r="L33" i="15"/>
  <c r="C33" i="15"/>
  <c r="B33" i="15"/>
  <c r="N60" i="15"/>
  <c r="L33" i="11"/>
  <c r="C33" i="11"/>
  <c r="B33" i="11"/>
  <c r="N62" i="11"/>
  <c r="N60" i="326"/>
  <c r="N61" i="340"/>
  <c r="N63" i="252"/>
  <c r="N82" i="289" l="1"/>
  <c r="L89" i="289" s="1"/>
  <c r="N48" i="33"/>
  <c r="N47" i="38"/>
  <c r="N47" i="340"/>
  <c r="N85" i="252"/>
  <c r="N76" i="344"/>
  <c r="N86" i="344" s="1"/>
  <c r="N48" i="344" s="1"/>
  <c r="N83" i="38"/>
  <c r="N80" i="15"/>
  <c r="N64" i="355"/>
  <c r="N87" i="354"/>
  <c r="N48" i="354" s="1"/>
  <c r="N83" i="340"/>
  <c r="N74" i="308"/>
  <c r="N76" i="308" s="1"/>
  <c r="N79" i="29"/>
  <c r="N65" i="355"/>
  <c r="N70" i="25"/>
  <c r="N80" i="326"/>
  <c r="N67" i="15"/>
  <c r="N84" i="33"/>
  <c r="N86" i="33" s="1"/>
  <c r="L92" i="33" s="1"/>
  <c r="N83" i="32"/>
  <c r="N84" i="11"/>
  <c r="N46" i="11" s="1"/>
  <c r="N77" i="193"/>
  <c r="N87" i="193" s="1"/>
  <c r="N48" i="193" s="1"/>
  <c r="N79" i="26"/>
  <c r="N46" i="26" s="1"/>
  <c r="N81" i="26" s="1"/>
  <c r="N69" i="11"/>
  <c r="N46" i="15"/>
  <c r="N47" i="32"/>
  <c r="N47" i="252"/>
  <c r="N47" i="29"/>
  <c r="N42" i="25"/>
  <c r="N67" i="326"/>
  <c r="N65" i="354"/>
  <c r="N60" i="29"/>
  <c r="K42" i="265"/>
  <c r="K32" i="265"/>
  <c r="N87" i="252" l="1"/>
  <c r="L92" i="252" s="1"/>
  <c r="N72" i="25"/>
  <c r="L79" i="25" s="1"/>
  <c r="N85" i="340"/>
  <c r="L90" i="340" s="1"/>
  <c r="N68" i="355"/>
  <c r="N42" i="355" s="1"/>
  <c r="L88" i="289"/>
  <c r="L87" i="289"/>
  <c r="N89" i="354"/>
  <c r="L96" i="354" s="1"/>
  <c r="N88" i="344"/>
  <c r="L93" i="344" s="1"/>
  <c r="N89" i="193"/>
  <c r="N85" i="38"/>
  <c r="L92" i="38" s="1"/>
  <c r="N81" i="29"/>
  <c r="L87" i="29" s="1"/>
  <c r="L93" i="33"/>
  <c r="L91" i="33"/>
  <c r="N85" i="32"/>
  <c r="L92" i="32" s="1"/>
  <c r="N82" i="15"/>
  <c r="L87" i="15" s="1"/>
  <c r="N82" i="326"/>
  <c r="N86" i="11"/>
  <c r="L92" i="11" s="1"/>
  <c r="L81" i="308"/>
  <c r="L82" i="308"/>
  <c r="L83" i="308"/>
  <c r="N82" i="9"/>
  <c r="L88" i="9" s="1"/>
  <c r="L86" i="26"/>
  <c r="L87" i="26"/>
  <c r="L88" i="26"/>
  <c r="L78" i="25" l="1"/>
  <c r="L94" i="252"/>
  <c r="L93" i="252"/>
  <c r="N95" i="252" s="1"/>
  <c r="N97" i="252" s="1"/>
  <c r="L77" i="25"/>
  <c r="L92" i="340"/>
  <c r="L91" i="340"/>
  <c r="N70" i="355"/>
  <c r="L76" i="355" s="1"/>
  <c r="N90" i="289"/>
  <c r="N92" i="289" s="1"/>
  <c r="J17" i="265" s="1"/>
  <c r="K17" i="265" s="1"/>
  <c r="L95" i="354"/>
  <c r="L94" i="354"/>
  <c r="L94" i="344"/>
  <c r="L95" i="344"/>
  <c r="L95" i="193"/>
  <c r="L96" i="193"/>
  <c r="L94" i="193"/>
  <c r="L90" i="38"/>
  <c r="L91" i="38"/>
  <c r="L86" i="29"/>
  <c r="L88" i="29"/>
  <c r="N84" i="308"/>
  <c r="N86" i="308" s="1"/>
  <c r="N94" i="33"/>
  <c r="N96" i="33" s="1"/>
  <c r="L91" i="32"/>
  <c r="L90" i="32"/>
  <c r="N89" i="26"/>
  <c r="N91" i="26" s="1"/>
  <c r="L91" i="11"/>
  <c r="L89" i="15"/>
  <c r="L88" i="15"/>
  <c r="L93" i="11"/>
  <c r="L87" i="326"/>
  <c r="L88" i="326"/>
  <c r="L89" i="326"/>
  <c r="L89" i="9"/>
  <c r="L87" i="9"/>
  <c r="N80" i="25" l="1"/>
  <c r="N82" i="25" s="1"/>
  <c r="N93" i="340"/>
  <c r="N95" i="340" s="1"/>
  <c r="L77" i="355"/>
  <c r="L75" i="355"/>
  <c r="N97" i="354"/>
  <c r="N99" i="354" s="1"/>
  <c r="N93" i="38"/>
  <c r="N95" i="38" s="1"/>
  <c r="H33" i="33"/>
  <c r="I33" i="33"/>
  <c r="N96" i="344"/>
  <c r="N98" i="344" s="1"/>
  <c r="N97" i="193"/>
  <c r="N99" i="193" s="1"/>
  <c r="N89" i="29"/>
  <c r="N91" i="29" s="1"/>
  <c r="N93" i="32"/>
  <c r="N95" i="32" s="1"/>
  <c r="N94" i="11"/>
  <c r="N96" i="11" s="1"/>
  <c r="N90" i="15"/>
  <c r="N92" i="15" s="1"/>
  <c r="N90" i="326"/>
  <c r="N92" i="326" s="1"/>
  <c r="N90" i="9"/>
  <c r="N92" i="9" s="1"/>
  <c r="N78" i="355" l="1"/>
  <c r="N80" i="355" s="1"/>
  <c r="J15" i="265"/>
  <c r="K15" i="265" s="1"/>
  <c r="J16" i="265"/>
  <c r="K16" i="265" s="1"/>
  <c r="K24" i="265" l="1"/>
  <c r="K27" i="265" l="1"/>
  <c r="K28" i="265" s="1"/>
  <c r="K29" i="265" l="1"/>
  <c r="K35" i="265" s="1"/>
</calcChain>
</file>

<file path=xl/sharedStrings.xml><?xml version="1.0" encoding="utf-8"?>
<sst xmlns="http://schemas.openxmlformats.org/spreadsheetml/2006/main" count="2540" uniqueCount="529">
  <si>
    <t>VALOR UNITARIO</t>
  </si>
  <si>
    <t>VEHICULO DELINEADOR</t>
  </si>
  <si>
    <t>ESFERAS REFLECTIVAS</t>
  </si>
  <si>
    <t>PINTURA ACRILICA PURA PARA TRAFICO</t>
  </si>
  <si>
    <t>TACHA REFLECTIVA</t>
  </si>
  <si>
    <t>m2</t>
  </si>
  <si>
    <t>ITEM</t>
  </si>
  <si>
    <t>DESCRIPCION</t>
  </si>
  <si>
    <t>M²</t>
  </si>
  <si>
    <t>ML</t>
  </si>
  <si>
    <t>U</t>
  </si>
  <si>
    <t>M³</t>
  </si>
  <si>
    <t>KG</t>
  </si>
  <si>
    <t>LT</t>
  </si>
  <si>
    <t>M³-KM</t>
  </si>
  <si>
    <t>EQUIPO</t>
  </si>
  <si>
    <t>UNIDAD</t>
  </si>
  <si>
    <t>TARIFA</t>
  </si>
  <si>
    <t>$/HORA</t>
  </si>
  <si>
    <t>Camioneta D-300</t>
  </si>
  <si>
    <t>Cargador 920 o equivalente</t>
  </si>
  <si>
    <t>Carrotanque de agua 10000 Litros</t>
  </si>
  <si>
    <t>Carrotanque Irrigador de asfalto</t>
  </si>
  <si>
    <t>Cizalla</t>
  </si>
  <si>
    <t>Compactador manual (RANA)</t>
  </si>
  <si>
    <t>Compactador neumatico</t>
  </si>
  <si>
    <t>Compresor 125 pies 3 con martillo</t>
  </si>
  <si>
    <t>Compresor (barrido y soplado)</t>
  </si>
  <si>
    <t>Cortadora de pavimento</t>
  </si>
  <si>
    <t>Diferencial de 2 ton.</t>
  </si>
  <si>
    <t>Equipo de oxicorte</t>
  </si>
  <si>
    <t>Equipo de perforación (TRACKDRILL)</t>
  </si>
  <si>
    <t>Equipo de topografía</t>
  </si>
  <si>
    <t>Estación</t>
  </si>
  <si>
    <t>Formaleta metálica (concreto hidraulico)</t>
  </si>
  <si>
    <t>Fresadora de pavimento</t>
  </si>
  <si>
    <t>Guadañadora</t>
  </si>
  <si>
    <t>Maquina térmica pegatachas</t>
  </si>
  <si>
    <t>Mezcladora de concreto 1 BULTO</t>
  </si>
  <si>
    <t>Motosierra</t>
  </si>
  <si>
    <t>Regla vibratoria L=3m</t>
  </si>
  <si>
    <t>Tarifa de transporte</t>
  </si>
  <si>
    <t>Terminadora de asfalto (Finisher)</t>
  </si>
  <si>
    <t>Vehiculo delineador</t>
  </si>
  <si>
    <t>Vibrador de concreto</t>
  </si>
  <si>
    <t>$/HORA: PESOS M/C POR CADA HORA DE TRABAJO</t>
  </si>
  <si>
    <t>M³-KM: COSTO DE TRANSPORTE DE CADA METRO CUBICO POR CADA KILOMETRO</t>
  </si>
  <si>
    <t>KG-KM: COSTO DE TRANSPORTE DE CADA KILOGRAMO POR CADA KILOMETRO</t>
  </si>
  <si>
    <t>MATERIALES</t>
  </si>
  <si>
    <t>COSTO</t>
  </si>
  <si>
    <t>Acero PDR-60</t>
  </si>
  <si>
    <t>Agregado para concreto hidraulico</t>
  </si>
  <si>
    <t>Agregado petreo para mezclas asfálticas</t>
  </si>
  <si>
    <t>Agregados seleccionados (tamaño máximo 1") (bandas sonoras reduce velocidad)</t>
  </si>
  <si>
    <t>Agua</t>
  </si>
  <si>
    <t>Alambre de pua calibre 12 (340 m)</t>
  </si>
  <si>
    <t>Alambre negro para amarre</t>
  </si>
  <si>
    <t>Antisol</t>
  </si>
  <si>
    <t>Arena lavada</t>
  </si>
  <si>
    <t>Barras de transferencia de carga 1"</t>
  </si>
  <si>
    <t>Barras de unión 1/2"</t>
  </si>
  <si>
    <t>Cemento Asfaltico 60-70</t>
  </si>
  <si>
    <t>Cemento gris</t>
  </si>
  <si>
    <t>Disolvente para pintura (especificar el tipo de disolvente que está utilizando)</t>
  </si>
  <si>
    <t>GALON</t>
  </si>
  <si>
    <t>Emulsión CRL-1</t>
  </si>
  <si>
    <t>Esferas reflectivas</t>
  </si>
  <si>
    <t>Estacas, Pintura, Tachuela, Hilo</t>
  </si>
  <si>
    <t>GLOBAL</t>
  </si>
  <si>
    <t>LB</t>
  </si>
  <si>
    <t>Formaleta concreto clase A,B y C</t>
  </si>
  <si>
    <t>Formaleta para baranda de concreto</t>
  </si>
  <si>
    <t>Material de Base</t>
  </si>
  <si>
    <t>Poste kilometraje</t>
  </si>
  <si>
    <t>Señal grupo V  (0,9*1,13m)</t>
  </si>
  <si>
    <t>KG: KILOGRAMO</t>
  </si>
  <si>
    <t>LB: LIBRA</t>
  </si>
  <si>
    <t>M²: METRO CUADRADO</t>
  </si>
  <si>
    <t>M³: METRO CUBICO</t>
  </si>
  <si>
    <t>ML: METRO LINEAL</t>
  </si>
  <si>
    <t>LT: LITRO</t>
  </si>
  <si>
    <t>U: UNIDAD</t>
  </si>
  <si>
    <t>ADMINISTRACION</t>
  </si>
  <si>
    <t>UTILIDAD</t>
  </si>
  <si>
    <t>PRESTACIONES</t>
  </si>
  <si>
    <t>OFICIAL</t>
  </si>
  <si>
    <t>SOLDADOR</t>
  </si>
  <si>
    <t>I. EQUIPO</t>
  </si>
  <si>
    <t>Descripción</t>
  </si>
  <si>
    <t>III. TRANSPORTES</t>
  </si>
  <si>
    <t>IV. MANO DE OBRA</t>
  </si>
  <si>
    <t>V. COSTOS INDIRECTOS</t>
  </si>
  <si>
    <t>Porcentaje</t>
  </si>
  <si>
    <t>Valor Total</t>
  </si>
  <si>
    <t xml:space="preserve">IMPREVISTOS </t>
  </si>
  <si>
    <t>M2</t>
  </si>
  <si>
    <t>INSTITUTO NACIONAL DE VIAS</t>
  </si>
  <si>
    <t>kg</t>
  </si>
  <si>
    <t>m3</t>
  </si>
  <si>
    <t>PRESUPUESTO OFICIAL</t>
  </si>
  <si>
    <t>Nº</t>
  </si>
  <si>
    <t>CANTIDAD</t>
  </si>
  <si>
    <t>PORCENTAJE</t>
  </si>
  <si>
    <t>A=</t>
  </si>
  <si>
    <t>IMPREVISTO</t>
  </si>
  <si>
    <t>I=</t>
  </si>
  <si>
    <t>U=</t>
  </si>
  <si>
    <t>TOTAL A.I.U</t>
  </si>
  <si>
    <t>A.I.U.=</t>
  </si>
  <si>
    <t>ITEM DE PAGO</t>
  </si>
  <si>
    <t>UND.</t>
  </si>
  <si>
    <t xml:space="preserve">VALOR TOTAL                                </t>
  </si>
  <si>
    <t>Material para relleno de estructuras</t>
  </si>
  <si>
    <t xml:space="preserve">Superplastificante </t>
  </si>
  <si>
    <t>Sello de silicona o poliuretano</t>
  </si>
  <si>
    <t>VALOR TOTAL</t>
  </si>
  <si>
    <t>Retroexcavadora 120 HP</t>
  </si>
  <si>
    <t>Subtotal</t>
  </si>
  <si>
    <t>Vibrocompatador (8 TON)</t>
  </si>
  <si>
    <t>Motoniveladora 120 HP</t>
  </si>
  <si>
    <t>Cintilla de poliuretano</t>
  </si>
  <si>
    <t>Formaleta para muros (para muros)</t>
  </si>
  <si>
    <t>Geotextil Tejido</t>
  </si>
  <si>
    <t>Material de Sub- Base</t>
  </si>
  <si>
    <t>Perfil para defensas métalicas</t>
  </si>
  <si>
    <t>DESCRIPCIÓN</t>
  </si>
  <si>
    <t>VALOR BASICO DEL CONTRATO INCLUYE OBRAS COMPLEMENTARIAS Y AJUSTES</t>
  </si>
  <si>
    <t>Acero Canastilla</t>
  </si>
  <si>
    <t>Tarifa de transporte de mezcla de concreto</t>
  </si>
  <si>
    <t>Central de fabricación de la mezcla (Concreto)</t>
  </si>
  <si>
    <t>Volqueta 15 m3</t>
  </si>
  <si>
    <t>GESTION SOCIAL Y PREDIAL  (Incluye  IVA 16%)</t>
  </si>
  <si>
    <t>GESTION AMBIENTAL (Incluye PAGA e IVA 16%)</t>
  </si>
  <si>
    <t>Geomalla</t>
  </si>
  <si>
    <t>TIPO</t>
  </si>
  <si>
    <t>TARIFA/HORA</t>
  </si>
  <si>
    <t>RENDIMIENTO</t>
  </si>
  <si>
    <t>SUBTOTAL $</t>
  </si>
  <si>
    <t>II. MATERIALES</t>
  </si>
  <si>
    <t>PRECIO UNIT.</t>
  </si>
  <si>
    <t>Vr. UNITARIO</t>
  </si>
  <si>
    <t>MATERIAL</t>
  </si>
  <si>
    <t>VOL. o PESO</t>
  </si>
  <si>
    <t>DISTANCIA</t>
  </si>
  <si>
    <t>TRABAJADOR</t>
  </si>
  <si>
    <t>JORNAL</t>
  </si>
  <si>
    <t>JORNAL TOTAL</t>
  </si>
  <si>
    <t>TOTAL COSTO DIRECTO $</t>
  </si>
  <si>
    <t>Precio Unitario Total Aproximado al peso $</t>
  </si>
  <si>
    <t>GL</t>
  </si>
  <si>
    <t>und</t>
  </si>
  <si>
    <t>Taladro (broca de Tugsteno)</t>
  </si>
  <si>
    <t>Taladro (broca de Tugsteno 1 1/8")</t>
  </si>
  <si>
    <t>Planta eléctrica 25 kw</t>
  </si>
  <si>
    <t>Resina epoxica superplastificante</t>
  </si>
  <si>
    <t>Gato para Tensionamiento</t>
  </si>
  <si>
    <t>Lechada Para Ductos</t>
  </si>
  <si>
    <t>Equipo de colocación de concreto en obra</t>
  </si>
  <si>
    <t>Pluma de 500 Kg motor a gasolina (Incluye combustible</t>
  </si>
  <si>
    <t>Plastificante</t>
  </si>
  <si>
    <t>lts</t>
  </si>
  <si>
    <t>Bolsacreto  1.6x0.8x0.30</t>
  </si>
  <si>
    <t>Tablero en lamina galvanizada tipo V</t>
  </si>
  <si>
    <t>Equipo de perforación hidro neumático</t>
  </si>
  <si>
    <t>Equipo de inyección de lechada</t>
  </si>
  <si>
    <t>Separadores</t>
  </si>
  <si>
    <t>TALADRO</t>
  </si>
  <si>
    <t>PERNO D=18MM, L=200MM, TUERCA Y ARANDELA EN ACERO DE ALTA RESISTENCIA</t>
  </si>
  <si>
    <t>MORTERO ALTA RESISTENCIA (INCLUYE FIBRA DE NYLON)</t>
  </si>
  <si>
    <t>EPOXICO RE-500 HIL TI</t>
  </si>
  <si>
    <t>Pulidora</t>
  </si>
  <si>
    <t>Equipo para pintura</t>
  </si>
  <si>
    <t>Maquina recicladora</t>
  </si>
  <si>
    <t>Pintura anticorrosiva</t>
  </si>
  <si>
    <t>Retenedor de agua</t>
  </si>
  <si>
    <t>Aditivo acelerante</t>
  </si>
  <si>
    <t>Disco de diamante</t>
  </si>
  <si>
    <t>Brocas de tugsteno</t>
  </si>
  <si>
    <t xml:space="preserve">Malacate </t>
  </si>
  <si>
    <t>Geotextil No Tejido 4000</t>
  </si>
  <si>
    <t>EUCO 452 GEL- SIKA DUR ANCHORFIX-4</t>
  </si>
  <si>
    <t>MINISTERIO DE TRANSPORTE</t>
  </si>
  <si>
    <t>CÓDIGO</t>
  </si>
  <si>
    <t>MSE--FR-14</t>
  </si>
  <si>
    <t>VERSIÓN</t>
  </si>
  <si>
    <t>PROCESO SUPERVISION, EJECUCION Y SEGUIMIENTO A PROYECTOS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</si>
  <si>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</si>
  <si>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</si>
  <si>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</si>
  <si>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</si>
  <si>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</si>
  <si>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</si>
  <si>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</si>
  <si>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 xml:space="preserve">UNIDAD EJECUTORA: </t>
  </si>
  <si>
    <t>DIRECCIÓN TERRITORIAL:</t>
  </si>
  <si>
    <t>CONTRATO No.</t>
  </si>
  <si>
    <t>OBJETO DEL CONTRATO</t>
  </si>
  <si>
    <t>INTERVENTOR</t>
  </si>
  <si>
    <t>GESTOR TECNICO DE CONTRATO</t>
  </si>
  <si>
    <t xml:space="preserve">FECHA CIERRE DE LICITACIÓN Y/O SELECCIÓN ABREVIADA  </t>
  </si>
  <si>
    <t>DATOS ESPECÍFICOS</t>
  </si>
  <si>
    <t>GRUPO DE AJUSTE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</si>
  <si>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</si>
  <si>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</si>
  <si>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</si>
  <si>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</si>
  <si>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</si>
  <si>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</t>
  </si>
  <si>
    <t>Representante Legal del Interventor o su Apoderado</t>
  </si>
  <si>
    <t xml:space="preserve">Original: Archivo de Gestión Contractual ( Subdirecciòn Administrativa) </t>
  </si>
  <si>
    <t>Copias : Unidad Ejecutora,  Contratista, Interventor y Dirección Territorial.</t>
  </si>
  <si>
    <t>HERRAMIENTA MENOR</t>
  </si>
  <si>
    <t>SOLDADURA</t>
  </si>
  <si>
    <t>Motobomba 4"</t>
  </si>
  <si>
    <t>Plana de Asfalto CM</t>
  </si>
  <si>
    <t>ACPM</t>
  </si>
  <si>
    <t>gl</t>
  </si>
  <si>
    <t>Asfalto</t>
  </si>
  <si>
    <t>Compresor 175 CFM o superior</t>
  </si>
  <si>
    <t>MALLA ELECTROSOLDADA fy 4592 kg/cm2</t>
  </si>
  <si>
    <t>GEOMALLA TRIAX TX 160  O SIMILAR</t>
  </si>
  <si>
    <t>GEOMALLA UNIAXIAL UX 100  O SIMILAR</t>
  </si>
  <si>
    <t>TAPONES TUBERÍA PVC DE DRENAJE   ø  160 mm.</t>
  </si>
  <si>
    <t>TAPON ø  65 mm.</t>
  </si>
  <si>
    <t>AJUSTE ESTUDIOS Y DISEÑOS</t>
  </si>
  <si>
    <t>IVA AJUSTE  ESTUDIOS Y DISEÑOS</t>
  </si>
  <si>
    <t>CONTRATISTA :</t>
  </si>
  <si>
    <t>XXXXXXXXXX</t>
  </si>
  <si>
    <t>XXX</t>
  </si>
  <si>
    <t>Cargador Frontal 966H</t>
  </si>
  <si>
    <t>Dispensador neumatico HIT-P500</t>
  </si>
  <si>
    <t>Equipo de elevacion para lanzado</t>
  </si>
  <si>
    <t>Compresor 125 pies3 con martillo o superior</t>
  </si>
  <si>
    <t>Equipo de Tensionamiento</t>
  </si>
  <si>
    <t>Equipo de excavacion (compresor, espada)</t>
  </si>
  <si>
    <t>Equipo de Adecuacion accesos y plataformas</t>
  </si>
  <si>
    <t>Equipo de Retiro y disposicion de material sobrante</t>
  </si>
  <si>
    <t>Equipo de soldadura 250AMP.</t>
  </si>
  <si>
    <t>Formaleta Anillos</t>
  </si>
  <si>
    <t>Grua (5 TON)</t>
  </si>
  <si>
    <t>Soplete gas propano</t>
  </si>
  <si>
    <t>DIRECCION OPERATIVA</t>
  </si>
  <si>
    <t>MANUAL DE INTERVENTORÍA OBRA PUBLICA</t>
  </si>
  <si>
    <t>PROVISION PARA AJUSTES, OBRAS COMPLEMENTARIAS Y/O ADICIONALES</t>
  </si>
  <si>
    <t>GENERAL</t>
  </si>
  <si>
    <t>PARTICULAR</t>
  </si>
  <si>
    <t xml:space="preserve">VALOR TOTAL EN LETRAS: </t>
  </si>
  <si>
    <r>
      <t xml:space="preserve">UTILIDAD
</t>
    </r>
    <r>
      <rPr>
        <b/>
        <sz val="9"/>
        <color rgb="FFFF0000"/>
        <rFont val="Arial Narrow"/>
        <family val="2"/>
      </rPr>
      <t>(NO MODIFICAR)</t>
    </r>
  </si>
  <si>
    <r>
      <t>M</t>
    </r>
    <r>
      <rPr>
        <b/>
        <vertAlign val="superscript"/>
        <sz val="8"/>
        <rFont val="Arial Narrow"/>
        <family val="2"/>
      </rPr>
      <t>3</t>
    </r>
    <r>
      <rPr>
        <b/>
        <sz val="8"/>
        <rFont val="Arial Narrow"/>
        <family val="2"/>
      </rPr>
      <t xml:space="preserve"> o Ton/Km</t>
    </r>
  </si>
  <si>
    <t xml:space="preserve">ESPECIFICACIONES </t>
  </si>
  <si>
    <t>SUBTOTAL OBRAS (INCLUYE IVA)</t>
  </si>
  <si>
    <t xml:space="preserve">REVISION Y/O COMPLEMENTACION Y/O AJUSTE DE ESTUDIOS Y DISEÑOS </t>
  </si>
  <si>
    <t>TOTAL ESTUDIOS Y DISEÑOS, REVISION Y AJUSTE DE ESTUDIOS Y DISEÑOS EXISTENTES</t>
  </si>
  <si>
    <t>Mezcla densa en caliente MDC-25</t>
  </si>
  <si>
    <t>Mezcla densa en caliente MDC-19</t>
  </si>
  <si>
    <t>CODIGO</t>
  </si>
  <si>
    <t>EQUIPO DE SOLDADURA</t>
  </si>
  <si>
    <t>Gas propano</t>
  </si>
  <si>
    <t>Vibrocompatador (10 TON)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</si>
  <si>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Teniendo en cuenta el Manual de Señalización Vial - Dispositivos para la Regulación del Tránsito en Calles, Carreteras y Ciclorrutas de Colombia,    adoptado mediante Resolución No. 001050 del 5 de mayo de 2004 del Ministerio de Transporte, se aclara que el aparte de SEÑALIZACIÓN se debe ajustar  a todo su contenido,  esta señalización debe colocarse desde la órden de iniciación del contrato.</t>
    </r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</si>
  <si>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El control de tráfico temporal y la señalización provisional necesarios para la ejecución de las obras será por cuenta y riesgo del contratista. </t>
    </r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</si>
  <si>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Se debe tener en cuenta que el PRECIO UNITARIO incluye el valor de A.I.U. </t>
    </r>
  </si>
  <si>
    <r>
      <rPr>
        <b/>
        <sz val="12"/>
        <rFont val="Arial Narrow"/>
        <family val="2"/>
      </rPr>
      <t>NOTA 4:</t>
    </r>
    <r>
      <rPr>
        <sz val="12"/>
        <rFont val="Arial Narrow"/>
        <family val="2"/>
      </rPr>
      <t xml:space="preserve"> Si el valor del A.I.U. presentado es menor al NOVENTA por ciento (90%) o mayor al Ciento diez por ciento (110%) del Valor Oficial  del Porcentaje de A.I.U.,  establecido en el formulario No 1 "presupuesto oficial", la propuesta será rechazada</t>
    </r>
  </si>
  <si>
    <r>
      <rPr>
        <b/>
        <sz val="12"/>
        <rFont val="Arial Narrow"/>
        <family val="2"/>
      </rPr>
      <t>NOTA 5: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</si>
  <si>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12"/>
        <rFont val="Arial Narrow"/>
        <family val="2"/>
      </rPr>
      <t xml:space="preserve">NOTA 6: </t>
    </r>
    <r>
      <rPr>
        <sz val="12"/>
        <rFont val="Arial Narrow"/>
        <family val="2"/>
      </rPr>
      <t xml:space="preserve">El A.I.U y su discriminación deben estar en porcentaje (%). </t>
    </r>
  </si>
  <si>
    <r>
      <rPr>
        <b/>
        <sz val="12"/>
        <rFont val="Arial Narrow"/>
        <family val="2"/>
      </rPr>
      <t xml:space="preserve">NOTA 7: </t>
    </r>
    <r>
      <rPr>
        <sz val="12"/>
        <rFont val="Arial Narrow"/>
        <family val="2"/>
      </rPr>
      <t>El reconocimiento económico de los requerimientos  ambientales exigidos  por las autoridades ambientales, y/o sociales que son de obligatorio cumplimiento, serán reconocidos a cargo de reembolso de gastos (afectados por un % de administracion).</t>
    </r>
  </si>
  <si>
    <t>XXXXXXXXXXXXXXXXXXXXXXXXXXXXXXXXXXXXXX</t>
  </si>
  <si>
    <t>Mortero Aditivo para de alta resistentecia</t>
  </si>
  <si>
    <t>LAMINA GALV. CALIBRE 16</t>
  </si>
  <si>
    <r>
      <t>M</t>
    </r>
    <r>
      <rPr>
        <vertAlign val="superscript"/>
        <sz val="10"/>
        <rFont val="Arial"/>
        <family val="2"/>
      </rPr>
      <t>2</t>
    </r>
  </si>
  <si>
    <t>PAPEL REFLECTIVO TIPO III</t>
  </si>
  <si>
    <t>ANGULO DE 2" X 1/4"</t>
  </si>
  <si>
    <t>ANGULO DE 2" X 1/8"</t>
  </si>
  <si>
    <t>TORNILLOS Y REMACHES</t>
  </si>
  <si>
    <t>PINTURA EN POLVO</t>
  </si>
  <si>
    <t>PINTURA ESMALTE</t>
  </si>
  <si>
    <t>CONCRETO CLASE E</t>
  </si>
  <si>
    <r>
      <t>M</t>
    </r>
    <r>
      <rPr>
        <vertAlign val="superscript"/>
        <sz val="10"/>
        <rFont val="Arial"/>
        <family val="2"/>
      </rPr>
      <t>3</t>
    </r>
  </si>
  <si>
    <t>IMPRIMANTE</t>
  </si>
  <si>
    <t>UND</t>
  </si>
  <si>
    <t>PEGANTE EPOXICO</t>
  </si>
  <si>
    <t>RESINA TERMOPLASTICA</t>
  </si>
  <si>
    <t>SV-1001</t>
  </si>
  <si>
    <t>SV-1002</t>
  </si>
  <si>
    <t>SV-1003</t>
  </si>
  <si>
    <t>SV-1004</t>
  </si>
  <si>
    <t>SV-1005</t>
  </si>
  <si>
    <t>SV-1006</t>
  </si>
  <si>
    <t>SV-1007</t>
  </si>
  <si>
    <t>SV-1008</t>
  </si>
  <si>
    <t>SV-1009</t>
  </si>
  <si>
    <t>SV-1010</t>
  </si>
  <si>
    <t>SV-1011</t>
  </si>
  <si>
    <t>SV-1012</t>
  </si>
  <si>
    <t>SV-1013</t>
  </si>
  <si>
    <t>SV-1014</t>
  </si>
  <si>
    <t>SV-1015</t>
  </si>
  <si>
    <t>SV-1016</t>
  </si>
  <si>
    <t>SV-1017</t>
  </si>
  <si>
    <t>SV-1018</t>
  </si>
  <si>
    <t>SV-1019</t>
  </si>
  <si>
    <t>SV-1020</t>
  </si>
  <si>
    <t>SV-1021</t>
  </si>
  <si>
    <t>SV-1022</t>
  </si>
  <si>
    <t>SV-1023</t>
  </si>
  <si>
    <t>SV-1024</t>
  </si>
  <si>
    <t>SV-1025</t>
  </si>
  <si>
    <t>SV-1026</t>
  </si>
  <si>
    <t>SV-1027</t>
  </si>
  <si>
    <t>SV-1028</t>
  </si>
  <si>
    <t>SV-1029</t>
  </si>
  <si>
    <t>SV-1030</t>
  </si>
  <si>
    <t>SV-1031</t>
  </si>
  <si>
    <t>SV-1032</t>
  </si>
  <si>
    <t>SV-1033</t>
  </si>
  <si>
    <t>SV-1034</t>
  </si>
  <si>
    <t>SV-1035</t>
  </si>
  <si>
    <t>SV-1036</t>
  </si>
  <si>
    <t>SV-1037</t>
  </si>
  <si>
    <t>SV-1038</t>
  </si>
  <si>
    <t>SV-1039</t>
  </si>
  <si>
    <t>SV-1040</t>
  </si>
  <si>
    <t>SV-1041</t>
  </si>
  <si>
    <t>SV-1042</t>
  </si>
  <si>
    <t>SV-1043</t>
  </si>
  <si>
    <t>SV-1044</t>
  </si>
  <si>
    <t>SV-1045</t>
  </si>
  <si>
    <t>SV-1046</t>
  </si>
  <si>
    <t>SV-1047</t>
  </si>
  <si>
    <t>SV-1048</t>
  </si>
  <si>
    <t>SV-1049</t>
  </si>
  <si>
    <t>SV-1050</t>
  </si>
  <si>
    <t>SV-1051</t>
  </si>
  <si>
    <t>SV-1052</t>
  </si>
  <si>
    <t>SV-1053</t>
  </si>
  <si>
    <t>SV-1054</t>
  </si>
  <si>
    <t>SV-1055</t>
  </si>
  <si>
    <t>SV-1056</t>
  </si>
  <si>
    <t>SV-1057</t>
  </si>
  <si>
    <t>SV-1058</t>
  </si>
  <si>
    <t>SV-1059</t>
  </si>
  <si>
    <t>SV-1060</t>
  </si>
  <si>
    <t>SV-1061</t>
  </si>
  <si>
    <t>SV-1062</t>
  </si>
  <si>
    <t>SV-1063</t>
  </si>
  <si>
    <t>SV-1064</t>
  </si>
  <si>
    <t>SV-1065</t>
  </si>
  <si>
    <t>SV-1066</t>
  </si>
  <si>
    <t>SV-1067</t>
  </si>
  <si>
    <t>SV-1068</t>
  </si>
  <si>
    <t>SV-1069</t>
  </si>
  <si>
    <t>SV-1070</t>
  </si>
  <si>
    <t>SV-1071</t>
  </si>
  <si>
    <t>SV-1072</t>
  </si>
  <si>
    <t>SV-1073</t>
  </si>
  <si>
    <t>SV-1074</t>
  </si>
  <si>
    <t>SV-1075</t>
  </si>
  <si>
    <t>SV-1076</t>
  </si>
  <si>
    <t>SV-1077</t>
  </si>
  <si>
    <t>SV-1078</t>
  </si>
  <si>
    <t>CORTADORA DE LÁMINA</t>
  </si>
  <si>
    <t>CORTADORA DE ANGULO</t>
  </si>
  <si>
    <t>EQUIPO DE PINTURA</t>
  </si>
  <si>
    <t>EQUIPO DE SERIGRAFÍA</t>
  </si>
  <si>
    <t>EQUIPO DE LAMINACIÓN</t>
  </si>
  <si>
    <t>E-SV-001</t>
  </si>
  <si>
    <t>E-SV-002</t>
  </si>
  <si>
    <t>E-SV-003</t>
  </si>
  <si>
    <t>E-SV-004</t>
  </si>
  <si>
    <t>E-SV-005</t>
  </si>
  <si>
    <t>E-SV-006</t>
  </si>
  <si>
    <t>E-SV-007</t>
  </si>
  <si>
    <t>E-SV-008</t>
  </si>
  <si>
    <t>E-SV-009</t>
  </si>
  <si>
    <t>E-SV-010</t>
  </si>
  <si>
    <t>E-SV-011</t>
  </si>
  <si>
    <t>E-SV-012</t>
  </si>
  <si>
    <t>E-SV-013</t>
  </si>
  <si>
    <t>E-SV-014</t>
  </si>
  <si>
    <t>E-SV-015</t>
  </si>
  <si>
    <t>E-SV-016</t>
  </si>
  <si>
    <t>E-SV-017</t>
  </si>
  <si>
    <t>E-SV-018</t>
  </si>
  <si>
    <t>E-SV-019</t>
  </si>
  <si>
    <t>E-SV-020</t>
  </si>
  <si>
    <t>E-SV-021</t>
  </si>
  <si>
    <t>E-SV-022</t>
  </si>
  <si>
    <t>E-SV-023</t>
  </si>
  <si>
    <t>E-SV-024</t>
  </si>
  <si>
    <t>E-SV-025</t>
  </si>
  <si>
    <t>E-SV-026</t>
  </si>
  <si>
    <t>E-SV-027</t>
  </si>
  <si>
    <t>E-SV-028</t>
  </si>
  <si>
    <t>E-SV-029</t>
  </si>
  <si>
    <t>E-SV-030</t>
  </si>
  <si>
    <t>E-SV-031</t>
  </si>
  <si>
    <t>E-SV-032</t>
  </si>
  <si>
    <t>E-SV-033</t>
  </si>
  <si>
    <t>E-SV-034</t>
  </si>
  <si>
    <t>E-SV-035</t>
  </si>
  <si>
    <t>E-SV-036</t>
  </si>
  <si>
    <t>E-SV-037</t>
  </si>
  <si>
    <t>E-SV-038</t>
  </si>
  <si>
    <t>E-SV-039</t>
  </si>
  <si>
    <t>E-SV-040</t>
  </si>
  <si>
    <t>E-SV-041</t>
  </si>
  <si>
    <t>E-SV-042</t>
  </si>
  <si>
    <t>E-SV-043</t>
  </si>
  <si>
    <t>E-SV-044</t>
  </si>
  <si>
    <t>E-SV-045</t>
  </si>
  <si>
    <t>E-SV-046</t>
  </si>
  <si>
    <t>E-SV-047</t>
  </si>
  <si>
    <t>E-SV-048</t>
  </si>
  <si>
    <t>E-SV-049</t>
  </si>
  <si>
    <t>E-SV-050</t>
  </si>
  <si>
    <t>E-SV-051</t>
  </si>
  <si>
    <t>E-SV-052</t>
  </si>
  <si>
    <t>E-SV-053</t>
  </si>
  <si>
    <t>E-SV-054</t>
  </si>
  <si>
    <t>E-SV-055</t>
  </si>
  <si>
    <t>E-SV-056</t>
  </si>
  <si>
    <t>E-SV-057</t>
  </si>
  <si>
    <t>E-SV-058</t>
  </si>
  <si>
    <t>E-SV-059</t>
  </si>
  <si>
    <t>E-SV-060</t>
  </si>
  <si>
    <t>E-SV-061</t>
  </si>
  <si>
    <t>E-SV-062</t>
  </si>
  <si>
    <t>E-SV-063</t>
  </si>
  <si>
    <t>E-SV-064</t>
  </si>
  <si>
    <t>E-SV-065</t>
  </si>
  <si>
    <t>E-SV-066</t>
  </si>
  <si>
    <t>E-SV-067</t>
  </si>
  <si>
    <t>E-SV-068</t>
  </si>
  <si>
    <t>E-SV-069</t>
  </si>
  <si>
    <t>E-SV-070</t>
  </si>
  <si>
    <t>E-SV-071</t>
  </si>
  <si>
    <t>E-SV-072</t>
  </si>
  <si>
    <t>E-SV-073</t>
  </si>
  <si>
    <t>E-SV-074</t>
  </si>
  <si>
    <t>E-SV-075</t>
  </si>
  <si>
    <t>E-SV-076</t>
  </si>
  <si>
    <t>MO-SV-001</t>
  </si>
  <si>
    <t>MO-SV-002</t>
  </si>
  <si>
    <t>MO-SV-003</t>
  </si>
  <si>
    <t>MO-SV-004</t>
  </si>
  <si>
    <t>MO-SV-005</t>
  </si>
  <si>
    <t>MO-SV-006</t>
  </si>
  <si>
    <t>MO-SV-007</t>
  </si>
  <si>
    <t>MO-SV-008</t>
  </si>
  <si>
    <t>MO-SV-009</t>
  </si>
  <si>
    <t>MO-SV-010</t>
  </si>
  <si>
    <t>MO-SV-011</t>
  </si>
  <si>
    <t>CARGO</t>
  </si>
  <si>
    <t>CORTADOR</t>
  </si>
  <si>
    <t>PINTOR</t>
  </si>
  <si>
    <t>LAMINADOR</t>
  </si>
  <si>
    <t>SERIGRAFISTA</t>
  </si>
  <si>
    <t>AYUDANTE</t>
  </si>
  <si>
    <t>INSPECTOR DE OBRA</t>
  </si>
  <si>
    <t>INGENIERO RESIDENTE</t>
  </si>
  <si>
    <t>INGENIERO ESPECIALISTA</t>
  </si>
  <si>
    <t>CUADRILLA DE INSTALÑACIÓN (3)</t>
  </si>
  <si>
    <t>SEÑALIZACIÓN VIAL</t>
  </si>
  <si>
    <t>SUMINISTRO E INSTALACIÓN DE SEÑAL VERTICAL SP, SR Y SI 75 CM X 75 CM</t>
  </si>
  <si>
    <t xml:space="preserve">MARCAS VIALES CON PINTURA EN FRIO ACRÍLICA PURA BASE AGUA   </t>
  </si>
  <si>
    <t>LÍNEA DEMARCACION EN PINTURA ACRILICA CON MICROESFERAS</t>
  </si>
  <si>
    <t>E-SV-077</t>
  </si>
  <si>
    <t xml:space="preserve">SEÑAL </t>
  </si>
  <si>
    <t>SV-02</t>
  </si>
  <si>
    <t>SUBTOTAL</t>
  </si>
  <si>
    <t>TOTAL COSTO DIRECTO</t>
  </si>
  <si>
    <t>Precio Unitario Total Aproximado al peso</t>
  </si>
  <si>
    <t xml:space="preserve">SUBTOTAL </t>
  </si>
  <si>
    <t xml:space="preserve">Precio Unitario Total Aproximado al peso </t>
  </si>
  <si>
    <t xml:space="preserve">TOTAL COSTO DIRECTO </t>
  </si>
  <si>
    <t>SV-07</t>
  </si>
  <si>
    <t>SV-12</t>
  </si>
  <si>
    <t>E. EQUIPO</t>
  </si>
  <si>
    <t>SV: SEGURIDAD VIAL</t>
  </si>
  <si>
    <t>MO-SV-012</t>
  </si>
  <si>
    <t>OPERADOR DE EQUIPO</t>
  </si>
  <si>
    <t>Camiontta con Platon</t>
  </si>
  <si>
    <t>Maquina Manual</t>
  </si>
  <si>
    <t>Vehiculo delineador, capacidad de 120 galones, tanque para microesfera de 1200 lb.</t>
  </si>
  <si>
    <t>PINTURA TERMOPLASTICA</t>
  </si>
  <si>
    <t>SV-1079</t>
  </si>
  <si>
    <t>LÁMINA GALVANIZADA CAL 20</t>
  </si>
  <si>
    <t>TUBO GALVANIZADO DE 4" DE DIÁMETRO</t>
  </si>
  <si>
    <t>TUBO GALVANIZADO DE 1 1/2" DE DIAMETRO</t>
  </si>
  <si>
    <t>SV-1080</t>
  </si>
  <si>
    <t>SV-1081</t>
  </si>
  <si>
    <t>SV-1082</t>
  </si>
  <si>
    <t>m</t>
  </si>
  <si>
    <t>TRANSPORTE DE SEÑAL</t>
  </si>
  <si>
    <t>M</t>
  </si>
  <si>
    <t>DEFENSAS METALICAS (TRAMO DE 3,81m)</t>
  </si>
  <si>
    <t>SV-1083</t>
  </si>
  <si>
    <t>POSTE PARA DEFENSA METALICA  DE 1,80m (INCLUYE TORNILLERIA)</t>
  </si>
  <si>
    <t>AMORTIGUADORES</t>
  </si>
  <si>
    <t>SV-1084</t>
  </si>
  <si>
    <t>CAPTAFAROS</t>
  </si>
  <si>
    <t>SECCION FINAL DE DEFENSA METALICA (TERMINAL)</t>
  </si>
  <si>
    <t>SV-1085</t>
  </si>
  <si>
    <t>SV-19</t>
  </si>
  <si>
    <t>SV-20</t>
  </si>
  <si>
    <t>SUMINISTRO E INSTALACIÓN DE SEÑAL VERTICAL SP-47B</t>
  </si>
  <si>
    <r>
      <t>M</t>
    </r>
    <r>
      <rPr>
        <vertAlign val="superscript"/>
        <sz val="10"/>
        <rFont val="Arial Narrow"/>
        <family val="2"/>
      </rPr>
      <t>2</t>
    </r>
  </si>
  <si>
    <t xml:space="preserve">Maquina térmica </t>
  </si>
  <si>
    <t>ESTOPEROLES</t>
  </si>
  <si>
    <t>MO-SV-013</t>
  </si>
  <si>
    <t>TACHON PLASTICO COLOR AMARILLO DE 8cmX15cmX40cm</t>
  </si>
  <si>
    <t>SV-1086</t>
  </si>
  <si>
    <t>SV-1087</t>
  </si>
  <si>
    <t>DELINEADOR TUBULAR H=75cm</t>
  </si>
  <si>
    <t>EQUIPO MANUAL PARA PINTURA TERMOPLASTICA INCLUYE CALDERA</t>
  </si>
  <si>
    <t>OPERADOR DE CALDERA</t>
  </si>
  <si>
    <t>SV-1088</t>
  </si>
  <si>
    <t>BORDILLO PREFABRICADO</t>
  </si>
  <si>
    <t>MORTERO 1:3</t>
  </si>
  <si>
    <t>SV-1089</t>
  </si>
  <si>
    <t>SV-1090</t>
  </si>
  <si>
    <t>CONCRETO CLASE F</t>
  </si>
  <si>
    <t>FORMALETA PARA JUNTAS</t>
  </si>
  <si>
    <t>SV-1091</t>
  </si>
  <si>
    <t>VALOR IVA  (OBRA) (19% SOBRE  UTILIDAD OBRA )</t>
  </si>
  <si>
    <t>SELECCIÓN ABREVIADA DE MENOR CUANTIA SA-MC-DT-CAL-009-2019</t>
  </si>
  <si>
    <t>Rollo</t>
  </si>
  <si>
    <t>SUMINISTRO E INSTALACIÓN DE SEÑAL VERTICAL SP-47</t>
  </si>
  <si>
    <t>CONSTRUCCION OBRAS DE SEÑALIZACION PARA LA SEGURIDAD VIAL EN VIAS A CARGO DEL INVIAS EN JURISDICCION DE LA DIRECCIÓN TERRITORIAL CALDAS. (VIAS CON DISPOSITIVOS CONTROL Y SEÑALIZACION- SISTEMA CONTENCION VEHICULARCOMPLEMENTARIAS-ZONAS ESCOLARES)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</si>
</sst>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&quot;$&quot;\ #,##0.0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0.0%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* #,##0.000_ ;_ * \-#,##0.000_ ;_ * &quot;-&quot;??_ ;_ @_ "/>
    <numFmt numFmtId="183" formatCode="_ [$$-240A]\ * #,##0.00_ ;_ [$$-240A]\ * \-#,##0.00_ ;_ [$$-240A]\ * &quot;-&quot;??_ ;_ @_ "/>
    <numFmt numFmtId="184" formatCode="_ * #,##0_ ;_ * \-#,##0_ ;_ * &quot;-&quot;??_ ;_ @_ "/>
    <numFmt numFmtId="185" formatCode="[$-F800]dddd\,\ mmmm\ dd\,\ yyyy"/>
    <numFmt numFmtId="186" formatCode="_-[$$-240A]\ * #,##0.00_ ;_-[$$-240A]\ * \-#,##0.00\ ;_-[$$-240A]\ * &quot;-&quot;??_ ;_-@_ "/>
    <numFmt numFmtId="187" formatCode="0.00000"/>
    <numFmt numFmtId="188" formatCode="0.000"/>
    <numFmt numFmtId="189" formatCode="_-[$$-240A]\ * #,##0.00_-;\-[$$-240A]\ * #,##0.00_-;_-[$$-240A]\ * &quot;-&quot;??_-;_-@_-"/>
    <numFmt numFmtId="190" formatCode="_(&quot;$&quot;\ * #,##0_);_(&quot;$&quot;\ * \(#,##0\);_(&quot;$&quot;\ * &quot;-&quot;??_);_(@_)"/>
    <numFmt numFmtId="191" formatCode="&quot;$&quot;\ #,##0_);\(&quot;$&quot;\ #,##0\)"/>
  </numFmts>
  <fonts count="7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7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Calibri"/>
      <family val="2"/>
    </font>
    <font>
      <sz val="10"/>
      <name val="Arial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rgb="FF00B050"/>
      <name val="Arial"/>
      <family val="2"/>
    </font>
    <font>
      <sz val="10"/>
      <color rgb="FF00B05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i/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rgb="FFFF000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9"/>
      <color rgb="FFFF0000"/>
      <name val="Arial Narrow"/>
      <family val="2"/>
    </font>
    <font>
      <u/>
      <sz val="10"/>
      <name val="Arial Narrow"/>
      <family val="2"/>
    </font>
    <font>
      <b/>
      <sz val="7"/>
      <name val="Arial Narrow"/>
      <family val="2"/>
    </font>
    <font>
      <b/>
      <vertAlign val="superscript"/>
      <sz val="8"/>
      <name val="Arial Narrow"/>
      <family val="2"/>
    </font>
    <font>
      <sz val="5"/>
      <name val="Arial Narrow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0"/>
      <color rgb="FFFF0000"/>
      <name val="Arial Narrow"/>
      <family val="2"/>
    </font>
    <font>
      <sz val="10"/>
      <color rgb="FFFF0000"/>
      <name val="Calibri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vertAlign val="superscript"/>
      <sz val="10"/>
      <name val="Arial Narrow"/>
      <family val="2"/>
    </font>
    <font>
      <sz val="10"/>
      <name val="Arial"/>
    </font>
    <font>
      <b/>
      <sz val="14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gradientFill degree="90">
        <stop position="0">
          <color theme="0"/>
        </stop>
        <stop position="1">
          <color theme="3" tint="0.80001220740379042"/>
        </stop>
      </gradient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42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17" borderId="2" applyNumberFormat="0" applyAlignment="0" applyProtection="0"/>
    <xf numFmtId="0" fontId="20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1" borderId="0" applyNumberFormat="0" applyBorder="0" applyAlignment="0" applyProtection="0"/>
    <xf numFmtId="0" fontId="22" fillId="7" borderId="1" applyNumberFormat="0" applyAlignment="0" applyProtection="0"/>
    <xf numFmtId="0" fontId="32" fillId="0" borderId="0">
      <alignment vertical="top"/>
    </xf>
    <xf numFmtId="181" fontId="12" fillId="0" borderId="0" applyFon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0" fontId="23" fillId="3" borderId="0" applyNumberFormat="0" applyBorder="0" applyAlignment="0" applyProtection="0"/>
    <xf numFmtId="171" fontId="9" fillId="0" borderId="0" applyFont="0" applyFill="0" applyBorder="0" applyAlignment="0" applyProtection="0"/>
    <xf numFmtId="2" fontId="13" fillId="0" borderId="4" applyFont="0" applyBorder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65" fontId="15" fillId="0" borderId="0" applyFont="0" applyFill="0" applyBorder="0" applyAlignment="0" applyProtection="0"/>
    <xf numFmtId="172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37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37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68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7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24" fillId="22" borderId="0" applyNumberFormat="0" applyBorder="0" applyAlignment="0" applyProtection="0"/>
    <xf numFmtId="0" fontId="24" fillId="22" borderId="0" applyNumberFormat="0" applyBorder="0" applyAlignment="0" applyProtection="0"/>
    <xf numFmtId="0" fontId="12" fillId="0" borderId="0"/>
    <xf numFmtId="0" fontId="12" fillId="0" borderId="0"/>
    <xf numFmtId="0" fontId="37" fillId="0" borderId="0"/>
    <xf numFmtId="0" fontId="12" fillId="0" borderId="0"/>
    <xf numFmtId="0" fontId="12" fillId="0" borderId="0"/>
    <xf numFmtId="0" fontId="3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5" fillId="0" borderId="0"/>
    <xf numFmtId="0" fontId="39" fillId="0" borderId="0"/>
    <xf numFmtId="0" fontId="39" fillId="0" borderId="0"/>
    <xf numFmtId="0" fontId="12" fillId="0" borderId="0"/>
    <xf numFmtId="0" fontId="12" fillId="0" borderId="0"/>
    <xf numFmtId="0" fontId="12" fillId="0" borderId="0"/>
    <xf numFmtId="0" fontId="38" fillId="0" borderId="0"/>
    <xf numFmtId="0" fontId="12" fillId="23" borderId="5" applyNumberFormat="0" applyFont="0" applyAlignment="0" applyProtection="0"/>
    <xf numFmtId="9" fontId="1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5" fillId="16" borderId="6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9" fillId="0" borderId="7" applyNumberFormat="0" applyFill="0" applyAlignment="0" applyProtection="0"/>
    <xf numFmtId="0" fontId="30" fillId="0" borderId="8" applyNumberFormat="0" applyFill="0" applyAlignment="0" applyProtection="0"/>
    <xf numFmtId="0" fontId="21" fillId="0" borderId="9" applyNumberFormat="0" applyFill="0" applyAlignment="0" applyProtection="0"/>
    <xf numFmtId="0" fontId="28" fillId="0" borderId="0" applyNumberFormat="0" applyFill="0" applyBorder="0" applyAlignment="0" applyProtection="0"/>
    <xf numFmtId="0" fontId="31" fillId="0" borderId="10" applyNumberFormat="0" applyFill="0" applyAlignment="0" applyProtection="0"/>
    <xf numFmtId="0" fontId="31" fillId="0" borderId="10" applyNumberFormat="0" applyFill="0" applyAlignment="0" applyProtection="0"/>
    <xf numFmtId="171" fontId="40" fillId="0" borderId="0" applyFont="0" applyFill="0" applyBorder="0" applyAlignment="0" applyProtection="0"/>
    <xf numFmtId="0" fontId="9" fillId="0" borderId="0"/>
    <xf numFmtId="9" fontId="40" fillId="0" borderId="0" applyFont="0" applyFill="0" applyBorder="0" applyAlignment="0" applyProtection="0"/>
    <xf numFmtId="0" fontId="9" fillId="0" borderId="0"/>
    <xf numFmtId="175" fontId="9" fillId="0" borderId="0" applyFont="0" applyFill="0" applyBorder="0" applyAlignment="0" applyProtection="0"/>
    <xf numFmtId="0" fontId="8" fillId="0" borderId="0"/>
    <xf numFmtId="0" fontId="9" fillId="0" borderId="0"/>
    <xf numFmtId="0" fontId="9" fillId="0" borderId="0"/>
    <xf numFmtId="0" fontId="7" fillId="0" borderId="0"/>
    <xf numFmtId="43" fontId="7" fillId="0" borderId="0" applyFont="0" applyFill="0" applyBorder="0" applyAlignment="0" applyProtection="0"/>
    <xf numFmtId="0" fontId="9" fillId="0" borderId="0"/>
    <xf numFmtId="0" fontId="61" fillId="26" borderId="85" applyNumberFormat="0" applyFont="0" applyAlignment="0" applyProtection="0"/>
    <xf numFmtId="0" fontId="5" fillId="0" borderId="0"/>
    <xf numFmtId="164" fontId="66" fillId="0" borderId="0" applyFont="0" applyFill="0" applyBorder="0" applyAlignment="0" applyProtection="0"/>
    <xf numFmtId="41" fontId="68" fillId="0" borderId="0" applyFont="0" applyFill="0" applyBorder="0" applyAlignment="0" applyProtection="0"/>
  </cellStyleXfs>
  <cellXfs count="673">
    <xf numFmtId="0" fontId="0" fillId="0" borderId="0" xfId="0"/>
    <xf numFmtId="171" fontId="9" fillId="0" borderId="0" xfId="35" applyFont="1" applyFill="1"/>
    <xf numFmtId="0" fontId="9" fillId="0" borderId="0" xfId="128" applyFont="1" applyFill="1"/>
    <xf numFmtId="0" fontId="9" fillId="0" borderId="64" xfId="128" applyFont="1" applyFill="1" applyBorder="1" applyAlignment="1">
      <alignment horizontal="center"/>
    </xf>
    <xf numFmtId="0" fontId="11" fillId="0" borderId="65" xfId="128" applyFont="1" applyFill="1" applyBorder="1" applyAlignment="1">
      <alignment horizontal="center"/>
    </xf>
    <xf numFmtId="0" fontId="35" fillId="0" borderId="65" xfId="128" applyFont="1" applyFill="1" applyBorder="1" applyAlignment="1">
      <alignment vertical="center"/>
    </xf>
    <xf numFmtId="0" fontId="35" fillId="0" borderId="71" xfId="128" applyFont="1" applyFill="1" applyBorder="1" applyAlignment="1">
      <alignment vertical="center"/>
    </xf>
    <xf numFmtId="0" fontId="9" fillId="0" borderId="11" xfId="128" applyFont="1" applyFill="1" applyBorder="1" applyAlignment="1">
      <alignment horizontal="center"/>
    </xf>
    <xf numFmtId="0" fontId="11" fillId="0" borderId="12" xfId="128" applyFont="1" applyFill="1" applyBorder="1" applyAlignment="1">
      <alignment horizontal="center"/>
    </xf>
    <xf numFmtId="0" fontId="35" fillId="0" borderId="12" xfId="128" applyFont="1" applyFill="1" applyBorder="1" applyAlignment="1">
      <alignment horizontal="right" vertical="center"/>
    </xf>
    <xf numFmtId="0" fontId="35" fillId="0" borderId="38" xfId="128" applyFont="1" applyFill="1" applyBorder="1" applyAlignment="1">
      <alignment horizontal="center" vertical="center"/>
    </xf>
    <xf numFmtId="0" fontId="35" fillId="0" borderId="46" xfId="128" applyFont="1" applyFill="1" applyBorder="1" applyAlignment="1">
      <alignment horizontal="center" vertical="center"/>
    </xf>
    <xf numFmtId="0" fontId="9" fillId="0" borderId="14" xfId="128" applyFont="1" applyFill="1" applyBorder="1" applyAlignment="1">
      <alignment horizontal="center"/>
    </xf>
    <xf numFmtId="0" fontId="11" fillId="0" borderId="0" xfId="128" applyFont="1" applyFill="1" applyBorder="1" applyAlignment="1">
      <alignment horizontal="center"/>
    </xf>
    <xf numFmtId="0" fontId="35" fillId="0" borderId="0" xfId="128" applyFont="1" applyFill="1" applyBorder="1" applyAlignment="1">
      <alignment horizontal="right" vertical="center"/>
    </xf>
    <xf numFmtId="1" fontId="44" fillId="0" borderId="21" xfId="128" applyNumberFormat="1" applyFont="1" applyFill="1" applyBorder="1" applyAlignment="1">
      <alignment horizontal="center" vertical="center"/>
    </xf>
    <xf numFmtId="1" fontId="44" fillId="0" borderId="39" xfId="128" applyNumberFormat="1" applyFont="1" applyFill="1" applyBorder="1" applyAlignment="1">
      <alignment horizontal="center" vertical="center"/>
    </xf>
    <xf numFmtId="0" fontId="35" fillId="0" borderId="14" xfId="128" applyFont="1" applyFill="1" applyBorder="1" applyAlignment="1">
      <alignment horizontal="left"/>
    </xf>
    <xf numFmtId="0" fontId="35" fillId="0" borderId="0" xfId="128" applyFont="1" applyFill="1" applyBorder="1" applyAlignment="1">
      <alignment horizontal="right"/>
    </xf>
    <xf numFmtId="0" fontId="35" fillId="0" borderId="15" xfId="128" applyFont="1" applyFill="1" applyBorder="1" applyAlignment="1">
      <alignment horizontal="center"/>
    </xf>
    <xf numFmtId="0" fontId="35" fillId="0" borderId="0" xfId="128" applyFont="1" applyFill="1" applyBorder="1" applyAlignment="1">
      <alignment horizontal="center"/>
    </xf>
    <xf numFmtId="0" fontId="35" fillId="0" borderId="32" xfId="128" applyFont="1" applyFill="1" applyBorder="1" applyAlignment="1">
      <alignment horizontal="left"/>
    </xf>
    <xf numFmtId="0" fontId="35" fillId="0" borderId="33" xfId="128" applyFont="1" applyFill="1" applyBorder="1" applyAlignment="1">
      <alignment horizontal="center"/>
    </xf>
    <xf numFmtId="0" fontId="35" fillId="0" borderId="62" xfId="128" applyFont="1" applyFill="1" applyBorder="1" applyAlignment="1">
      <alignment horizontal="center"/>
    </xf>
    <xf numFmtId="0" fontId="9" fillId="0" borderId="36" xfId="128" applyFont="1" applyFill="1" applyBorder="1"/>
    <xf numFmtId="0" fontId="9" fillId="0" borderId="40" xfId="128" applyFont="1" applyFill="1" applyBorder="1"/>
    <xf numFmtId="0" fontId="9" fillId="0" borderId="61" xfId="128" applyFont="1" applyFill="1" applyBorder="1"/>
    <xf numFmtId="0" fontId="9" fillId="0" borderId="11" xfId="128" applyFont="1" applyFill="1" applyBorder="1"/>
    <xf numFmtId="0" fontId="9" fillId="0" borderId="12" xfId="128" applyFont="1" applyFill="1" applyBorder="1"/>
    <xf numFmtId="0" fontId="9" fillId="0" borderId="0" xfId="128" applyFont="1" applyFill="1" applyBorder="1"/>
    <xf numFmtId="0" fontId="9" fillId="0" borderId="13" xfId="128" applyFont="1" applyFill="1" applyBorder="1"/>
    <xf numFmtId="0" fontId="11" fillId="0" borderId="14" xfId="128" applyFont="1" applyFill="1" applyBorder="1" applyAlignment="1" applyProtection="1">
      <alignment horizontal="left"/>
      <protection locked="0"/>
    </xf>
    <xf numFmtId="0" fontId="11" fillId="0" borderId="0" xfId="128" applyFont="1" applyFill="1" applyBorder="1" applyAlignment="1" applyProtection="1">
      <alignment horizontal="left"/>
      <protection locked="0"/>
    </xf>
    <xf numFmtId="0" fontId="45" fillId="0" borderId="33" xfId="128" applyFont="1" applyFill="1" applyBorder="1" applyAlignment="1" applyProtection="1">
      <alignment horizontal="left"/>
      <protection locked="0"/>
    </xf>
    <xf numFmtId="0" fontId="9" fillId="0" borderId="33" xfId="128" applyFont="1" applyFill="1" applyBorder="1"/>
    <xf numFmtId="0" fontId="14" fillId="0" borderId="0" xfId="128" applyFont="1" applyFill="1" applyBorder="1" applyAlignment="1" applyProtection="1">
      <alignment horizontal="center"/>
      <protection locked="0"/>
    </xf>
    <xf numFmtId="0" fontId="9" fillId="0" borderId="15" xfId="128" applyFont="1" applyFill="1" applyBorder="1"/>
    <xf numFmtId="0" fontId="11" fillId="0" borderId="14" xfId="128" applyFont="1" applyFill="1" applyBorder="1" applyProtection="1">
      <protection locked="0"/>
    </xf>
    <xf numFmtId="0" fontId="11" fillId="0" borderId="0" xfId="128" applyFont="1" applyFill="1" applyBorder="1"/>
    <xf numFmtId="0" fontId="9" fillId="0" borderId="15" xfId="128" applyFont="1" applyFill="1" applyBorder="1" applyAlignment="1" applyProtection="1">
      <alignment horizontal="center"/>
      <protection locked="0"/>
    </xf>
    <xf numFmtId="0" fontId="9" fillId="0" borderId="0" xfId="128" applyFont="1" applyFill="1" applyBorder="1" applyAlignment="1" applyProtection="1">
      <alignment horizontal="left"/>
      <protection locked="0"/>
    </xf>
    <xf numFmtId="0" fontId="9" fillId="0" borderId="0" xfId="128" applyFont="1" applyFill="1" applyBorder="1" applyAlignment="1" applyProtection="1">
      <alignment horizontal="center"/>
      <protection locked="0"/>
    </xf>
    <xf numFmtId="0" fontId="9" fillId="0" borderId="33" xfId="128" applyFont="1" applyFill="1" applyBorder="1" applyAlignment="1">
      <alignment horizontal="left"/>
    </xf>
    <xf numFmtId="0" fontId="9" fillId="0" borderId="33" xfId="128" applyFont="1" applyFill="1" applyBorder="1" applyAlignment="1">
      <alignment horizontal="center"/>
    </xf>
    <xf numFmtId="0" fontId="9" fillId="0" borderId="15" xfId="128" applyFont="1" applyFill="1" applyBorder="1" applyAlignment="1">
      <alignment horizontal="center"/>
    </xf>
    <xf numFmtId="0" fontId="9" fillId="0" borderId="0" xfId="128" applyFont="1" applyFill="1" applyBorder="1" applyAlignment="1">
      <alignment horizontal="left"/>
    </xf>
    <xf numFmtId="0" fontId="9" fillId="0" borderId="0" xfId="128" applyFont="1" applyFill="1" applyBorder="1" applyAlignment="1">
      <alignment horizontal="center"/>
    </xf>
    <xf numFmtId="0" fontId="9" fillId="0" borderId="16" xfId="128" applyFont="1" applyFill="1" applyBorder="1"/>
    <xf numFmtId="0" fontId="9" fillId="0" borderId="17" xfId="128" applyFont="1" applyFill="1" applyBorder="1" applyProtection="1">
      <protection locked="0"/>
    </xf>
    <xf numFmtId="0" fontId="9" fillId="0" borderId="18" xfId="128" applyFont="1" applyFill="1" applyBorder="1"/>
    <xf numFmtId="0" fontId="47" fillId="0" borderId="24" xfId="128" applyFont="1" applyFill="1" applyBorder="1" applyAlignment="1" applyProtection="1">
      <alignment horizontal="center" vertical="center" wrapText="1"/>
    </xf>
    <xf numFmtId="0" fontId="43" fillId="0" borderId="0" xfId="90" applyFont="1" applyFill="1" applyProtection="1"/>
    <xf numFmtId="0" fontId="43" fillId="0" borderId="0" xfId="90" applyFont="1" applyFill="1" applyAlignment="1" applyProtection="1">
      <alignment horizontal="center"/>
    </xf>
    <xf numFmtId="0" fontId="43" fillId="0" borderId="51" xfId="90" applyFont="1" applyFill="1" applyBorder="1" applyProtection="1"/>
    <xf numFmtId="0" fontId="43" fillId="0" borderId="52" xfId="90" applyFont="1" applyFill="1" applyBorder="1" applyProtection="1"/>
    <xf numFmtId="0" fontId="43" fillId="0" borderId="52" xfId="90" applyFont="1" applyFill="1" applyBorder="1" applyAlignment="1" applyProtection="1">
      <alignment horizontal="center"/>
    </xf>
    <xf numFmtId="0" fontId="43" fillId="0" borderId="53" xfId="90" applyFont="1" applyFill="1" applyBorder="1" applyProtection="1"/>
    <xf numFmtId="0" fontId="43" fillId="0" borderId="49" xfId="90" applyFont="1" applyFill="1" applyBorder="1" applyProtection="1"/>
    <xf numFmtId="0" fontId="43" fillId="0" borderId="50" xfId="90" applyFont="1" applyFill="1" applyBorder="1" applyProtection="1"/>
    <xf numFmtId="0" fontId="48" fillId="0" borderId="44" xfId="74" applyFont="1" applyFill="1" applyBorder="1" applyAlignment="1" applyProtection="1">
      <alignment horizontal="center" vertical="center"/>
    </xf>
    <xf numFmtId="0" fontId="48" fillId="0" borderId="21" xfId="74" applyFont="1" applyFill="1" applyBorder="1" applyAlignment="1" applyProtection="1">
      <alignment horizontal="center" vertical="center"/>
    </xf>
    <xf numFmtId="0" fontId="48" fillId="0" borderId="21" xfId="0" applyFont="1" applyFill="1" applyBorder="1" applyAlignment="1" applyProtection="1">
      <alignment horizontal="center" vertical="center"/>
    </xf>
    <xf numFmtId="0" fontId="48" fillId="0" borderId="21" xfId="74" applyFont="1" applyFill="1" applyBorder="1" applyAlignment="1" applyProtection="1">
      <alignment horizontal="left" vertical="center" wrapText="1"/>
    </xf>
    <xf numFmtId="4" fontId="48" fillId="0" borderId="21" xfId="40" applyNumberFormat="1" applyFont="1" applyFill="1" applyBorder="1" applyAlignment="1" applyProtection="1">
      <alignment vertical="center" wrapText="1"/>
    </xf>
    <xf numFmtId="0" fontId="48" fillId="0" borderId="21" xfId="0" applyFont="1" applyFill="1" applyBorder="1" applyAlignment="1" applyProtection="1">
      <alignment horizontal="left" vertical="center"/>
    </xf>
    <xf numFmtId="0" fontId="48" fillId="0" borderId="16" xfId="74" applyFont="1" applyFill="1" applyBorder="1" applyAlignment="1" applyProtection="1">
      <alignment horizontal="left" vertical="center"/>
    </xf>
    <xf numFmtId="0" fontId="48" fillId="0" borderId="17" xfId="74" applyFont="1" applyFill="1" applyBorder="1" applyAlignment="1" applyProtection="1">
      <alignment horizontal="center" vertical="center"/>
    </xf>
    <xf numFmtId="0" fontId="48" fillId="0" borderId="17" xfId="0" applyFont="1" applyFill="1" applyBorder="1" applyAlignment="1" applyProtection="1">
      <alignment horizontal="center" vertical="center"/>
    </xf>
    <xf numFmtId="0" fontId="48" fillId="0" borderId="17" xfId="74" applyFont="1" applyFill="1" applyBorder="1" applyAlignment="1" applyProtection="1">
      <alignment horizontal="left" vertical="center" wrapText="1"/>
    </xf>
    <xf numFmtId="0" fontId="48" fillId="0" borderId="17" xfId="74" applyFont="1" applyFill="1" applyBorder="1" applyAlignment="1" applyProtection="1">
      <alignment horizontal="center" vertical="center" wrapText="1"/>
    </xf>
    <xf numFmtId="0" fontId="50" fillId="0" borderId="0" xfId="91" applyFont="1" applyFill="1" applyProtection="1"/>
    <xf numFmtId="0" fontId="50" fillId="0" borderId="49" xfId="91" applyFont="1" applyFill="1" applyBorder="1" applyProtection="1"/>
    <xf numFmtId="0" fontId="50" fillId="0" borderId="50" xfId="91" applyFont="1" applyFill="1" applyBorder="1" applyProtection="1"/>
    <xf numFmtId="182" fontId="50" fillId="0" borderId="50" xfId="44" applyNumberFormat="1" applyFont="1" applyFill="1" applyBorder="1" applyProtection="1"/>
    <xf numFmtId="180" fontId="50" fillId="0" borderId="50" xfId="91" applyNumberFormat="1" applyFont="1" applyFill="1" applyBorder="1" applyProtection="1"/>
    <xf numFmtId="183" fontId="50" fillId="0" borderId="50" xfId="91" applyNumberFormat="1" applyFont="1" applyFill="1" applyBorder="1" applyProtection="1"/>
    <xf numFmtId="0" fontId="48" fillId="0" borderId="0" xfId="91" applyFont="1" applyFill="1" applyProtection="1"/>
    <xf numFmtId="0" fontId="48" fillId="0" borderId="49" xfId="91" applyFont="1" applyFill="1" applyBorder="1" applyProtection="1"/>
    <xf numFmtId="0" fontId="48" fillId="0" borderId="50" xfId="91" applyFont="1" applyFill="1" applyBorder="1" applyProtection="1"/>
    <xf numFmtId="0" fontId="48" fillId="0" borderId="0" xfId="130" applyFont="1" applyFill="1" applyBorder="1" applyProtection="1"/>
    <xf numFmtId="0" fontId="48" fillId="0" borderId="0" xfId="130" applyFont="1" applyFill="1" applyBorder="1" applyAlignment="1" applyProtection="1">
      <alignment horizontal="center"/>
    </xf>
    <xf numFmtId="0" fontId="48" fillId="0" borderId="27" xfId="130" applyFont="1" applyFill="1" applyBorder="1" applyAlignment="1" applyProtection="1">
      <alignment horizontal="left"/>
    </xf>
    <xf numFmtId="178" fontId="48" fillId="0" borderId="28" xfId="131" applyNumberFormat="1" applyFont="1" applyFill="1" applyBorder="1" applyAlignment="1" applyProtection="1">
      <alignment horizontal="center"/>
    </xf>
    <xf numFmtId="0" fontId="52" fillId="0" borderId="29" xfId="130" applyFont="1" applyFill="1" applyBorder="1" applyAlignment="1" applyProtection="1">
      <alignment horizontal="right"/>
    </xf>
    <xf numFmtId="0" fontId="47" fillId="0" borderId="27" xfId="130" applyFont="1" applyFill="1" applyBorder="1" applyAlignment="1" applyProtection="1">
      <alignment horizontal="left"/>
    </xf>
    <xf numFmtId="0" fontId="47" fillId="0" borderId="28" xfId="130" applyFont="1" applyFill="1" applyBorder="1" applyProtection="1"/>
    <xf numFmtId="0" fontId="47" fillId="0" borderId="29" xfId="130" applyFont="1" applyFill="1" applyBorder="1" applyAlignment="1" applyProtection="1">
      <alignment horizontal="right"/>
    </xf>
    <xf numFmtId="0" fontId="48" fillId="0" borderId="0" xfId="128" applyFont="1" applyFill="1" applyBorder="1" applyAlignment="1" applyProtection="1">
      <alignment horizontal="center" vertical="center"/>
    </xf>
    <xf numFmtId="9" fontId="48" fillId="0" borderId="28" xfId="131" applyNumberFormat="1" applyFont="1" applyFill="1" applyBorder="1" applyAlignment="1" applyProtection="1">
      <alignment horizontal="center"/>
    </xf>
    <xf numFmtId="179" fontId="48" fillId="0" borderId="28" xfId="131" applyNumberFormat="1" applyFont="1" applyFill="1" applyBorder="1" applyProtection="1"/>
    <xf numFmtId="0" fontId="48" fillId="0" borderId="29" xfId="130" applyFont="1" applyFill="1" applyBorder="1" applyProtection="1"/>
    <xf numFmtId="0" fontId="48" fillId="0" borderId="29" xfId="130" applyFont="1" applyFill="1" applyBorder="1" applyAlignment="1" applyProtection="1">
      <alignment horizontal="right"/>
    </xf>
    <xf numFmtId="0" fontId="47" fillId="0" borderId="64" xfId="130" applyFont="1" applyFill="1" applyBorder="1" applyAlignment="1" applyProtection="1">
      <alignment horizontal="left"/>
    </xf>
    <xf numFmtId="9" fontId="48" fillId="0" borderId="65" xfId="131" applyNumberFormat="1" applyFont="1" applyFill="1" applyBorder="1" applyAlignment="1" applyProtection="1">
      <alignment horizontal="center"/>
    </xf>
    <xf numFmtId="179" fontId="48" fillId="0" borderId="65" xfId="131" applyNumberFormat="1" applyFont="1" applyFill="1" applyBorder="1" applyProtection="1"/>
    <xf numFmtId="0" fontId="47" fillId="0" borderId="36" xfId="130" applyFont="1" applyFill="1" applyBorder="1" applyAlignment="1" applyProtection="1">
      <alignment horizontal="left"/>
    </xf>
    <xf numFmtId="9" fontId="48" fillId="0" borderId="40" xfId="131" applyNumberFormat="1" applyFont="1" applyFill="1" applyBorder="1" applyAlignment="1" applyProtection="1">
      <alignment horizontal="center"/>
    </xf>
    <xf numFmtId="179" fontId="47" fillId="0" borderId="40" xfId="131" applyNumberFormat="1" applyFont="1" applyFill="1" applyBorder="1" applyProtection="1"/>
    <xf numFmtId="0" fontId="48" fillId="0" borderId="37" xfId="130" applyFont="1" applyFill="1" applyBorder="1" applyProtection="1"/>
    <xf numFmtId="2" fontId="48" fillId="0" borderId="0" xfId="130" applyNumberFormat="1" applyFont="1" applyFill="1" applyBorder="1" applyProtection="1"/>
    <xf numFmtId="179" fontId="48" fillId="0" borderId="0" xfId="131" applyNumberFormat="1" applyFont="1" applyFill="1" applyBorder="1" applyProtection="1"/>
    <xf numFmtId="39" fontId="48" fillId="0" borderId="0" xfId="131" applyNumberFormat="1" applyFont="1" applyFill="1" applyBorder="1" applyAlignment="1" applyProtection="1">
      <alignment vertical="center"/>
    </xf>
    <xf numFmtId="0" fontId="42" fillId="0" borderId="45" xfId="80" applyFont="1" applyBorder="1" applyAlignment="1">
      <alignment vertical="center"/>
    </xf>
    <xf numFmtId="0" fontId="43" fillId="0" borderId="20" xfId="80" applyFont="1" applyBorder="1" applyAlignment="1">
      <alignment vertical="center"/>
    </xf>
    <xf numFmtId="0" fontId="43" fillId="0" borderId="72" xfId="80" applyFont="1" applyBorder="1" applyAlignment="1">
      <alignment vertical="center"/>
    </xf>
    <xf numFmtId="186" fontId="53" fillId="25" borderId="74" xfId="61" applyNumberFormat="1" applyFont="1" applyFill="1" applyBorder="1" applyAlignment="1">
      <alignment horizontal="center" vertical="center"/>
    </xf>
    <xf numFmtId="186" fontId="53" fillId="25" borderId="21" xfId="61" applyNumberFormat="1" applyFont="1" applyFill="1" applyBorder="1" applyAlignment="1">
      <alignment horizontal="center" vertical="center"/>
    </xf>
    <xf numFmtId="9" fontId="54" fillId="25" borderId="39" xfId="97" applyFont="1" applyFill="1" applyBorder="1" applyAlignment="1">
      <alignment horizontal="center" vertical="center"/>
    </xf>
    <xf numFmtId="0" fontId="50" fillId="0" borderId="47" xfId="91" applyFont="1" applyFill="1" applyBorder="1" applyProtection="1"/>
    <xf numFmtId="0" fontId="43" fillId="0" borderId="48" xfId="90" applyFont="1" applyFill="1" applyBorder="1" applyProtection="1"/>
    <xf numFmtId="0" fontId="43" fillId="0" borderId="48" xfId="90" applyFont="1" applyFill="1" applyBorder="1" applyAlignment="1" applyProtection="1">
      <alignment horizontal="center"/>
    </xf>
    <xf numFmtId="184" fontId="43" fillId="0" borderId="48" xfId="35" applyNumberFormat="1" applyFont="1" applyFill="1" applyBorder="1" applyProtection="1"/>
    <xf numFmtId="0" fontId="43" fillId="0" borderId="54" xfId="90" applyFont="1" applyFill="1" applyBorder="1" applyProtection="1"/>
    <xf numFmtId="0" fontId="48" fillId="0" borderId="0" xfId="0" applyFont="1" applyFill="1"/>
    <xf numFmtId="0" fontId="48" fillId="0" borderId="64" xfId="0" applyFont="1" applyFill="1" applyBorder="1" applyAlignment="1">
      <alignment horizontal="center"/>
    </xf>
    <xf numFmtId="0" fontId="47" fillId="0" borderId="65" xfId="0" applyFont="1" applyFill="1" applyBorder="1" applyAlignment="1">
      <alignment horizontal="center"/>
    </xf>
    <xf numFmtId="0" fontId="54" fillId="0" borderId="65" xfId="0" applyFont="1" applyFill="1" applyBorder="1" applyAlignment="1">
      <alignment vertical="center"/>
    </xf>
    <xf numFmtId="0" fontId="54" fillId="0" borderId="71" xfId="0" applyFont="1" applyFill="1" applyBorder="1" applyAlignment="1">
      <alignment vertical="center"/>
    </xf>
    <xf numFmtId="0" fontId="48" fillId="0" borderId="11" xfId="0" applyFont="1" applyFill="1" applyBorder="1" applyAlignment="1">
      <alignment horizontal="center"/>
    </xf>
    <xf numFmtId="0" fontId="47" fillId="0" borderId="12" xfId="0" applyFont="1" applyFill="1" applyBorder="1" applyAlignment="1">
      <alignment horizontal="center"/>
    </xf>
    <xf numFmtId="0" fontId="54" fillId="0" borderId="12" xfId="0" applyFont="1" applyFill="1" applyBorder="1" applyAlignment="1">
      <alignment horizontal="right" vertical="center"/>
    </xf>
    <xf numFmtId="0" fontId="54" fillId="0" borderId="38" xfId="0" applyFont="1" applyFill="1" applyBorder="1" applyAlignment="1">
      <alignment horizontal="center" vertical="center"/>
    </xf>
    <xf numFmtId="0" fontId="54" fillId="0" borderId="46" xfId="0" applyFont="1" applyFill="1" applyBorder="1" applyAlignment="1">
      <alignment horizontal="center" vertical="center"/>
    </xf>
    <xf numFmtId="0" fontId="48" fillId="0" borderId="14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right" vertical="center"/>
    </xf>
    <xf numFmtId="1" fontId="54" fillId="0" borderId="21" xfId="0" applyNumberFormat="1" applyFont="1" applyFill="1" applyBorder="1" applyAlignment="1">
      <alignment horizontal="center" vertical="center"/>
    </xf>
    <xf numFmtId="1" fontId="54" fillId="0" borderId="39" xfId="0" applyNumberFormat="1" applyFont="1" applyFill="1" applyBorder="1" applyAlignment="1">
      <alignment horizontal="center" vertical="center"/>
    </xf>
    <xf numFmtId="0" fontId="54" fillId="0" borderId="14" xfId="0" applyFont="1" applyFill="1" applyBorder="1" applyAlignment="1">
      <alignment horizontal="left"/>
    </xf>
    <xf numFmtId="0" fontId="54" fillId="0" borderId="0" xfId="0" applyFont="1" applyFill="1" applyBorder="1" applyAlignment="1">
      <alignment horizontal="right"/>
    </xf>
    <xf numFmtId="0" fontId="54" fillId="0" borderId="15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54" fillId="0" borderId="32" xfId="0" applyFont="1" applyFill="1" applyBorder="1" applyAlignment="1">
      <alignment horizontal="left"/>
    </xf>
    <xf numFmtId="0" fontId="54" fillId="0" borderId="33" xfId="0" applyFont="1" applyFill="1" applyBorder="1" applyAlignment="1">
      <alignment horizontal="center"/>
    </xf>
    <xf numFmtId="0" fontId="54" fillId="0" borderId="62" xfId="0" applyFont="1" applyFill="1" applyBorder="1" applyAlignment="1">
      <alignment horizontal="center"/>
    </xf>
    <xf numFmtId="0" fontId="48" fillId="0" borderId="36" xfId="0" applyFont="1" applyFill="1" applyBorder="1"/>
    <xf numFmtId="0" fontId="48" fillId="0" borderId="40" xfId="0" applyFont="1" applyFill="1" applyBorder="1"/>
    <xf numFmtId="0" fontId="48" fillId="0" borderId="61" xfId="0" applyFont="1" applyFill="1" applyBorder="1"/>
    <xf numFmtId="0" fontId="48" fillId="0" borderId="11" xfId="0" applyFont="1" applyFill="1" applyBorder="1"/>
    <xf numFmtId="0" fontId="48" fillId="0" borderId="12" xfId="0" applyFont="1" applyFill="1" applyBorder="1"/>
    <xf numFmtId="0" fontId="48" fillId="0" borderId="0" xfId="0" applyFont="1" applyFill="1" applyBorder="1"/>
    <xf numFmtId="0" fontId="48" fillId="0" borderId="13" xfId="0" applyFont="1" applyFill="1" applyBorder="1"/>
    <xf numFmtId="0" fontId="47" fillId="0" borderId="14" xfId="0" applyFont="1" applyFill="1" applyBorder="1" applyAlignment="1" applyProtection="1">
      <alignment horizontal="left"/>
      <protection locked="0"/>
    </xf>
    <xf numFmtId="0" fontId="47" fillId="0" borderId="0" xfId="0" applyFont="1" applyFill="1" applyBorder="1" applyAlignment="1" applyProtection="1">
      <alignment horizontal="left"/>
      <protection locked="0"/>
    </xf>
    <xf numFmtId="0" fontId="48" fillId="0" borderId="33" xfId="0" applyFont="1" applyFill="1" applyBorder="1" applyAlignment="1" applyProtection="1">
      <alignment horizontal="left"/>
      <protection locked="0"/>
    </xf>
    <xf numFmtId="0" fontId="48" fillId="0" borderId="33" xfId="0" applyFont="1" applyFill="1" applyBorder="1"/>
    <xf numFmtId="0" fontId="51" fillId="0" borderId="0" xfId="0" applyFont="1" applyFill="1" applyBorder="1" applyAlignment="1" applyProtection="1">
      <alignment horizontal="center"/>
      <protection locked="0"/>
    </xf>
    <xf numFmtId="0" fontId="48" fillId="0" borderId="15" xfId="0" applyFont="1" applyFill="1" applyBorder="1"/>
    <xf numFmtId="0" fontId="47" fillId="0" borderId="14" xfId="0" applyFont="1" applyFill="1" applyBorder="1" applyProtection="1">
      <protection locked="0"/>
    </xf>
    <xf numFmtId="0" fontId="47" fillId="0" borderId="0" xfId="0" applyFont="1" applyFill="1" applyBorder="1"/>
    <xf numFmtId="0" fontId="48" fillId="0" borderId="15" xfId="0" applyFont="1" applyFill="1" applyBorder="1" applyAlignment="1" applyProtection="1">
      <alignment horizontal="center"/>
      <protection locked="0"/>
    </xf>
    <xf numFmtId="0" fontId="48" fillId="0" borderId="0" xfId="0" applyFont="1" applyFill="1" applyBorder="1" applyAlignment="1" applyProtection="1">
      <alignment horizontal="left"/>
      <protection locked="0"/>
    </xf>
    <xf numFmtId="0" fontId="48" fillId="0" borderId="0" xfId="0" applyFont="1" applyFill="1" applyBorder="1" applyAlignment="1" applyProtection="1">
      <alignment horizontal="center"/>
      <protection locked="0"/>
    </xf>
    <xf numFmtId="0" fontId="48" fillId="0" borderId="15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/>
    </xf>
    <xf numFmtId="0" fontId="48" fillId="0" borderId="0" xfId="0" applyFont="1" applyFill="1" applyBorder="1" applyAlignment="1">
      <alignment horizontal="center"/>
    </xf>
    <xf numFmtId="0" fontId="48" fillId="0" borderId="16" xfId="0" applyFont="1" applyFill="1" applyBorder="1"/>
    <xf numFmtId="0" fontId="48" fillId="0" borderId="17" xfId="0" applyFont="1" applyFill="1" applyBorder="1" applyProtection="1">
      <protection locked="0"/>
    </xf>
    <xf numFmtId="0" fontId="48" fillId="0" borderId="18" xfId="0" applyFont="1" applyFill="1" applyBorder="1"/>
    <xf numFmtId="0" fontId="48" fillId="0" borderId="14" xfId="0" applyFont="1" applyFill="1" applyBorder="1"/>
    <xf numFmtId="0" fontId="48" fillId="0" borderId="65" xfId="0" applyFont="1" applyFill="1" applyBorder="1"/>
    <xf numFmtId="0" fontId="48" fillId="0" borderId="17" xfId="0" applyFont="1" applyFill="1" applyBorder="1"/>
    <xf numFmtId="171" fontId="48" fillId="0" borderId="21" xfId="35" applyFont="1" applyFill="1" applyBorder="1"/>
    <xf numFmtId="171" fontId="48" fillId="0" borderId="39" xfId="35" applyNumberFormat="1" applyFont="1" applyFill="1" applyBorder="1"/>
    <xf numFmtId="171" fontId="48" fillId="0" borderId="26" xfId="0" applyNumberFormat="1" applyFont="1" applyFill="1" applyBorder="1"/>
    <xf numFmtId="0" fontId="51" fillId="0" borderId="27" xfId="0" applyFont="1" applyFill="1" applyBorder="1"/>
    <xf numFmtId="0" fontId="48" fillId="0" borderId="28" xfId="0" applyFont="1" applyFill="1" applyBorder="1"/>
    <xf numFmtId="0" fontId="48" fillId="0" borderId="60" xfId="0" applyFont="1" applyFill="1" applyBorder="1"/>
    <xf numFmtId="0" fontId="48" fillId="0" borderId="28" xfId="0" applyFont="1" applyFill="1" applyBorder="1" applyAlignment="1">
      <alignment horizontal="center"/>
    </xf>
    <xf numFmtId="2" fontId="48" fillId="0" borderId="21" xfId="0" applyNumberFormat="1" applyFont="1" applyFill="1" applyBorder="1"/>
    <xf numFmtId="0" fontId="48" fillId="0" borderId="24" xfId="0" applyFont="1" applyFill="1" applyBorder="1"/>
    <xf numFmtId="171" fontId="48" fillId="0" borderId="26" xfId="35" applyNumberFormat="1" applyFont="1" applyFill="1" applyBorder="1"/>
    <xf numFmtId="0" fontId="48" fillId="0" borderId="21" xfId="0" applyFont="1" applyFill="1" applyBorder="1"/>
    <xf numFmtId="0" fontId="48" fillId="0" borderId="73" xfId="0" applyFont="1" applyFill="1" applyBorder="1"/>
    <xf numFmtId="0" fontId="48" fillId="0" borderId="55" xfId="0" applyFont="1" applyFill="1" applyBorder="1"/>
    <xf numFmtId="0" fontId="48" fillId="0" borderId="28" xfId="0" applyFont="1" applyFill="1" applyBorder="1" applyAlignment="1">
      <alignment horizontal="left"/>
    </xf>
    <xf numFmtId="171" fontId="48" fillId="0" borderId="21" xfId="35" applyNumberFormat="1" applyFont="1" applyFill="1" applyBorder="1" applyAlignment="1">
      <alignment horizontal="center"/>
    </xf>
    <xf numFmtId="0" fontId="48" fillId="0" borderId="28" xfId="97" applyNumberFormat="1" applyFont="1" applyFill="1" applyBorder="1" applyAlignment="1">
      <alignment horizontal="center"/>
    </xf>
    <xf numFmtId="167" fontId="48" fillId="0" borderId="34" xfId="0" applyNumberFormat="1" applyFont="1" applyFill="1" applyBorder="1" applyAlignment="1">
      <alignment horizontal="center" wrapText="1"/>
    </xf>
    <xf numFmtId="171" fontId="48" fillId="0" borderId="74" xfId="35" applyFont="1" applyFill="1" applyBorder="1" applyAlignment="1">
      <alignment horizontal="center" wrapText="1"/>
    </xf>
    <xf numFmtId="171" fontId="48" fillId="0" borderId="55" xfId="35" applyFont="1" applyFill="1" applyBorder="1"/>
    <xf numFmtId="171" fontId="48" fillId="0" borderId="26" xfId="35" applyFont="1" applyFill="1" applyBorder="1"/>
    <xf numFmtId="165" fontId="48" fillId="0" borderId="28" xfId="35" applyNumberFormat="1" applyFont="1" applyFill="1" applyBorder="1"/>
    <xf numFmtId="9" fontId="48" fillId="0" borderId="29" xfId="97" applyFont="1" applyFill="1" applyBorder="1"/>
    <xf numFmtId="165" fontId="48" fillId="0" borderId="39" xfId="35" applyNumberFormat="1" applyFont="1" applyFill="1" applyBorder="1"/>
    <xf numFmtId="0" fontId="48" fillId="0" borderId="64" xfId="0" applyFont="1" applyFill="1" applyBorder="1" applyAlignment="1"/>
    <xf numFmtId="0" fontId="48" fillId="0" borderId="65" xfId="0" applyFont="1" applyFill="1" applyBorder="1" applyAlignment="1"/>
    <xf numFmtId="0" fontId="48" fillId="0" borderId="36" xfId="0" applyFont="1" applyFill="1" applyBorder="1" applyAlignment="1"/>
    <xf numFmtId="0" fontId="48" fillId="0" borderId="40" xfId="0" applyFont="1" applyFill="1" applyBorder="1" applyAlignment="1"/>
    <xf numFmtId="165" fontId="48" fillId="0" borderId="40" xfId="35" applyNumberFormat="1" applyFont="1" applyFill="1" applyBorder="1"/>
    <xf numFmtId="9" fontId="48" fillId="0" borderId="37" xfId="97" applyFont="1" applyFill="1" applyBorder="1"/>
    <xf numFmtId="165" fontId="48" fillId="0" borderId="26" xfId="0" applyNumberFormat="1" applyFont="1" applyFill="1" applyBorder="1"/>
    <xf numFmtId="0" fontId="50" fillId="0" borderId="14" xfId="0" applyFont="1" applyFill="1" applyBorder="1"/>
    <xf numFmtId="0" fontId="50" fillId="0" borderId="0" xfId="0" applyFont="1" applyFill="1" applyBorder="1"/>
    <xf numFmtId="0" fontId="50" fillId="0" borderId="15" xfId="0" applyFont="1" applyFill="1" applyBorder="1"/>
    <xf numFmtId="0" fontId="48" fillId="0" borderId="28" xfId="0" applyFont="1" applyFill="1" applyBorder="1" applyAlignment="1">
      <alignment horizontal="center"/>
    </xf>
    <xf numFmtId="0" fontId="48" fillId="0" borderId="14" xfId="0" applyFont="1" applyFill="1" applyBorder="1" applyAlignment="1">
      <alignment horizontal="left"/>
    </xf>
    <xf numFmtId="0" fontId="59" fillId="0" borderId="0" xfId="0" applyFont="1" applyFill="1" applyBorder="1" applyAlignment="1">
      <alignment horizontal="left"/>
    </xf>
    <xf numFmtId="3" fontId="48" fillId="0" borderId="21" xfId="0" applyNumberFormat="1" applyFont="1" applyFill="1" applyBorder="1" applyAlignment="1">
      <alignment horizontal="center"/>
    </xf>
    <xf numFmtId="0" fontId="50" fillId="0" borderId="14" xfId="0" applyFont="1" applyFill="1" applyBorder="1" applyAlignment="1">
      <alignment horizontal="left"/>
    </xf>
    <xf numFmtId="172" fontId="48" fillId="0" borderId="21" xfId="0" applyNumberFormat="1" applyFont="1" applyFill="1" applyBorder="1"/>
    <xf numFmtId="164" fontId="48" fillId="0" borderId="21" xfId="0" applyNumberFormat="1" applyFont="1" applyFill="1" applyBorder="1"/>
    <xf numFmtId="0" fontId="48" fillId="0" borderId="75" xfId="0" applyFont="1" applyFill="1" applyBorder="1" applyAlignment="1"/>
    <xf numFmtId="0" fontId="48" fillId="0" borderId="30" xfId="0" applyFont="1" applyFill="1" applyBorder="1" applyAlignment="1"/>
    <xf numFmtId="164" fontId="48" fillId="0" borderId="26" xfId="0" applyNumberFormat="1" applyFont="1" applyFill="1" applyBorder="1"/>
    <xf numFmtId="2" fontId="48" fillId="0" borderId="21" xfId="0" applyNumberFormat="1" applyFont="1" applyFill="1" applyBorder="1" applyAlignment="1">
      <alignment horizontal="center"/>
    </xf>
    <xf numFmtId="0" fontId="48" fillId="0" borderId="23" xfId="0" applyFont="1" applyFill="1" applyBorder="1" applyAlignment="1">
      <alignment horizontal="center"/>
    </xf>
    <xf numFmtId="0" fontId="48" fillId="0" borderId="65" xfId="0" applyFont="1" applyFill="1" applyBorder="1" applyAlignment="1">
      <alignment horizontal="left"/>
    </xf>
    <xf numFmtId="0" fontId="48" fillId="0" borderId="21" xfId="0" applyFont="1" applyFill="1" applyBorder="1" applyAlignment="1">
      <alignment horizontal="center"/>
    </xf>
    <xf numFmtId="2" fontId="48" fillId="0" borderId="28" xfId="0" applyNumberFormat="1" applyFont="1" applyFill="1" applyBorder="1" applyAlignment="1">
      <alignment horizontal="center"/>
    </xf>
    <xf numFmtId="171" fontId="48" fillId="0" borderId="55" xfId="35" applyNumberFormat="1" applyFont="1" applyFill="1" applyBorder="1"/>
    <xf numFmtId="0" fontId="50" fillId="0" borderId="0" xfId="74" applyFont="1" applyFill="1" applyProtection="1">
      <protection hidden="1"/>
    </xf>
    <xf numFmtId="0" fontId="48" fillId="0" borderId="0" xfId="74" applyFont="1" applyFill="1" applyProtection="1">
      <protection hidden="1"/>
    </xf>
    <xf numFmtId="0" fontId="48" fillId="0" borderId="0" xfId="0" applyFont="1" applyFill="1" applyAlignment="1">
      <alignment horizontal="center"/>
    </xf>
    <xf numFmtId="0" fontId="47" fillId="0" borderId="57" xfId="0" applyFont="1" applyFill="1" applyBorder="1" applyAlignment="1">
      <alignment horizontal="center"/>
    </xf>
    <xf numFmtId="0" fontId="47" fillId="0" borderId="26" xfId="0" applyFont="1" applyFill="1" applyBorder="1" applyAlignment="1">
      <alignment horizontal="center"/>
    </xf>
    <xf numFmtId="0" fontId="48" fillId="0" borderId="32" xfId="0" applyFont="1" applyFill="1" applyBorder="1" applyAlignment="1">
      <alignment horizontal="left" vertical="center"/>
    </xf>
    <xf numFmtId="0" fontId="48" fillId="0" borderId="32" xfId="0" applyFont="1" applyFill="1" applyBorder="1" applyAlignment="1">
      <alignment horizontal="center" vertical="center"/>
    </xf>
    <xf numFmtId="171" fontId="48" fillId="0" borderId="58" xfId="35" applyFont="1" applyFill="1" applyBorder="1" applyAlignment="1">
      <alignment horizontal="right" vertical="center"/>
    </xf>
    <xf numFmtId="0" fontId="48" fillId="0" borderId="27" xfId="0" applyFont="1" applyFill="1" applyBorder="1" applyAlignment="1">
      <alignment horizontal="center" vertical="center"/>
    </xf>
    <xf numFmtId="171" fontId="48" fillId="0" borderId="43" xfId="35" applyFont="1" applyFill="1" applyBorder="1" applyAlignment="1">
      <alignment horizontal="right" vertical="center"/>
    </xf>
    <xf numFmtId="171" fontId="48" fillId="0" borderId="84" xfId="35" applyFont="1" applyFill="1" applyBorder="1" applyAlignment="1">
      <alignment horizontal="right" vertical="center"/>
    </xf>
    <xf numFmtId="0" fontId="50" fillId="0" borderId="0" xfId="0" applyFont="1" applyFill="1"/>
    <xf numFmtId="0" fontId="50" fillId="0" borderId="0" xfId="0" applyFont="1" applyFill="1" applyAlignment="1">
      <alignment horizontal="center"/>
    </xf>
    <xf numFmtId="0" fontId="60" fillId="0" borderId="0" xfId="0" applyFont="1" applyFill="1" applyAlignment="1">
      <alignment horizontal="center"/>
    </xf>
    <xf numFmtId="0" fontId="48" fillId="0" borderId="0" xfId="0" applyFont="1" applyFill="1" applyBorder="1" applyAlignment="1"/>
    <xf numFmtId="0" fontId="48" fillId="0" borderId="58" xfId="0" applyFont="1" applyFill="1" applyBorder="1" applyAlignment="1">
      <alignment horizontal="left" vertical="center"/>
    </xf>
    <xf numFmtId="0" fontId="60" fillId="0" borderId="58" xfId="0" applyFont="1" applyFill="1" applyBorder="1" applyAlignment="1">
      <alignment horizontal="center" vertical="center"/>
    </xf>
    <xf numFmtId="174" fontId="48" fillId="0" borderId="58" xfId="0" applyNumberFormat="1" applyFont="1" applyFill="1" applyBorder="1" applyAlignment="1">
      <alignment horizontal="right" vertical="center"/>
    </xf>
    <xf numFmtId="0" fontId="48" fillId="0" borderId="43" xfId="0" applyFont="1" applyFill="1" applyBorder="1" applyAlignment="1">
      <alignment horizontal="left" vertical="center"/>
    </xf>
    <xf numFmtId="0" fontId="60" fillId="0" borderId="43" xfId="0" applyFont="1" applyFill="1" applyBorder="1" applyAlignment="1">
      <alignment horizontal="center" vertical="center"/>
    </xf>
    <xf numFmtId="174" fontId="48" fillId="0" borderId="43" xfId="0" applyNumberFormat="1" applyFont="1" applyFill="1" applyBorder="1" applyAlignment="1">
      <alignment horizontal="right" vertical="center"/>
    </xf>
    <xf numFmtId="0" fontId="60" fillId="0" borderId="43" xfId="74" applyFont="1" applyFill="1" applyBorder="1" applyAlignment="1">
      <alignment horizontal="center" vertical="center"/>
    </xf>
    <xf numFmtId="0" fontId="48" fillId="0" borderId="43" xfId="74" applyFont="1" applyFill="1" applyBorder="1" applyAlignment="1">
      <alignment horizontal="left" vertical="center" wrapText="1"/>
    </xf>
    <xf numFmtId="0" fontId="48" fillId="0" borderId="43" xfId="74" applyFont="1" applyFill="1" applyBorder="1" applyAlignment="1">
      <alignment horizontal="left" vertical="center"/>
    </xf>
    <xf numFmtId="0" fontId="51" fillId="24" borderId="66" xfId="0" applyFont="1" applyFill="1" applyBorder="1" applyAlignment="1">
      <alignment horizontal="center"/>
    </xf>
    <xf numFmtId="0" fontId="48" fillId="24" borderId="59" xfId="0" applyFont="1" applyFill="1" applyBorder="1" applyAlignment="1">
      <alignment horizontal="center"/>
    </xf>
    <xf numFmtId="0" fontId="51" fillId="24" borderId="38" xfId="0" applyFont="1" applyFill="1" applyBorder="1" applyAlignment="1">
      <alignment horizontal="center"/>
    </xf>
    <xf numFmtId="0" fontId="51" fillId="24" borderId="46" xfId="0" applyFont="1" applyFill="1" applyBorder="1" applyAlignment="1">
      <alignment horizontal="center"/>
    </xf>
    <xf numFmtId="0" fontId="51" fillId="24" borderId="72" xfId="0" applyFont="1" applyFill="1" applyBorder="1" applyAlignment="1">
      <alignment horizontal="center"/>
    </xf>
    <xf numFmtId="0" fontId="51" fillId="24" borderId="19" xfId="0" applyFont="1" applyFill="1" applyBorder="1" applyAlignment="1">
      <alignment horizontal="center"/>
    </xf>
    <xf numFmtId="0" fontId="51" fillId="24" borderId="38" xfId="0" applyFont="1" applyFill="1" applyBorder="1" applyAlignment="1"/>
    <xf numFmtId="0" fontId="51" fillId="24" borderId="19" xfId="0" applyFont="1" applyFill="1" applyBorder="1" applyAlignment="1">
      <alignment horizontal="center" wrapText="1"/>
    </xf>
    <xf numFmtId="0" fontId="51" fillId="24" borderId="38" xfId="0" applyFont="1" applyFill="1" applyBorder="1" applyAlignment="1">
      <alignment horizontal="center" wrapText="1"/>
    </xf>
    <xf numFmtId="0" fontId="51" fillId="24" borderId="46" xfId="0" applyFont="1" applyFill="1" applyBorder="1" applyAlignment="1">
      <alignment horizontal="center" wrapText="1"/>
    </xf>
    <xf numFmtId="167" fontId="48" fillId="24" borderId="26" xfId="0" applyNumberFormat="1" applyFont="1" applyFill="1" applyBorder="1"/>
    <xf numFmtId="0" fontId="51" fillId="24" borderId="20" xfId="0" applyFont="1" applyFill="1" applyBorder="1" applyAlignment="1">
      <alignment horizontal="center" wrapText="1"/>
    </xf>
    <xf numFmtId="165" fontId="48" fillId="24" borderId="26" xfId="0" applyNumberFormat="1" applyFont="1" applyFill="1" applyBorder="1"/>
    <xf numFmtId="0" fontId="51" fillId="24" borderId="66" xfId="0" applyFont="1" applyFill="1" applyBorder="1" applyAlignment="1">
      <alignment horizontal="center" vertical="center"/>
    </xf>
    <xf numFmtId="0" fontId="48" fillId="24" borderId="59" xfId="0" applyFont="1" applyFill="1" applyBorder="1" applyAlignment="1">
      <alignment horizontal="center" vertical="center"/>
    </xf>
    <xf numFmtId="4" fontId="48" fillId="24" borderId="59" xfId="0" applyNumberFormat="1" applyFont="1" applyFill="1" applyBorder="1" applyAlignment="1">
      <alignment horizontal="center" vertical="center"/>
    </xf>
    <xf numFmtId="9" fontId="48" fillId="0" borderId="21" xfId="97" applyNumberFormat="1" applyFont="1" applyFill="1" applyBorder="1" applyAlignment="1">
      <alignment horizontal="center"/>
    </xf>
    <xf numFmtId="2" fontId="48" fillId="0" borderId="30" xfId="0" applyNumberFormat="1" applyFont="1" applyFill="1" applyBorder="1" applyAlignment="1">
      <alignment horizontal="center"/>
    </xf>
    <xf numFmtId="2" fontId="48" fillId="0" borderId="75" xfId="0" applyNumberFormat="1" applyFont="1" applyFill="1" applyBorder="1" applyAlignment="1">
      <alignment horizontal="center"/>
    </xf>
    <xf numFmtId="0" fontId="9" fillId="0" borderId="21" xfId="0" applyFont="1" applyFill="1" applyBorder="1" applyAlignment="1" applyProtection="1">
      <alignment horizontal="center" vertical="center"/>
    </xf>
    <xf numFmtId="0" fontId="48" fillId="0" borderId="16" xfId="74" applyFont="1" applyFill="1" applyBorder="1" applyAlignment="1" applyProtection="1">
      <alignment horizontal="center"/>
    </xf>
    <xf numFmtId="0" fontId="49" fillId="0" borderId="17" xfId="74" applyFont="1" applyFill="1" applyBorder="1" applyAlignment="1" applyProtection="1">
      <alignment vertical="center" wrapText="1"/>
    </xf>
    <xf numFmtId="0" fontId="48" fillId="0" borderId="18" xfId="74" applyFont="1" applyFill="1" applyBorder="1" applyProtection="1"/>
    <xf numFmtId="4" fontId="48" fillId="24" borderId="59" xfId="0" applyNumberFormat="1" applyFont="1" applyFill="1" applyBorder="1" applyAlignment="1">
      <alignment vertical="center"/>
    </xf>
    <xf numFmtId="4" fontId="48" fillId="24" borderId="59" xfId="0" applyNumberFormat="1" applyFont="1" applyFill="1" applyBorder="1" applyAlignment="1"/>
    <xf numFmtId="4" fontId="48" fillId="24" borderId="59" xfId="0" applyNumberFormat="1" applyFont="1" applyFill="1" applyBorder="1" applyAlignment="1">
      <alignment horizontal="center"/>
    </xf>
    <xf numFmtId="0" fontId="47" fillId="24" borderId="57" xfId="74" applyFont="1" applyFill="1" applyBorder="1" applyAlignment="1" applyProtection="1">
      <alignment vertical="center"/>
    </xf>
    <xf numFmtId="0" fontId="47" fillId="24" borderId="67" xfId="74" applyFont="1" applyFill="1" applyBorder="1" applyAlignment="1" applyProtection="1">
      <alignment vertical="center"/>
    </xf>
    <xf numFmtId="0" fontId="47" fillId="24" borderId="68" xfId="74" applyFont="1" applyFill="1" applyBorder="1" applyAlignment="1" applyProtection="1">
      <alignment vertical="center"/>
    </xf>
    <xf numFmtId="49" fontId="47" fillId="0" borderId="0" xfId="133" applyNumberFormat="1" applyFont="1" applyFill="1" applyBorder="1" applyAlignment="1">
      <alignment horizontal="right" vertical="center"/>
    </xf>
    <xf numFmtId="186" fontId="47" fillId="0" borderId="0" xfId="133" applyNumberFormat="1" applyFont="1" applyFill="1" applyBorder="1" applyAlignment="1">
      <alignment vertical="center"/>
    </xf>
    <xf numFmtId="0" fontId="48" fillId="0" borderId="45" xfId="130" applyFont="1" applyFill="1" applyBorder="1" applyAlignment="1" applyProtection="1">
      <alignment horizontal="left"/>
    </xf>
    <xf numFmtId="178" fontId="48" fillId="0" borderId="19" xfId="131" applyNumberFormat="1" applyFont="1" applyFill="1" applyBorder="1" applyAlignment="1" applyProtection="1">
      <alignment horizontal="center"/>
    </xf>
    <xf numFmtId="0" fontId="47" fillId="0" borderId="20" xfId="130" applyFont="1" applyFill="1" applyBorder="1" applyProtection="1"/>
    <xf numFmtId="0" fontId="52" fillId="0" borderId="20" xfId="130" applyFont="1" applyFill="1" applyBorder="1" applyAlignment="1" applyProtection="1">
      <alignment horizontal="right"/>
    </xf>
    <xf numFmtId="179" fontId="48" fillId="0" borderId="46" xfId="131" applyNumberFormat="1" applyFont="1" applyFill="1" applyBorder="1" applyProtection="1"/>
    <xf numFmtId="2" fontId="48" fillId="0" borderId="23" xfId="0" applyNumberFormat="1" applyFont="1" applyFill="1" applyBorder="1"/>
    <xf numFmtId="43" fontId="9" fillId="0" borderId="0" xfId="128" applyNumberFormat="1" applyFont="1" applyFill="1"/>
    <xf numFmtId="0" fontId="62" fillId="26" borderId="85" xfId="138" applyFont="1" applyAlignment="1" applyProtection="1">
      <alignment horizontal="center" wrapText="1"/>
    </xf>
    <xf numFmtId="0" fontId="6" fillId="27" borderId="21" xfId="138" quotePrefix="1" applyFont="1" applyFill="1" applyBorder="1" applyProtection="1"/>
    <xf numFmtId="179" fontId="64" fillId="0" borderId="0" xfId="131" applyNumberFormat="1" applyFont="1" applyFill="1" applyBorder="1"/>
    <xf numFmtId="174" fontId="48" fillId="0" borderId="0" xfId="0" applyNumberFormat="1" applyFont="1" applyFill="1" applyBorder="1" applyAlignment="1">
      <alignment horizontal="right" vertical="center"/>
    </xf>
    <xf numFmtId="0" fontId="48" fillId="0" borderId="0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center" vertical="center"/>
    </xf>
    <xf numFmtId="171" fontId="48" fillId="0" borderId="0" xfId="35" applyFont="1" applyFill="1" applyBorder="1" applyAlignment="1">
      <alignment horizontal="right" vertical="center"/>
    </xf>
    <xf numFmtId="0" fontId="60" fillId="0" borderId="0" xfId="0" applyFont="1" applyFill="1" applyBorder="1" applyAlignment="1">
      <alignment horizontal="center" vertical="center"/>
    </xf>
    <xf numFmtId="0" fontId="50" fillId="0" borderId="0" xfId="0" applyFont="1" applyFill="1"/>
    <xf numFmtId="0" fontId="48" fillId="0" borderId="36" xfId="0" applyFont="1" applyFill="1" applyBorder="1" applyAlignment="1"/>
    <xf numFmtId="0" fontId="48" fillId="0" borderId="40" xfId="0" applyFont="1" applyFill="1" applyBorder="1" applyAlignment="1"/>
    <xf numFmtId="0" fontId="48" fillId="0" borderId="28" xfId="0" applyFont="1" applyFill="1" applyBorder="1" applyAlignment="1">
      <alignment horizontal="center"/>
    </xf>
    <xf numFmtId="0" fontId="48" fillId="0" borderId="27" xfId="0" applyFont="1" applyFill="1" applyBorder="1" applyAlignment="1">
      <alignment horizontal="left"/>
    </xf>
    <xf numFmtId="0" fontId="48" fillId="0" borderId="28" xfId="0" applyFont="1" applyFill="1" applyBorder="1" applyAlignment="1">
      <alignment horizontal="left"/>
    </xf>
    <xf numFmtId="0" fontId="48" fillId="0" borderId="65" xfId="0" applyFont="1" applyFill="1" applyBorder="1" applyAlignment="1">
      <alignment horizontal="center"/>
    </xf>
    <xf numFmtId="0" fontId="48" fillId="0" borderId="28" xfId="0" applyFont="1" applyFill="1" applyBorder="1" applyAlignment="1">
      <alignment horizontal="center"/>
    </xf>
    <xf numFmtId="0" fontId="51" fillId="24" borderId="19" xfId="0" applyFont="1" applyFill="1" applyBorder="1" applyAlignment="1">
      <alignment horizontal="center" vertical="center" wrapText="1"/>
    </xf>
    <xf numFmtId="0" fontId="48" fillId="0" borderId="43" xfId="74" applyFont="1" applyFill="1" applyBorder="1" applyAlignment="1">
      <alignment horizontal="center" vertical="center" wrapText="1"/>
    </xf>
    <xf numFmtId="0" fontId="48" fillId="0" borderId="60" xfId="0" applyFont="1" applyFill="1" applyBorder="1" applyAlignment="1">
      <alignment horizontal="left" vertical="center"/>
    </xf>
    <xf numFmtId="0" fontId="48" fillId="0" borderId="60" xfId="0" applyFont="1" applyFill="1" applyBorder="1" applyAlignment="1">
      <alignment horizontal="left" vertical="center" wrapText="1"/>
    </xf>
    <xf numFmtId="0" fontId="63" fillId="0" borderId="60" xfId="0" applyFont="1" applyFill="1" applyBorder="1" applyAlignment="1">
      <alignment horizontal="left" vertical="center"/>
    </xf>
    <xf numFmtId="0" fontId="6" fillId="27" borderId="39" xfId="138" quotePrefix="1" applyFont="1" applyFill="1" applyBorder="1" applyProtection="1"/>
    <xf numFmtId="0" fontId="6" fillId="27" borderId="60" xfId="138" quotePrefix="1" applyFont="1" applyFill="1" applyBorder="1" applyProtection="1"/>
    <xf numFmtId="0" fontId="5" fillId="27" borderId="21" xfId="138" quotePrefix="1" applyFont="1" applyFill="1" applyBorder="1" applyProtection="1"/>
    <xf numFmtId="164" fontId="48" fillId="0" borderId="39" xfId="35" applyNumberFormat="1" applyFont="1" applyFill="1" applyBorder="1"/>
    <xf numFmtId="0" fontId="13" fillId="0" borderId="45" xfId="0" applyFont="1" applyBorder="1" applyAlignment="1"/>
    <xf numFmtId="0" fontId="13" fillId="0" borderId="27" xfId="0" applyFont="1" applyBorder="1" applyAlignment="1"/>
    <xf numFmtId="0" fontId="5" fillId="26" borderId="85" xfId="138" quotePrefix="1" applyFont="1" applyAlignment="1" applyProtection="1">
      <alignment wrapText="1"/>
    </xf>
    <xf numFmtId="9" fontId="48" fillId="0" borderId="21" xfId="97" applyNumberFormat="1" applyFont="1" applyFill="1" applyBorder="1" applyAlignment="1">
      <alignment horizontal="right"/>
    </xf>
    <xf numFmtId="164" fontId="48" fillId="0" borderId="21" xfId="35" applyNumberFormat="1" applyFont="1" applyFill="1" applyBorder="1" applyAlignment="1">
      <alignment horizontal="center"/>
    </xf>
    <xf numFmtId="0" fontId="51" fillId="24" borderId="45" xfId="0" applyFont="1" applyFill="1" applyBorder="1" applyAlignment="1"/>
    <xf numFmtId="0" fontId="48" fillId="0" borderId="64" xfId="0" applyFont="1" applyFill="1" applyBorder="1" applyAlignment="1">
      <alignment horizontal="center" vertical="center"/>
    </xf>
    <xf numFmtId="170" fontId="48" fillId="0" borderId="32" xfId="0" applyNumberFormat="1" applyFont="1" applyFill="1" applyBorder="1" applyAlignment="1">
      <alignment horizontal="center" vertical="center"/>
    </xf>
    <xf numFmtId="9" fontId="48" fillId="0" borderId="32" xfId="97" applyFont="1" applyFill="1" applyBorder="1" applyAlignment="1">
      <alignment horizontal="center" vertical="center"/>
    </xf>
    <xf numFmtId="164" fontId="48" fillId="0" borderId="34" xfId="0" applyNumberFormat="1" applyFont="1" applyFill="1" applyBorder="1" applyAlignment="1">
      <alignment horizontal="center" wrapText="1"/>
    </xf>
    <xf numFmtId="164" fontId="48" fillId="0" borderId="24" xfId="0" applyNumberFormat="1" applyFont="1" applyFill="1" applyBorder="1"/>
    <xf numFmtId="164" fontId="48" fillId="0" borderId="73" xfId="0" applyNumberFormat="1" applyFont="1" applyFill="1" applyBorder="1"/>
    <xf numFmtId="0" fontId="51" fillId="24" borderId="19" xfId="0" applyFont="1" applyFill="1" applyBorder="1" applyAlignment="1"/>
    <xf numFmtId="0" fontId="48" fillId="0" borderId="24" xfId="0" applyFont="1" applyFill="1" applyBorder="1" applyAlignment="1"/>
    <xf numFmtId="0" fontId="50" fillId="0" borderId="0" xfId="0" applyFont="1" applyFill="1" applyAlignment="1"/>
    <xf numFmtId="0" fontId="48" fillId="0" borderId="65" xfId="0" applyFont="1" applyFill="1" applyBorder="1" applyAlignment="1">
      <alignment horizontal="center"/>
    </xf>
    <xf numFmtId="0" fontId="48" fillId="0" borderId="28" xfId="0" applyFont="1" applyFill="1" applyBorder="1" applyAlignment="1">
      <alignment horizontal="center"/>
    </xf>
    <xf numFmtId="164" fontId="48" fillId="0" borderId="21" xfId="35" applyNumberFormat="1" applyFont="1" applyFill="1" applyBorder="1"/>
    <xf numFmtId="164" fontId="48" fillId="0" borderId="73" xfId="35" applyNumberFormat="1" applyFont="1" applyFill="1" applyBorder="1"/>
    <xf numFmtId="164" fontId="48" fillId="0" borderId="56" xfId="35" applyNumberFormat="1" applyFont="1" applyFill="1" applyBorder="1"/>
    <xf numFmtId="164" fontId="48" fillId="0" borderId="63" xfId="35" applyNumberFormat="1" applyFont="1" applyFill="1" applyBorder="1"/>
    <xf numFmtId="164" fontId="48" fillId="0" borderId="26" xfId="35" applyNumberFormat="1" applyFont="1" applyFill="1" applyBorder="1"/>
    <xf numFmtId="0" fontId="50" fillId="0" borderId="0" xfId="74" applyFont="1" applyFill="1" applyAlignment="1" applyProtection="1">
      <alignment vertical="center"/>
      <protection hidden="1"/>
    </xf>
    <xf numFmtId="0" fontId="51" fillId="24" borderId="19" xfId="0" applyFont="1" applyFill="1" applyBorder="1" applyAlignment="1">
      <alignment horizontal="center" vertical="center"/>
    </xf>
    <xf numFmtId="0" fontId="51" fillId="24" borderId="38" xfId="0" applyFont="1" applyFill="1" applyBorder="1" applyAlignment="1">
      <alignment horizontal="center" vertical="center"/>
    </xf>
    <xf numFmtId="0" fontId="51" fillId="24" borderId="38" xfId="0" applyFont="1" applyFill="1" applyBorder="1" applyAlignment="1">
      <alignment horizontal="center" vertical="center" wrapText="1"/>
    </xf>
    <xf numFmtId="0" fontId="51" fillId="24" borderId="46" xfId="0" applyFont="1" applyFill="1" applyBorder="1" applyAlignment="1">
      <alignment horizontal="center" vertical="center" wrapText="1"/>
    </xf>
    <xf numFmtId="0" fontId="48" fillId="0" borderId="24" xfId="0" applyFont="1" applyFill="1" applyBorder="1" applyAlignment="1">
      <alignment horizontal="left"/>
    </xf>
    <xf numFmtId="164" fontId="48" fillId="0" borderId="74" xfId="35" applyNumberFormat="1" applyFont="1" applyFill="1" applyBorder="1" applyAlignment="1">
      <alignment horizontal="center" wrapText="1"/>
    </xf>
    <xf numFmtId="164" fontId="48" fillId="0" borderId="55" xfId="35" applyNumberFormat="1" applyFont="1" applyFill="1" applyBorder="1"/>
    <xf numFmtId="164" fontId="48" fillId="24" borderId="26" xfId="0" applyNumberFormat="1" applyFont="1" applyFill="1" applyBorder="1"/>
    <xf numFmtId="171" fontId="48" fillId="0" borderId="0" xfId="35" applyFont="1" applyFill="1" applyProtection="1">
      <protection hidden="1"/>
    </xf>
    <xf numFmtId="2" fontId="48" fillId="0" borderId="0" xfId="0" applyNumberFormat="1" applyFont="1" applyFill="1"/>
    <xf numFmtId="187" fontId="48" fillId="0" borderId="0" xfId="0" applyNumberFormat="1" applyFont="1" applyFill="1"/>
    <xf numFmtId="188" fontId="48" fillId="0" borderId="21" xfId="0" applyNumberFormat="1" applyFont="1" applyFill="1" applyBorder="1"/>
    <xf numFmtId="2" fontId="48" fillId="0" borderId="80" xfId="0" applyNumberFormat="1" applyFont="1" applyFill="1" applyBorder="1"/>
    <xf numFmtId="0" fontId="48" fillId="0" borderId="21" xfId="0" applyNumberFormat="1" applyFont="1" applyFill="1" applyBorder="1"/>
    <xf numFmtId="171" fontId="48" fillId="0" borderId="21" xfId="35" applyFont="1" applyFill="1" applyBorder="1" applyAlignment="1">
      <alignment horizontal="center"/>
    </xf>
    <xf numFmtId="164" fontId="48" fillId="0" borderId="58" xfId="35" applyNumberFormat="1" applyFont="1" applyFill="1" applyBorder="1" applyAlignment="1">
      <alignment horizontal="right" vertical="center"/>
    </xf>
    <xf numFmtId="164" fontId="48" fillId="0" borderId="43" xfId="35" applyNumberFormat="1" applyFont="1" applyFill="1" applyBorder="1" applyAlignment="1">
      <alignment horizontal="right" vertical="center"/>
    </xf>
    <xf numFmtId="164" fontId="48" fillId="0" borderId="84" xfId="35" applyNumberFormat="1" applyFont="1" applyFill="1" applyBorder="1" applyAlignment="1">
      <alignment horizontal="right" vertical="center"/>
    </xf>
    <xf numFmtId="164" fontId="48" fillId="0" borderId="30" xfId="35" applyNumberFormat="1" applyFont="1" applyFill="1" applyBorder="1" applyAlignment="1">
      <alignment horizontal="center"/>
    </xf>
    <xf numFmtId="164" fontId="48" fillId="0" borderId="75" xfId="35" applyNumberFormat="1" applyFont="1" applyFill="1" applyBorder="1" applyAlignment="1">
      <alignment horizontal="center"/>
    </xf>
    <xf numFmtId="0" fontId="48" fillId="0" borderId="17" xfId="0" applyFont="1" applyFill="1" applyBorder="1" applyAlignment="1"/>
    <xf numFmtId="164" fontId="51" fillId="24" borderId="38" xfId="0" applyNumberFormat="1" applyFont="1" applyFill="1" applyBorder="1" applyAlignment="1">
      <alignment horizontal="center"/>
    </xf>
    <xf numFmtId="0" fontId="48" fillId="0" borderId="21" xfId="0" applyFont="1" applyFill="1" applyBorder="1" applyAlignment="1">
      <alignment horizontal="left"/>
    </xf>
    <xf numFmtId="0" fontId="51" fillId="24" borderId="38" xfId="0" applyFont="1" applyFill="1" applyBorder="1" applyAlignment="1">
      <alignment vertical="center"/>
    </xf>
    <xf numFmtId="0" fontId="51" fillId="24" borderId="46" xfId="0" applyFont="1" applyFill="1" applyBorder="1" applyAlignment="1">
      <alignment horizontal="center" vertical="center"/>
    </xf>
    <xf numFmtId="0" fontId="48" fillId="0" borderId="0" xfId="0" applyFont="1" applyFill="1" applyAlignment="1">
      <alignment vertical="center"/>
    </xf>
    <xf numFmtId="164" fontId="48" fillId="0" borderId="0" xfId="140" applyFont="1" applyFill="1"/>
    <xf numFmtId="164" fontId="48" fillId="0" borderId="22" xfId="0" applyNumberFormat="1" applyFont="1" applyFill="1" applyBorder="1" applyAlignment="1">
      <alignment horizontal="center"/>
    </xf>
    <xf numFmtId="0" fontId="4" fillId="26" borderId="85" xfId="138" quotePrefix="1" applyFont="1" applyAlignment="1" applyProtection="1">
      <alignment wrapText="1"/>
    </xf>
    <xf numFmtId="0" fontId="48" fillId="0" borderId="0" xfId="0" quotePrefix="1" applyFont="1" applyFill="1"/>
    <xf numFmtId="164" fontId="48" fillId="0" borderId="34" xfId="35" applyNumberFormat="1" applyFont="1" applyFill="1" applyBorder="1" applyAlignment="1">
      <alignment horizontal="center"/>
    </xf>
    <xf numFmtId="171" fontId="48" fillId="0" borderId="28" xfId="35" applyFont="1" applyFill="1" applyBorder="1" applyAlignment="1">
      <alignment horizontal="center"/>
    </xf>
    <xf numFmtId="171" fontId="48" fillId="0" borderId="28" xfId="35" applyFont="1" applyFill="1" applyBorder="1"/>
    <xf numFmtId="171" fontId="48" fillId="0" borderId="33" xfId="35" applyFont="1" applyFill="1" applyBorder="1" applyAlignment="1">
      <alignment horizontal="center"/>
    </xf>
    <xf numFmtId="171" fontId="48" fillId="0" borderId="17" xfId="35" applyFont="1" applyFill="1" applyBorder="1"/>
    <xf numFmtId="171" fontId="48" fillId="0" borderId="21" xfId="35" applyNumberFormat="1" applyFont="1" applyFill="1" applyBorder="1" applyAlignment="1">
      <alignment horizontal="center" vertical="center"/>
    </xf>
    <xf numFmtId="0" fontId="48" fillId="0" borderId="21" xfId="0" applyFont="1" applyFill="1" applyBorder="1" applyAlignment="1">
      <alignment horizontal="center" vertical="center"/>
    </xf>
    <xf numFmtId="171" fontId="48" fillId="0" borderId="34" xfId="35" applyNumberFormat="1" applyFont="1" applyFill="1" applyBorder="1" applyAlignment="1">
      <alignment horizontal="center" vertical="center"/>
    </xf>
    <xf numFmtId="0" fontId="48" fillId="0" borderId="73" xfId="0" applyFont="1" applyFill="1" applyBorder="1" applyAlignment="1">
      <alignment horizontal="center" vertical="center"/>
    </xf>
    <xf numFmtId="0" fontId="48" fillId="0" borderId="21" xfId="97" applyNumberFormat="1" applyFont="1" applyFill="1" applyBorder="1" applyAlignment="1">
      <alignment horizontal="center"/>
    </xf>
    <xf numFmtId="164" fontId="51" fillId="24" borderId="46" xfId="0" applyNumberFormat="1" applyFont="1" applyFill="1" applyBorder="1" applyAlignment="1">
      <alignment horizontal="center"/>
    </xf>
    <xf numFmtId="0" fontId="48" fillId="0" borderId="73" xfId="0" applyFont="1" applyFill="1" applyBorder="1" applyAlignment="1">
      <alignment horizontal="center"/>
    </xf>
    <xf numFmtId="172" fontId="48" fillId="0" borderId="0" xfId="0" applyNumberFormat="1" applyFont="1" applyFill="1"/>
    <xf numFmtId="0" fontId="48" fillId="0" borderId="28" xfId="0" applyFont="1" applyFill="1" applyBorder="1" applyAlignment="1">
      <alignment horizontal="center"/>
    </xf>
    <xf numFmtId="0" fontId="48" fillId="0" borderId="27" xfId="0" applyFont="1" applyFill="1" applyBorder="1" applyAlignment="1">
      <alignment horizontal="left"/>
    </xf>
    <xf numFmtId="0" fontId="48" fillId="0" borderId="86" xfId="0" applyFont="1" applyFill="1" applyBorder="1" applyAlignment="1">
      <alignment horizontal="center"/>
    </xf>
    <xf numFmtId="0" fontId="3" fillId="26" borderId="85" xfId="138" quotePrefix="1" applyFont="1" applyAlignment="1" applyProtection="1">
      <alignment wrapText="1"/>
    </xf>
    <xf numFmtId="0" fontId="3" fillId="27" borderId="21" xfId="138" quotePrefix="1" applyFont="1" applyFill="1" applyBorder="1" applyProtection="1"/>
    <xf numFmtId="172" fontId="48" fillId="0" borderId="21" xfId="0" applyNumberFormat="1" applyFont="1" applyFill="1" applyBorder="1" applyAlignment="1">
      <alignment horizontal="center"/>
    </xf>
    <xf numFmtId="2" fontId="48" fillId="0" borderId="22" xfId="0" applyNumberFormat="1" applyFont="1" applyFill="1" applyBorder="1" applyAlignment="1">
      <alignment horizontal="center" wrapText="1"/>
    </xf>
    <xf numFmtId="2" fontId="48" fillId="0" borderId="29" xfId="0" applyNumberFormat="1" applyFont="1" applyFill="1" applyBorder="1" applyAlignment="1">
      <alignment horizontal="center" wrapText="1"/>
    </xf>
    <xf numFmtId="0" fontId="48" fillId="0" borderId="28" xfId="0" applyFont="1" applyFill="1" applyBorder="1" applyAlignment="1">
      <alignment horizontal="center"/>
    </xf>
    <xf numFmtId="0" fontId="51" fillId="0" borderId="11" xfId="0" applyFont="1" applyFill="1" applyBorder="1" applyAlignment="1">
      <alignment horizontal="left" vertical="center"/>
    </xf>
    <xf numFmtId="0" fontId="51" fillId="0" borderId="12" xfId="0" applyFont="1" applyFill="1" applyBorder="1" applyAlignment="1">
      <alignment horizontal="left" vertical="center"/>
    </xf>
    <xf numFmtId="0" fontId="51" fillId="0" borderId="13" xfId="0" applyFont="1" applyFill="1" applyBorder="1" applyAlignment="1">
      <alignment horizontal="left" vertical="center"/>
    </xf>
    <xf numFmtId="0" fontId="51" fillId="0" borderId="16" xfId="0" applyFont="1" applyFill="1" applyBorder="1" applyAlignment="1">
      <alignment horizontal="left" vertical="center"/>
    </xf>
    <xf numFmtId="0" fontId="51" fillId="0" borderId="17" xfId="0" applyFont="1" applyFill="1" applyBorder="1" applyAlignment="1">
      <alignment horizontal="left" vertical="center"/>
    </xf>
    <xf numFmtId="0" fontId="51" fillId="0" borderId="18" xfId="0" applyFont="1" applyFill="1" applyBorder="1" applyAlignment="1">
      <alignment horizontal="left" vertical="center"/>
    </xf>
    <xf numFmtId="0" fontId="48" fillId="0" borderId="22" xfId="0" applyFont="1" applyFill="1" applyBorder="1" applyAlignment="1"/>
    <xf numFmtId="0" fontId="48" fillId="0" borderId="29" xfId="0" applyFont="1" applyFill="1" applyBorder="1" applyAlignment="1"/>
    <xf numFmtId="0" fontId="51" fillId="24" borderId="19" xfId="0" applyFont="1" applyFill="1" applyBorder="1" applyAlignment="1">
      <alignment horizontal="center"/>
    </xf>
    <xf numFmtId="0" fontId="48" fillId="0" borderId="22" xfId="0" applyFont="1" applyFill="1" applyBorder="1" applyAlignment="1"/>
    <xf numFmtId="0" fontId="48" fillId="0" borderId="29" xfId="0" applyFont="1" applyFill="1" applyBorder="1" applyAlignment="1"/>
    <xf numFmtId="0" fontId="48" fillId="0" borderId="36" xfId="0" applyFont="1" applyFill="1" applyBorder="1" applyAlignment="1"/>
    <xf numFmtId="0" fontId="48" fillId="0" borderId="40" xfId="0" applyFont="1" applyFill="1" applyBorder="1" applyAlignment="1"/>
    <xf numFmtId="0" fontId="51" fillId="24" borderId="72" xfId="0" applyFont="1" applyFill="1" applyBorder="1" applyAlignment="1">
      <alignment horizontal="center"/>
    </xf>
    <xf numFmtId="0" fontId="48" fillId="0" borderId="0" xfId="0" applyFont="1" applyFill="1" applyBorder="1" applyAlignment="1" applyProtection="1">
      <alignment horizontal="left"/>
      <protection locked="0"/>
    </xf>
    <xf numFmtId="0" fontId="47" fillId="0" borderId="0" xfId="0" applyFont="1" applyFill="1" applyBorder="1" applyAlignment="1">
      <alignment horizontal="center"/>
    </xf>
    <xf numFmtId="0" fontId="54" fillId="0" borderId="0" xfId="0" applyFont="1" applyFill="1" applyBorder="1" applyAlignment="1">
      <alignment horizontal="center"/>
    </xf>
    <xf numFmtId="0" fontId="54" fillId="0" borderId="15" xfId="0" applyFont="1" applyFill="1" applyBorder="1" applyAlignment="1">
      <alignment horizontal="center"/>
    </xf>
    <xf numFmtId="0" fontId="51" fillId="24" borderId="20" xfId="0" applyFont="1" applyFill="1" applyBorder="1" applyAlignment="1">
      <alignment horizontal="center" wrapText="1"/>
    </xf>
    <xf numFmtId="0" fontId="48" fillId="0" borderId="64" xfId="0" applyFont="1" applyFill="1" applyBorder="1" applyAlignment="1">
      <alignment horizontal="center"/>
    </xf>
    <xf numFmtId="0" fontId="48" fillId="0" borderId="28" xfId="0" applyFont="1" applyFill="1" applyBorder="1" applyAlignment="1">
      <alignment horizontal="center"/>
    </xf>
    <xf numFmtId="2" fontId="48" fillId="0" borderId="21" xfId="0" applyNumberFormat="1" applyFont="1" applyFill="1" applyBorder="1" applyAlignment="1">
      <alignment horizontal="right"/>
    </xf>
    <xf numFmtId="172" fontId="48" fillId="0" borderId="21" xfId="0" applyNumberFormat="1" applyFont="1" applyFill="1" applyBorder="1" applyAlignment="1">
      <alignment horizontal="right"/>
    </xf>
    <xf numFmtId="2" fontId="48" fillId="0" borderId="23" xfId="0" applyNumberFormat="1" applyFont="1" applyFill="1" applyBorder="1" applyAlignment="1">
      <alignment horizontal="right"/>
    </xf>
    <xf numFmtId="0" fontId="48" fillId="0" borderId="21" xfId="0" applyNumberFormat="1" applyFont="1" applyFill="1" applyBorder="1" applyAlignment="1">
      <alignment horizontal="right"/>
    </xf>
    <xf numFmtId="0" fontId="48" fillId="0" borderId="28" xfId="0" applyFont="1" applyFill="1" applyBorder="1" applyAlignment="1">
      <alignment horizontal="center" wrapText="1"/>
    </xf>
    <xf numFmtId="0" fontId="2" fillId="26" borderId="85" xfId="138" quotePrefix="1" applyFont="1" applyAlignment="1" applyProtection="1">
      <alignment wrapText="1"/>
    </xf>
    <xf numFmtId="0" fontId="2" fillId="27" borderId="21" xfId="138" quotePrefix="1" applyFont="1" applyFill="1" applyBorder="1" applyProtection="1"/>
    <xf numFmtId="164" fontId="48" fillId="0" borderId="21" xfId="63" applyNumberFormat="1" applyFont="1" applyFill="1" applyBorder="1" applyAlignment="1" applyProtection="1">
      <alignment horizontal="right" vertical="center" wrapText="1"/>
    </xf>
    <xf numFmtId="164" fontId="48" fillId="0" borderId="31" xfId="63" applyNumberFormat="1" applyFont="1" applyFill="1" applyBorder="1" applyAlignment="1" applyProtection="1">
      <alignment horizontal="right" vertical="center" wrapText="1"/>
    </xf>
    <xf numFmtId="0" fontId="48" fillId="0" borderId="28" xfId="0" applyFont="1" applyFill="1" applyBorder="1" applyAlignment="1">
      <alignment horizontal="center"/>
    </xf>
    <xf numFmtId="0" fontId="48" fillId="0" borderId="22" xfId="0" applyFont="1" applyFill="1" applyBorder="1" applyAlignment="1"/>
    <xf numFmtId="0" fontId="48" fillId="0" borderId="29" xfId="0" applyFont="1" applyFill="1" applyBorder="1" applyAlignment="1"/>
    <xf numFmtId="0" fontId="1" fillId="26" borderId="85" xfId="138" quotePrefix="1" applyFont="1" applyAlignment="1" applyProtection="1">
      <alignment wrapText="1"/>
    </xf>
    <xf numFmtId="41" fontId="50" fillId="0" borderId="0" xfId="141" applyFont="1" applyFill="1" applyProtection="1"/>
    <xf numFmtId="189" fontId="50" fillId="0" borderId="0" xfId="91" applyNumberFormat="1" applyFont="1" applyFill="1" applyProtection="1"/>
    <xf numFmtId="3" fontId="48" fillId="0" borderId="21" xfId="40" applyNumberFormat="1" applyFont="1" applyFill="1" applyBorder="1" applyAlignment="1" applyProtection="1">
      <alignment vertical="center" wrapText="1"/>
    </xf>
    <xf numFmtId="190" fontId="48" fillId="0" borderId="21" xfId="63" applyNumberFormat="1" applyFont="1" applyFill="1" applyBorder="1" applyAlignment="1" applyProtection="1">
      <alignment horizontal="right" vertical="center" wrapText="1"/>
    </xf>
    <xf numFmtId="191" fontId="48" fillId="0" borderId="39" xfId="63" applyNumberFormat="1" applyFont="1" applyFill="1" applyBorder="1" applyAlignment="1" applyProtection="1">
      <alignment horizontal="right" vertical="center" wrapText="1"/>
    </xf>
    <xf numFmtId="191" fontId="47" fillId="0" borderId="55" xfId="40" applyNumberFormat="1" applyFont="1" applyFill="1" applyBorder="1" applyAlignment="1" applyProtection="1">
      <alignment horizontal="right" vertical="center"/>
    </xf>
    <xf numFmtId="180" fontId="48" fillId="0" borderId="39" xfId="131" applyNumberFormat="1" applyFont="1" applyFill="1" applyBorder="1" applyProtection="1"/>
    <xf numFmtId="180" fontId="42" fillId="0" borderId="39" xfId="131" applyNumberFormat="1" applyFont="1" applyFill="1" applyBorder="1" applyProtection="1"/>
    <xf numFmtId="180" fontId="47" fillId="0" borderId="39" xfId="131" applyNumberFormat="1" applyFont="1" applyFill="1" applyBorder="1" applyProtection="1"/>
    <xf numFmtId="180" fontId="42" fillId="24" borderId="68" xfId="74" applyNumberFormat="1" applyFont="1" applyFill="1" applyBorder="1" applyAlignment="1" applyProtection="1">
      <alignment vertical="center"/>
    </xf>
    <xf numFmtId="0" fontId="41" fillId="0" borderId="78" xfId="33" applyFont="1" applyFill="1" applyBorder="1" applyAlignment="1" applyProtection="1">
      <alignment horizontal="center"/>
    </xf>
    <xf numFmtId="0" fontId="41" fillId="0" borderId="82" xfId="33" applyFont="1" applyFill="1" applyBorder="1" applyAlignment="1" applyProtection="1">
      <alignment horizontal="center"/>
    </xf>
    <xf numFmtId="0" fontId="33" fillId="0" borderId="83" xfId="128" applyFont="1" applyFill="1" applyBorder="1" applyAlignment="1">
      <alignment horizontal="center"/>
    </xf>
    <xf numFmtId="0" fontId="33" fillId="0" borderId="12" xfId="128" applyFont="1" applyFill="1" applyBorder="1" applyAlignment="1">
      <alignment horizontal="center"/>
    </xf>
    <xf numFmtId="0" fontId="33" fillId="0" borderId="42" xfId="128" applyFont="1" applyFill="1" applyBorder="1" applyAlignment="1">
      <alignment horizontal="center"/>
    </xf>
    <xf numFmtId="0" fontId="35" fillId="0" borderId="38" xfId="94" applyFont="1" applyFill="1" applyBorder="1" applyAlignment="1">
      <alignment horizontal="center" vertical="center"/>
    </xf>
    <xf numFmtId="0" fontId="35" fillId="0" borderId="21" xfId="94" applyFont="1" applyFill="1" applyBorder="1" applyAlignment="1">
      <alignment horizontal="center" vertical="center"/>
    </xf>
    <xf numFmtId="0" fontId="35" fillId="0" borderId="83" xfId="94" applyFont="1" applyFill="1" applyBorder="1" applyAlignment="1">
      <alignment horizontal="center" vertical="center"/>
    </xf>
    <xf numFmtId="0" fontId="35" fillId="0" borderId="12" xfId="94" applyFont="1" applyFill="1" applyBorder="1" applyAlignment="1">
      <alignment horizontal="center" vertical="center"/>
    </xf>
    <xf numFmtId="0" fontId="35" fillId="0" borderId="13" xfId="94" applyFont="1" applyFill="1" applyBorder="1" applyAlignment="1">
      <alignment horizontal="center" vertical="center"/>
    </xf>
    <xf numFmtId="0" fontId="35" fillId="0" borderId="77" xfId="94" applyFont="1" applyFill="1" applyBorder="1" applyAlignment="1">
      <alignment horizontal="center" vertical="center"/>
    </xf>
    <xf numFmtId="0" fontId="35" fillId="0" borderId="33" xfId="94" applyFont="1" applyFill="1" applyBorder="1" applyAlignment="1">
      <alignment horizontal="center" vertical="center"/>
    </xf>
    <xf numFmtId="0" fontId="35" fillId="0" borderId="62" xfId="94" applyFont="1" applyFill="1" applyBorder="1" applyAlignment="1">
      <alignment horizontal="center" vertical="center"/>
    </xf>
    <xf numFmtId="0" fontId="34" fillId="0" borderId="69" xfId="128" applyFont="1" applyFill="1" applyBorder="1" applyAlignment="1">
      <alignment horizontal="center"/>
    </xf>
    <xf numFmtId="0" fontId="34" fillId="0" borderId="0" xfId="128" applyFont="1" applyFill="1" applyBorder="1" applyAlignment="1">
      <alignment horizontal="center"/>
    </xf>
    <xf numFmtId="0" fontId="34" fillId="0" borderId="70" xfId="128" applyFont="1" applyFill="1" applyBorder="1" applyAlignment="1">
      <alignment horizontal="center"/>
    </xf>
    <xf numFmtId="0" fontId="14" fillId="0" borderId="69" xfId="128" applyFont="1" applyFill="1" applyBorder="1" applyAlignment="1">
      <alignment horizontal="center"/>
    </xf>
    <xf numFmtId="0" fontId="14" fillId="0" borderId="0" xfId="128" applyFont="1" applyFill="1" applyBorder="1" applyAlignment="1">
      <alignment horizontal="center"/>
    </xf>
    <xf numFmtId="0" fontId="14" fillId="0" borderId="70" xfId="128" applyFont="1" applyFill="1" applyBorder="1" applyAlignment="1">
      <alignment horizontal="center"/>
    </xf>
    <xf numFmtId="0" fontId="35" fillId="0" borderId="23" xfId="94" applyFont="1" applyFill="1" applyBorder="1" applyAlignment="1">
      <alignment horizontal="center" vertical="center"/>
    </xf>
    <xf numFmtId="0" fontId="35" fillId="0" borderId="34" xfId="128" applyFont="1" applyFill="1" applyBorder="1" applyAlignment="1">
      <alignment horizontal="center" vertical="center"/>
    </xf>
    <xf numFmtId="0" fontId="35" fillId="0" borderId="30" xfId="94" applyFont="1" applyFill="1" applyBorder="1" applyAlignment="1">
      <alignment horizontal="center" vertical="center"/>
    </xf>
    <xf numFmtId="0" fontId="35" fillId="0" borderId="65" xfId="94" applyFont="1" applyFill="1" applyBorder="1" applyAlignment="1">
      <alignment horizontal="center" vertical="center"/>
    </xf>
    <xf numFmtId="0" fontId="35" fillId="0" borderId="71" xfId="94" applyFont="1" applyFill="1" applyBorder="1" applyAlignment="1">
      <alignment horizontal="center" vertical="center"/>
    </xf>
    <xf numFmtId="0" fontId="35" fillId="0" borderId="77" xfId="128" applyFont="1" applyFill="1" applyBorder="1" applyAlignment="1">
      <alignment horizontal="center" vertical="center"/>
    </xf>
    <xf numFmtId="0" fontId="35" fillId="0" borderId="33" xfId="128" applyFont="1" applyFill="1" applyBorder="1" applyAlignment="1">
      <alignment horizontal="center" vertical="center"/>
    </xf>
    <xf numFmtId="0" fontId="35" fillId="0" borderId="62" xfId="128" applyFont="1" applyFill="1" applyBorder="1" applyAlignment="1">
      <alignment horizontal="center" vertical="center"/>
    </xf>
    <xf numFmtId="0" fontId="11" fillId="0" borderId="69" xfId="128" applyFont="1" applyFill="1" applyBorder="1" applyAlignment="1">
      <alignment horizontal="center"/>
    </xf>
    <xf numFmtId="0" fontId="11" fillId="0" borderId="0" xfId="128" applyFont="1" applyFill="1" applyBorder="1" applyAlignment="1">
      <alignment horizontal="center"/>
    </xf>
    <xf numFmtId="0" fontId="11" fillId="0" borderId="70" xfId="128" applyFont="1" applyFill="1" applyBorder="1" applyAlignment="1">
      <alignment horizontal="center"/>
    </xf>
    <xf numFmtId="0" fontId="11" fillId="0" borderId="69" xfId="128" applyFont="1" applyFill="1" applyBorder="1" applyAlignment="1">
      <alignment horizontal="center" vertical="center" wrapText="1"/>
    </xf>
    <xf numFmtId="0" fontId="9" fillId="0" borderId="0" xfId="128" applyFont="1" applyFill="1"/>
    <xf numFmtId="0" fontId="9" fillId="0" borderId="70" xfId="128" applyFont="1" applyFill="1" applyBorder="1"/>
    <xf numFmtId="0" fontId="9" fillId="0" borderId="69" xfId="128" applyFont="1" applyFill="1" applyBorder="1"/>
    <xf numFmtId="0" fontId="45" fillId="0" borderId="33" xfId="128" applyFont="1" applyFill="1" applyBorder="1" applyAlignment="1">
      <alignment horizontal="left"/>
    </xf>
    <xf numFmtId="0" fontId="35" fillId="0" borderId="80" xfId="94" applyFont="1" applyFill="1" applyBorder="1" applyAlignment="1">
      <alignment horizontal="center" vertical="center"/>
    </xf>
    <xf numFmtId="0" fontId="35" fillId="0" borderId="56" xfId="94" applyFont="1" applyFill="1" applyBorder="1" applyAlignment="1">
      <alignment horizontal="center" vertical="center"/>
    </xf>
    <xf numFmtId="0" fontId="35" fillId="0" borderId="81" xfId="94" applyFont="1" applyFill="1" applyBorder="1" applyAlignment="1">
      <alignment horizontal="center" vertical="center"/>
    </xf>
    <xf numFmtId="0" fontId="44" fillId="0" borderId="33" xfId="128" applyFont="1" applyFill="1" applyBorder="1" applyAlignment="1">
      <alignment horizontal="left"/>
    </xf>
    <xf numFmtId="0" fontId="35" fillId="0" borderId="0" xfId="128" applyFont="1" applyFill="1" applyBorder="1" applyAlignment="1">
      <alignment horizontal="center"/>
    </xf>
    <xf numFmtId="0" fontId="35" fillId="0" borderId="15" xfId="128" applyFont="1" applyFill="1" applyBorder="1" applyAlignment="1">
      <alignment horizontal="center"/>
    </xf>
    <xf numFmtId="0" fontId="45" fillId="0" borderId="33" xfId="128" applyFont="1" applyFill="1" applyBorder="1" applyAlignment="1" applyProtection="1">
      <alignment horizontal="left"/>
      <protection locked="0"/>
    </xf>
    <xf numFmtId="0" fontId="45" fillId="0" borderId="0" xfId="128" applyFont="1" applyFill="1" applyBorder="1" applyAlignment="1" applyProtection="1">
      <alignment horizontal="center" vertical="center" wrapText="1"/>
      <protection locked="0"/>
    </xf>
    <xf numFmtId="0" fontId="45" fillId="0" borderId="33" xfId="128" applyFont="1" applyFill="1" applyBorder="1" applyAlignment="1" applyProtection="1">
      <alignment horizontal="center" vertical="center" wrapText="1"/>
      <protection locked="0"/>
    </xf>
    <xf numFmtId="0" fontId="36" fillId="0" borderId="21" xfId="130" applyFont="1" applyFill="1" applyBorder="1" applyAlignment="1">
      <alignment horizontal="center" vertical="center" wrapText="1"/>
    </xf>
    <xf numFmtId="171" fontId="45" fillId="0" borderId="21" xfId="35" applyNumberFormat="1" applyFont="1" applyFill="1" applyBorder="1" applyAlignment="1">
      <alignment horizontal="center" vertical="center"/>
    </xf>
    <xf numFmtId="185" fontId="45" fillId="0" borderId="33" xfId="128" applyNumberFormat="1" applyFont="1" applyFill="1" applyBorder="1" applyAlignment="1">
      <alignment horizontal="left"/>
    </xf>
    <xf numFmtId="0" fontId="46" fillId="0" borderId="14" xfId="132" applyFont="1" applyFill="1" applyBorder="1" applyAlignment="1" applyProtection="1">
      <alignment horizontal="center"/>
    </xf>
    <xf numFmtId="0" fontId="46" fillId="0" borderId="0" xfId="132" applyFont="1" applyFill="1" applyBorder="1" applyAlignment="1" applyProtection="1">
      <alignment horizontal="center"/>
    </xf>
    <xf numFmtId="0" fontId="46" fillId="0" borderId="15" xfId="132" applyFont="1" applyFill="1" applyBorder="1" applyAlignment="1" applyProtection="1">
      <alignment horizontal="center"/>
    </xf>
    <xf numFmtId="4" fontId="47" fillId="25" borderId="38" xfId="74" applyNumberFormat="1" applyFont="1" applyFill="1" applyBorder="1" applyAlignment="1" applyProtection="1">
      <alignment horizontal="center" vertical="center" wrapText="1"/>
    </xf>
    <xf numFmtId="4" fontId="47" fillId="25" borderId="24" xfId="74" applyNumberFormat="1" applyFont="1" applyFill="1" applyBorder="1" applyAlignment="1" applyProtection="1">
      <alignment horizontal="center" vertical="center" wrapText="1"/>
    </xf>
    <xf numFmtId="4" fontId="47" fillId="25" borderId="46" xfId="74" applyNumberFormat="1" applyFont="1" applyFill="1" applyBorder="1" applyAlignment="1" applyProtection="1">
      <alignment horizontal="center" vertical="center" wrapText="1"/>
    </xf>
    <xf numFmtId="4" fontId="47" fillId="25" borderId="63" xfId="74" applyNumberFormat="1" applyFont="1" applyFill="1" applyBorder="1" applyAlignment="1" applyProtection="1">
      <alignment horizontal="center" vertical="center" wrapText="1"/>
    </xf>
    <xf numFmtId="0" fontId="47" fillId="25" borderId="41" xfId="74" applyFont="1" applyFill="1" applyBorder="1" applyAlignment="1" applyProtection="1">
      <alignment horizontal="center" vertical="center" wrapText="1"/>
    </xf>
    <xf numFmtId="0" fontId="47" fillId="25" borderId="79" xfId="74" applyFont="1" applyFill="1" applyBorder="1" applyAlignment="1" applyProtection="1">
      <alignment horizontal="center" vertical="center" wrapText="1"/>
    </xf>
    <xf numFmtId="0" fontId="47" fillId="25" borderId="38" xfId="74" applyFont="1" applyFill="1" applyBorder="1" applyAlignment="1" applyProtection="1">
      <alignment horizontal="center" vertical="center" wrapText="1"/>
    </xf>
    <xf numFmtId="0" fontId="47" fillId="25" borderId="24" xfId="74" applyFont="1" applyFill="1" applyBorder="1" applyAlignment="1" applyProtection="1">
      <alignment horizontal="center" vertical="center" wrapText="1"/>
    </xf>
    <xf numFmtId="0" fontId="47" fillId="0" borderId="38" xfId="128" applyFont="1" applyFill="1" applyBorder="1" applyAlignment="1" applyProtection="1">
      <alignment horizontal="center" vertical="center" wrapText="1"/>
    </xf>
    <xf numFmtId="0" fontId="42" fillId="0" borderId="11" xfId="132" applyFont="1" applyFill="1" applyBorder="1" applyAlignment="1" applyProtection="1">
      <alignment horizontal="center"/>
    </xf>
    <xf numFmtId="0" fontId="42" fillId="0" borderId="12" xfId="132" applyFont="1" applyFill="1" applyBorder="1" applyAlignment="1" applyProtection="1">
      <alignment horizontal="center"/>
    </xf>
    <xf numFmtId="0" fontId="42" fillId="0" borderId="13" xfId="132" applyFont="1" applyFill="1" applyBorder="1" applyAlignment="1" applyProtection="1">
      <alignment horizontal="center"/>
    </xf>
    <xf numFmtId="0" fontId="42" fillId="0" borderId="14" xfId="132" applyFont="1" applyFill="1" applyBorder="1" applyAlignment="1" applyProtection="1">
      <alignment horizontal="center"/>
    </xf>
    <xf numFmtId="0" fontId="42" fillId="0" borderId="0" xfId="132" applyFont="1" applyFill="1" applyBorder="1" applyAlignment="1" applyProtection="1">
      <alignment horizontal="center"/>
    </xf>
    <xf numFmtId="0" fontId="42" fillId="0" borderId="15" xfId="132" applyFont="1" applyFill="1" applyBorder="1" applyAlignment="1" applyProtection="1">
      <alignment horizontal="center"/>
    </xf>
    <xf numFmtId="0" fontId="46" fillId="0" borderId="14" xfId="132" applyFont="1" applyFill="1" applyBorder="1" applyAlignment="1" applyProtection="1">
      <alignment horizontal="center" vertical="center" wrapText="1"/>
    </xf>
    <xf numFmtId="0" fontId="46" fillId="0" borderId="0" xfId="132" applyFont="1" applyFill="1" applyBorder="1" applyAlignment="1" applyProtection="1">
      <alignment horizontal="center" vertical="center" wrapText="1"/>
    </xf>
    <xf numFmtId="0" fontId="46" fillId="0" borderId="15" xfId="132" applyFont="1" applyFill="1" applyBorder="1" applyAlignment="1" applyProtection="1">
      <alignment horizontal="center" vertical="center" wrapText="1"/>
    </xf>
    <xf numFmtId="0" fontId="69" fillId="0" borderId="14" xfId="132" applyFont="1" applyFill="1" applyBorder="1" applyAlignment="1" applyProtection="1">
      <alignment horizontal="center"/>
    </xf>
    <xf numFmtId="0" fontId="69" fillId="0" borderId="0" xfId="132" applyFont="1" applyFill="1" applyBorder="1" applyAlignment="1" applyProtection="1">
      <alignment horizontal="center"/>
    </xf>
    <xf numFmtId="0" fontId="69" fillId="0" borderId="15" xfId="132" applyFont="1" applyFill="1" applyBorder="1" applyAlignment="1" applyProtection="1">
      <alignment horizontal="center"/>
    </xf>
    <xf numFmtId="0" fontId="60" fillId="25" borderId="27" xfId="132" applyNumberFormat="1" applyFont="1" applyFill="1" applyBorder="1" applyAlignment="1">
      <alignment vertical="center" wrapText="1"/>
    </xf>
    <xf numFmtId="0" fontId="60" fillId="25" borderId="28" xfId="132" applyNumberFormat="1" applyFont="1" applyFill="1" applyBorder="1" applyAlignment="1">
      <alignment vertical="center" wrapText="1"/>
    </xf>
    <xf numFmtId="0" fontId="60" fillId="25" borderId="29" xfId="132" applyNumberFormat="1" applyFont="1" applyFill="1" applyBorder="1" applyAlignment="1">
      <alignment vertical="center" wrapText="1"/>
    </xf>
    <xf numFmtId="0" fontId="48" fillId="25" borderId="21" xfId="132" applyFont="1" applyFill="1" applyBorder="1" applyAlignment="1">
      <alignment horizontal="center" vertical="center" wrapText="1"/>
    </xf>
    <xf numFmtId="0" fontId="48" fillId="25" borderId="39" xfId="132" applyFont="1" applyFill="1" applyBorder="1" applyAlignment="1">
      <alignment horizontal="center" vertical="center" wrapText="1"/>
    </xf>
    <xf numFmtId="0" fontId="48" fillId="25" borderId="24" xfId="132" applyFont="1" applyFill="1" applyBorder="1" applyAlignment="1">
      <alignment horizontal="center" vertical="center" wrapText="1"/>
    </xf>
    <xf numFmtId="0" fontId="48" fillId="25" borderId="63" xfId="132" applyFont="1" applyFill="1" applyBorder="1" applyAlignment="1">
      <alignment horizontal="center" vertical="center" wrapText="1"/>
    </xf>
    <xf numFmtId="0" fontId="60" fillId="25" borderId="36" xfId="0" applyNumberFormat="1" applyFont="1" applyFill="1" applyBorder="1" applyAlignment="1">
      <alignment vertical="center" wrapText="1"/>
    </xf>
    <xf numFmtId="0" fontId="60" fillId="25" borderId="40" xfId="0" applyNumberFormat="1" applyFont="1" applyFill="1" applyBorder="1" applyAlignment="1">
      <alignment vertical="center" wrapText="1"/>
    </xf>
    <xf numFmtId="0" fontId="60" fillId="25" borderId="37" xfId="0" applyNumberFormat="1" applyFont="1" applyFill="1" applyBorder="1" applyAlignment="1">
      <alignment vertical="center" wrapText="1"/>
    </xf>
    <xf numFmtId="0" fontId="53" fillId="25" borderId="21" xfId="132" applyFont="1" applyFill="1" applyBorder="1" applyAlignment="1">
      <alignment horizontal="center" vertical="center"/>
    </xf>
    <xf numFmtId="0" fontId="60" fillId="25" borderId="27" xfId="0" applyNumberFormat="1" applyFont="1" applyFill="1" applyBorder="1" applyAlignment="1">
      <alignment vertical="center" wrapText="1"/>
    </xf>
    <xf numFmtId="0" fontId="60" fillId="25" borderId="28" xfId="0" applyNumberFormat="1" applyFont="1" applyFill="1" applyBorder="1" applyAlignment="1">
      <alignment vertical="center" wrapText="1"/>
    </xf>
    <xf numFmtId="0" fontId="60" fillId="25" borderId="29" xfId="0" applyNumberFormat="1" applyFont="1" applyFill="1" applyBorder="1" applyAlignment="1">
      <alignment vertical="center" wrapText="1"/>
    </xf>
    <xf numFmtId="3" fontId="53" fillId="25" borderId="21" xfId="132" applyNumberFormat="1" applyFont="1" applyFill="1" applyBorder="1" applyAlignment="1">
      <alignment horizontal="center" vertical="center" wrapText="1"/>
    </xf>
    <xf numFmtId="3" fontId="53" fillId="25" borderId="21" xfId="132" applyNumberFormat="1" applyFont="1" applyFill="1" applyBorder="1" applyAlignment="1">
      <alignment horizontal="center" vertical="center"/>
    </xf>
    <xf numFmtId="0" fontId="47" fillId="24" borderId="57" xfId="74" applyFont="1" applyFill="1" applyBorder="1" applyAlignment="1" applyProtection="1">
      <alignment horizontal="left" vertical="center"/>
    </xf>
    <xf numFmtId="0" fontId="47" fillId="24" borderId="67" xfId="74" applyFont="1" applyFill="1" applyBorder="1" applyAlignment="1" applyProtection="1">
      <alignment horizontal="left" vertical="center"/>
    </xf>
    <xf numFmtId="0" fontId="47" fillId="24" borderId="68" xfId="74" applyFont="1" applyFill="1" applyBorder="1" applyAlignment="1" applyProtection="1">
      <alignment horizontal="left" vertical="center"/>
    </xf>
    <xf numFmtId="0" fontId="43" fillId="0" borderId="19" xfId="80" applyFont="1" applyBorder="1" applyAlignment="1">
      <alignment horizontal="center" vertical="center" wrapText="1"/>
    </xf>
    <xf numFmtId="0" fontId="43" fillId="0" borderId="35" xfId="80" applyFont="1" applyBorder="1" applyAlignment="1">
      <alignment horizontal="center" vertical="center" wrapText="1"/>
    </xf>
    <xf numFmtId="3" fontId="53" fillId="25" borderId="34" xfId="132" applyNumberFormat="1" applyFont="1" applyFill="1" applyBorder="1" applyAlignment="1">
      <alignment horizontal="center" vertical="center" wrapText="1"/>
    </xf>
    <xf numFmtId="0" fontId="47" fillId="0" borderId="57" xfId="0" applyFont="1" applyFill="1" applyBorder="1" applyAlignment="1">
      <alignment horizontal="center" vertical="center" wrapText="1"/>
    </xf>
    <xf numFmtId="0" fontId="47" fillId="0" borderId="67" xfId="0" applyFont="1" applyFill="1" applyBorder="1" applyAlignment="1">
      <alignment horizontal="center" vertical="center" wrapText="1"/>
    </xf>
    <xf numFmtId="0" fontId="47" fillId="0" borderId="68" xfId="0" applyFont="1" applyFill="1" applyBorder="1" applyAlignment="1">
      <alignment horizontal="center" vertical="center" wrapText="1"/>
    </xf>
    <xf numFmtId="0" fontId="50" fillId="0" borderId="0" xfId="0" applyFont="1" applyFill="1" applyAlignment="1"/>
    <xf numFmtId="0" fontId="50" fillId="0" borderId="0" xfId="0" applyFont="1" applyFill="1"/>
    <xf numFmtId="0" fontId="60" fillId="0" borderId="0" xfId="0" applyFont="1" applyFill="1" applyBorder="1" applyAlignment="1">
      <alignment horizontal="right"/>
    </xf>
    <xf numFmtId="0" fontId="60" fillId="0" borderId="15" xfId="0" applyFont="1" applyFill="1" applyBorder="1" applyAlignment="1">
      <alignment horizontal="right"/>
    </xf>
    <xf numFmtId="0" fontId="60" fillId="0" borderId="17" xfId="0" applyFont="1" applyFill="1" applyBorder="1" applyAlignment="1">
      <alignment horizontal="right"/>
    </xf>
    <xf numFmtId="0" fontId="60" fillId="0" borderId="18" xfId="0" applyFont="1" applyFill="1" applyBorder="1" applyAlignment="1">
      <alignment horizontal="right"/>
    </xf>
    <xf numFmtId="0" fontId="59" fillId="0" borderId="16" xfId="0" applyFont="1" applyFill="1" applyBorder="1" applyAlignment="1">
      <alignment horizontal="left"/>
    </xf>
    <xf numFmtId="0" fontId="59" fillId="0" borderId="17" xfId="0" applyFont="1" applyFill="1" applyBorder="1" applyAlignment="1">
      <alignment horizontal="left"/>
    </xf>
    <xf numFmtId="0" fontId="54" fillId="0" borderId="33" xfId="0" applyFont="1" applyFill="1" applyBorder="1" applyAlignment="1">
      <alignment horizontal="left"/>
    </xf>
    <xf numFmtId="164" fontId="48" fillId="0" borderId="22" xfId="35" applyNumberFormat="1" applyFont="1" applyFill="1" applyBorder="1" applyAlignment="1">
      <alignment horizontal="center"/>
    </xf>
    <xf numFmtId="164" fontId="48" fillId="0" borderId="29" xfId="35" applyNumberFormat="1" applyFont="1" applyFill="1" applyBorder="1" applyAlignment="1">
      <alignment horizontal="center"/>
    </xf>
    <xf numFmtId="0" fontId="51" fillId="0" borderId="57" xfId="0" applyFont="1" applyFill="1" applyBorder="1" applyAlignment="1">
      <alignment horizontal="right"/>
    </xf>
    <xf numFmtId="0" fontId="51" fillId="0" borderId="67" xfId="0" applyFont="1" applyFill="1" applyBorder="1" applyAlignment="1">
      <alignment horizontal="right"/>
    </xf>
    <xf numFmtId="0" fontId="51" fillId="0" borderId="68" xfId="0" applyFont="1" applyFill="1" applyBorder="1" applyAlignment="1">
      <alignment horizontal="right"/>
    </xf>
    <xf numFmtId="0" fontId="51" fillId="24" borderId="72" xfId="0" applyFont="1" applyFill="1" applyBorder="1" applyAlignment="1">
      <alignment horizontal="center" wrapText="1"/>
    </xf>
    <xf numFmtId="0" fontId="51" fillId="24" borderId="20" xfId="0" applyFont="1" applyFill="1" applyBorder="1" applyAlignment="1">
      <alignment horizontal="center" wrapText="1"/>
    </xf>
    <xf numFmtId="2" fontId="48" fillId="0" borderId="22" xfId="0" applyNumberFormat="1" applyFont="1" applyFill="1" applyBorder="1" applyAlignment="1">
      <alignment horizontal="center" wrapText="1"/>
    </xf>
    <xf numFmtId="2" fontId="48" fillId="0" borderId="29" xfId="0" applyNumberFormat="1" applyFont="1" applyFill="1" applyBorder="1" applyAlignment="1">
      <alignment horizontal="center" wrapText="1"/>
    </xf>
    <xf numFmtId="0" fontId="47" fillId="24" borderId="57" xfId="0" applyFont="1" applyFill="1" applyBorder="1" applyAlignment="1">
      <alignment horizontal="right"/>
    </xf>
    <xf numFmtId="0" fontId="47" fillId="24" borderId="67" xfId="0" applyFont="1" applyFill="1" applyBorder="1" applyAlignment="1">
      <alignment horizontal="right"/>
    </xf>
    <xf numFmtId="0" fontId="47" fillId="24" borderId="68" xfId="0" applyFont="1" applyFill="1" applyBorder="1" applyAlignment="1">
      <alignment horizontal="right"/>
    </xf>
    <xf numFmtId="0" fontId="48" fillId="0" borderId="25" xfId="0" applyFont="1" applyFill="1" applyBorder="1" applyAlignment="1">
      <alignment horizontal="center"/>
    </xf>
    <xf numFmtId="0" fontId="48" fillId="0" borderId="37" xfId="0" applyFont="1" applyFill="1" applyBorder="1" applyAlignment="1">
      <alignment horizontal="center"/>
    </xf>
    <xf numFmtId="0" fontId="51" fillId="24" borderId="45" xfId="0" applyFont="1" applyFill="1" applyBorder="1" applyAlignment="1">
      <alignment horizontal="center"/>
    </xf>
    <xf numFmtId="0" fontId="51" fillId="24" borderId="19" xfId="0" applyFont="1" applyFill="1" applyBorder="1" applyAlignment="1">
      <alignment horizontal="center"/>
    </xf>
    <xf numFmtId="0" fontId="51" fillId="24" borderId="72" xfId="0" applyFont="1" applyFill="1" applyBorder="1" applyAlignment="1">
      <alignment horizontal="center"/>
    </xf>
    <xf numFmtId="0" fontId="51" fillId="24" borderId="20" xfId="0" applyFont="1" applyFill="1" applyBorder="1" applyAlignment="1">
      <alignment horizontal="center"/>
    </xf>
    <xf numFmtId="0" fontId="48" fillId="0" borderId="27" xfId="0" applyFont="1" applyFill="1" applyBorder="1" applyAlignment="1"/>
    <xf numFmtId="0" fontId="48" fillId="0" borderId="28" xfId="0" applyFont="1" applyFill="1" applyBorder="1" applyAlignment="1"/>
    <xf numFmtId="0" fontId="48" fillId="0" borderId="22" xfId="0" applyFont="1" applyFill="1" applyBorder="1" applyAlignment="1">
      <alignment horizontal="center"/>
    </xf>
    <xf numFmtId="0" fontId="48" fillId="0" borderId="29" xfId="0" applyFont="1" applyFill="1" applyBorder="1" applyAlignment="1">
      <alignment horizontal="center"/>
    </xf>
    <xf numFmtId="0" fontId="48" fillId="0" borderId="64" xfId="0" applyFont="1" applyFill="1" applyBorder="1" applyAlignment="1">
      <alignment horizontal="center"/>
    </xf>
    <xf numFmtId="0" fontId="48" fillId="0" borderId="65" xfId="0" applyFont="1" applyFill="1" applyBorder="1" applyAlignment="1">
      <alignment horizontal="center"/>
    </xf>
    <xf numFmtId="0" fontId="48" fillId="0" borderId="71" xfId="0" applyFont="1" applyFill="1" applyBorder="1" applyAlignment="1">
      <alignment horizontal="center"/>
    </xf>
    <xf numFmtId="0" fontId="48" fillId="0" borderId="27" xfId="0" applyFont="1" applyFill="1" applyBorder="1" applyAlignment="1">
      <alignment horizontal="center"/>
    </xf>
    <xf numFmtId="0" fontId="48" fillId="0" borderId="28" xfId="0" applyFont="1" applyFill="1" applyBorder="1" applyAlignment="1">
      <alignment horizontal="center"/>
    </xf>
    <xf numFmtId="0" fontId="48" fillId="0" borderId="60" xfId="0" applyFont="1" applyFill="1" applyBorder="1" applyAlignment="1">
      <alignment horizontal="center"/>
    </xf>
    <xf numFmtId="0" fontId="48" fillId="0" borderId="27" xfId="0" applyFont="1" applyFill="1" applyBorder="1" applyAlignment="1">
      <alignment horizontal="left"/>
    </xf>
    <xf numFmtId="0" fontId="48" fillId="0" borderId="28" xfId="0" applyFont="1" applyFill="1" applyBorder="1" applyAlignment="1">
      <alignment horizontal="left"/>
    </xf>
    <xf numFmtId="0" fontId="48" fillId="0" borderId="29" xfId="0" applyFont="1" applyFill="1" applyBorder="1" applyAlignment="1">
      <alignment horizontal="left"/>
    </xf>
    <xf numFmtId="164" fontId="48" fillId="0" borderId="22" xfId="0" applyNumberFormat="1" applyFont="1" applyFill="1" applyBorder="1" applyAlignment="1">
      <alignment horizontal="center"/>
    </xf>
    <xf numFmtId="164" fontId="48" fillId="0" borderId="29" xfId="0" applyNumberFormat="1" applyFont="1" applyFill="1" applyBorder="1" applyAlignment="1">
      <alignment horizontal="center"/>
    </xf>
    <xf numFmtId="0" fontId="51" fillId="24" borderId="77" xfId="0" applyFont="1" applyFill="1" applyBorder="1" applyAlignment="1">
      <alignment horizontal="center"/>
    </xf>
    <xf numFmtId="0" fontId="51" fillId="24" borderId="76" xfId="0" applyFont="1" applyFill="1" applyBorder="1" applyAlignment="1">
      <alignment horizontal="center"/>
    </xf>
    <xf numFmtId="0" fontId="48" fillId="0" borderId="33" xfId="0" applyFont="1" applyFill="1" applyBorder="1" applyAlignment="1">
      <alignment horizontal="left"/>
    </xf>
    <xf numFmtId="185" fontId="48" fillId="0" borderId="33" xfId="0" applyNumberFormat="1" applyFont="1" applyFill="1" applyBorder="1" applyAlignment="1">
      <alignment horizontal="left"/>
    </xf>
    <xf numFmtId="0" fontId="54" fillId="0" borderId="0" xfId="0" applyFont="1" applyFill="1" applyBorder="1" applyAlignment="1">
      <alignment horizontal="center"/>
    </xf>
    <xf numFmtId="0" fontId="54" fillId="0" borderId="15" xfId="0" applyFont="1" applyFill="1" applyBorder="1" applyAlignment="1">
      <alignment horizontal="center"/>
    </xf>
    <xf numFmtId="0" fontId="51" fillId="0" borderId="11" xfId="0" applyFont="1" applyFill="1" applyBorder="1" applyAlignment="1" applyProtection="1">
      <alignment horizontal="center"/>
      <protection locked="0"/>
    </xf>
    <xf numFmtId="0" fontId="51" fillId="0" borderId="12" xfId="0" applyFont="1" applyFill="1" applyBorder="1" applyAlignment="1" applyProtection="1">
      <alignment horizontal="center"/>
      <protection locked="0"/>
    </xf>
    <xf numFmtId="0" fontId="51" fillId="0" borderId="13" xfId="0" applyFont="1" applyFill="1" applyBorder="1" applyAlignment="1" applyProtection="1">
      <alignment horizontal="center"/>
      <protection locked="0"/>
    </xf>
    <xf numFmtId="0" fontId="51" fillId="24" borderId="45" xfId="0" applyFont="1" applyFill="1" applyBorder="1" applyAlignment="1">
      <alignment horizontal="center" vertical="center"/>
    </xf>
    <xf numFmtId="0" fontId="51" fillId="24" borderId="35" xfId="0" applyFont="1" applyFill="1" applyBorder="1" applyAlignment="1">
      <alignment horizontal="center" vertical="center"/>
    </xf>
    <xf numFmtId="0" fontId="48" fillId="24" borderId="36" xfId="0" applyFont="1" applyFill="1" applyBorder="1" applyAlignment="1">
      <alignment horizontal="center" vertical="center"/>
    </xf>
    <xf numFmtId="0" fontId="48" fillId="24" borderId="61" xfId="0" applyFont="1" applyFill="1" applyBorder="1" applyAlignment="1">
      <alignment horizontal="center" vertical="center"/>
    </xf>
    <xf numFmtId="0" fontId="48" fillId="0" borderId="0" xfId="0" applyFont="1" applyFill="1" applyBorder="1" applyAlignment="1" applyProtection="1">
      <alignment horizontal="left" vertical="center" wrapText="1"/>
      <protection locked="0"/>
    </xf>
    <xf numFmtId="0" fontId="48" fillId="0" borderId="33" xfId="0" applyFont="1" applyFill="1" applyBorder="1" applyAlignment="1" applyProtection="1">
      <alignment horizontal="left" vertical="center" wrapText="1"/>
      <protection locked="0"/>
    </xf>
    <xf numFmtId="0" fontId="51" fillId="24" borderId="45" xfId="0" applyFont="1" applyFill="1" applyBorder="1" applyAlignment="1">
      <alignment horizontal="center" vertical="center" wrapText="1"/>
    </xf>
    <xf numFmtId="0" fontId="51" fillId="24" borderId="19" xfId="0" applyFont="1" applyFill="1" applyBorder="1" applyAlignment="1">
      <alignment horizontal="center" vertical="center" wrapText="1"/>
    </xf>
    <xf numFmtId="0" fontId="51" fillId="24" borderId="35" xfId="0" applyFont="1" applyFill="1" applyBorder="1" applyAlignment="1">
      <alignment horizontal="center" vertical="center" wrapText="1"/>
    </xf>
    <xf numFmtId="0" fontId="48" fillId="24" borderId="40" xfId="0" applyFont="1" applyFill="1" applyBorder="1" applyAlignment="1">
      <alignment horizontal="center" vertical="center"/>
    </xf>
    <xf numFmtId="0" fontId="51" fillId="0" borderId="11" xfId="0" applyFont="1" applyFill="1" applyBorder="1" applyAlignment="1">
      <alignment horizontal="left" vertical="center"/>
    </xf>
    <xf numFmtId="0" fontId="51" fillId="0" borderId="12" xfId="0" applyFont="1" applyFill="1" applyBorder="1" applyAlignment="1">
      <alignment horizontal="left" vertical="center"/>
    </xf>
    <xf numFmtId="0" fontId="51" fillId="0" borderId="13" xfId="0" applyFont="1" applyFill="1" applyBorder="1" applyAlignment="1">
      <alignment horizontal="left" vertical="center"/>
    </xf>
    <xf numFmtId="0" fontId="51" fillId="0" borderId="14" xfId="0" applyFont="1" applyFill="1" applyBorder="1" applyAlignment="1">
      <alignment horizontal="left" vertical="center"/>
    </xf>
    <xf numFmtId="0" fontId="51" fillId="0" borderId="0" xfId="0" applyFont="1" applyFill="1" applyBorder="1" applyAlignment="1">
      <alignment horizontal="left" vertical="center"/>
    </xf>
    <xf numFmtId="0" fontId="51" fillId="0" borderId="15" xfId="0" applyFont="1" applyFill="1" applyBorder="1" applyAlignment="1">
      <alignment horizontal="left" vertical="center"/>
    </xf>
    <xf numFmtId="0" fontId="51" fillId="0" borderId="16" xfId="0" applyFont="1" applyFill="1" applyBorder="1" applyAlignment="1">
      <alignment horizontal="left" vertical="center"/>
    </xf>
    <xf numFmtId="0" fontId="51" fillId="0" borderId="17" xfId="0" applyFont="1" applyFill="1" applyBorder="1" applyAlignment="1">
      <alignment horizontal="left" vertical="center"/>
    </xf>
    <xf numFmtId="0" fontId="51" fillId="0" borderId="18" xfId="0" applyFont="1" applyFill="1" applyBorder="1" applyAlignment="1">
      <alignment horizontal="left" vertical="center"/>
    </xf>
    <xf numFmtId="0" fontId="47" fillId="0" borderId="69" xfId="0" applyFont="1" applyFill="1" applyBorder="1" applyAlignment="1">
      <alignment horizontal="center" vertical="center" wrapText="1"/>
    </xf>
    <xf numFmtId="0" fontId="47" fillId="0" borderId="0" xfId="0" applyFont="1" applyFill="1" applyBorder="1" applyAlignment="1">
      <alignment horizontal="center" vertical="center" wrapText="1"/>
    </xf>
    <xf numFmtId="0" fontId="47" fillId="0" borderId="70" xfId="0" applyFont="1" applyFill="1" applyBorder="1" applyAlignment="1">
      <alignment horizontal="center" vertical="center" wrapText="1"/>
    </xf>
    <xf numFmtId="0" fontId="48" fillId="0" borderId="0" xfId="0" applyFont="1" applyFill="1" applyBorder="1" applyAlignment="1" applyProtection="1">
      <alignment horizontal="left"/>
      <protection locked="0"/>
    </xf>
    <xf numFmtId="0" fontId="56" fillId="0" borderId="78" xfId="33" applyFont="1" applyFill="1" applyBorder="1" applyAlignment="1" applyProtection="1">
      <alignment horizontal="center"/>
    </xf>
    <xf numFmtId="0" fontId="56" fillId="0" borderId="82" xfId="33" applyFont="1" applyFill="1" applyBorder="1" applyAlignment="1" applyProtection="1">
      <alignment horizontal="center"/>
    </xf>
    <xf numFmtId="0" fontId="57" fillId="0" borderId="83" xfId="0" applyFont="1" applyFill="1" applyBorder="1" applyAlignment="1">
      <alignment horizontal="center"/>
    </xf>
    <xf numFmtId="0" fontId="57" fillId="0" borderId="12" xfId="0" applyFont="1" applyFill="1" applyBorder="1" applyAlignment="1">
      <alignment horizontal="center"/>
    </xf>
    <xf numFmtId="0" fontId="57" fillId="0" borderId="42" xfId="0" applyFont="1" applyFill="1" applyBorder="1" applyAlignment="1">
      <alignment horizontal="center"/>
    </xf>
    <xf numFmtId="0" fontId="54" fillId="0" borderId="38" xfId="94" applyFont="1" applyFill="1" applyBorder="1" applyAlignment="1">
      <alignment horizontal="center" vertical="center"/>
    </xf>
    <xf numFmtId="0" fontId="54" fillId="0" borderId="21" xfId="94" applyFont="1" applyFill="1" applyBorder="1" applyAlignment="1">
      <alignment horizontal="center" vertical="center"/>
    </xf>
    <xf numFmtId="0" fontId="54" fillId="0" borderId="83" xfId="94" applyFont="1" applyFill="1" applyBorder="1" applyAlignment="1">
      <alignment horizontal="center" vertical="center"/>
    </xf>
    <xf numFmtId="0" fontId="54" fillId="0" borderId="12" xfId="94" applyFont="1" applyFill="1" applyBorder="1" applyAlignment="1">
      <alignment horizontal="center" vertical="center"/>
    </xf>
    <xf numFmtId="0" fontId="54" fillId="0" borderId="13" xfId="94" applyFont="1" applyFill="1" applyBorder="1" applyAlignment="1">
      <alignment horizontal="center" vertical="center"/>
    </xf>
    <xf numFmtId="0" fontId="54" fillId="0" borderId="77" xfId="94" applyFont="1" applyFill="1" applyBorder="1" applyAlignment="1">
      <alignment horizontal="center" vertical="center"/>
    </xf>
    <xf numFmtId="0" fontId="54" fillId="0" borderId="33" xfId="94" applyFont="1" applyFill="1" applyBorder="1" applyAlignment="1">
      <alignment horizontal="center" vertical="center"/>
    </xf>
    <xf numFmtId="0" fontId="54" fillId="0" borderId="62" xfId="94" applyFont="1" applyFill="1" applyBorder="1" applyAlignment="1">
      <alignment horizontal="center" vertical="center"/>
    </xf>
    <xf numFmtId="0" fontId="53" fillId="0" borderId="69" xfId="0" applyFont="1" applyFill="1" applyBorder="1" applyAlignment="1">
      <alignment horizontal="center"/>
    </xf>
    <xf numFmtId="0" fontId="53" fillId="0" borderId="0" xfId="0" applyFont="1" applyFill="1" applyBorder="1" applyAlignment="1">
      <alignment horizontal="center"/>
    </xf>
    <xf numFmtId="0" fontId="53" fillId="0" borderId="70" xfId="0" applyFont="1" applyFill="1" applyBorder="1" applyAlignment="1">
      <alignment horizontal="center"/>
    </xf>
    <xf numFmtId="0" fontId="51" fillId="0" borderId="69" xfId="0" applyFont="1" applyFill="1" applyBorder="1" applyAlignment="1">
      <alignment horizontal="center"/>
    </xf>
    <xf numFmtId="0" fontId="51" fillId="0" borderId="0" xfId="0" applyFont="1" applyFill="1" applyBorder="1" applyAlignment="1">
      <alignment horizontal="center"/>
    </xf>
    <xf numFmtId="0" fontId="51" fillId="0" borderId="70" xfId="0" applyFont="1" applyFill="1" applyBorder="1" applyAlignment="1">
      <alignment horizontal="center"/>
    </xf>
    <xf numFmtId="0" fontId="54" fillId="0" borderId="23" xfId="94" applyFont="1" applyFill="1" applyBorder="1" applyAlignment="1">
      <alignment horizontal="center" vertical="center"/>
    </xf>
    <xf numFmtId="0" fontId="54" fillId="0" borderId="34" xfId="0" applyFont="1" applyFill="1" applyBorder="1" applyAlignment="1">
      <alignment horizontal="center" vertical="center"/>
    </xf>
    <xf numFmtId="0" fontId="54" fillId="0" borderId="30" xfId="94" applyFont="1" applyFill="1" applyBorder="1" applyAlignment="1">
      <alignment horizontal="center" vertical="center"/>
    </xf>
    <xf numFmtId="0" fontId="54" fillId="0" borderId="65" xfId="94" applyFont="1" applyFill="1" applyBorder="1" applyAlignment="1">
      <alignment horizontal="center" vertical="center"/>
    </xf>
    <xf numFmtId="0" fontId="54" fillId="0" borderId="71" xfId="94" applyFont="1" applyFill="1" applyBorder="1" applyAlignment="1">
      <alignment horizontal="center" vertical="center"/>
    </xf>
    <xf numFmtId="0" fontId="54" fillId="0" borderId="77" xfId="0" applyFont="1" applyFill="1" applyBorder="1" applyAlignment="1">
      <alignment horizontal="center" vertical="center"/>
    </xf>
    <xf numFmtId="0" fontId="54" fillId="0" borderId="33" xfId="0" applyFont="1" applyFill="1" applyBorder="1" applyAlignment="1">
      <alignment horizontal="center" vertical="center"/>
    </xf>
    <xf numFmtId="0" fontId="54" fillId="0" borderId="62" xfId="0" applyFont="1" applyFill="1" applyBorder="1" applyAlignment="1">
      <alignment horizontal="center" vertical="center"/>
    </xf>
    <xf numFmtId="0" fontId="47" fillId="0" borderId="69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/>
    </xf>
    <xf numFmtId="0" fontId="47" fillId="0" borderId="70" xfId="0" applyFont="1" applyFill="1" applyBorder="1" applyAlignment="1">
      <alignment horizontal="center"/>
    </xf>
    <xf numFmtId="0" fontId="54" fillId="0" borderId="80" xfId="94" applyFont="1" applyFill="1" applyBorder="1" applyAlignment="1">
      <alignment horizontal="center" vertical="center"/>
    </xf>
    <xf numFmtId="0" fontId="54" fillId="0" borderId="56" xfId="94" applyFont="1" applyFill="1" applyBorder="1" applyAlignment="1">
      <alignment horizontal="center" vertical="center"/>
    </xf>
    <xf numFmtId="0" fontId="54" fillId="0" borderId="81" xfId="94" applyFont="1" applyFill="1" applyBorder="1" applyAlignment="1">
      <alignment horizontal="center" vertical="center"/>
    </xf>
    <xf numFmtId="0" fontId="48" fillId="0" borderId="22" xfId="0" applyFont="1" applyFill="1" applyBorder="1" applyAlignment="1"/>
    <xf numFmtId="0" fontId="48" fillId="0" borderId="29" xfId="0" applyFont="1" applyFill="1" applyBorder="1" applyAlignment="1"/>
    <xf numFmtId="0" fontId="48" fillId="0" borderId="25" xfId="0" applyFont="1" applyFill="1" applyBorder="1" applyAlignment="1"/>
    <xf numFmtId="0" fontId="48" fillId="0" borderId="37" xfId="0" applyFont="1" applyFill="1" applyBorder="1" applyAlignment="1"/>
    <xf numFmtId="0" fontId="48" fillId="0" borderId="36" xfId="0" applyFont="1" applyFill="1" applyBorder="1" applyAlignment="1"/>
    <xf numFmtId="0" fontId="48" fillId="0" borderId="40" xfId="0" applyFont="1" applyFill="1" applyBorder="1" applyAlignment="1"/>
    <xf numFmtId="0" fontId="51" fillId="24" borderId="19" xfId="0" applyFont="1" applyFill="1" applyBorder="1" applyAlignment="1">
      <alignment horizontal="center" vertical="center"/>
    </xf>
    <xf numFmtId="164" fontId="48" fillId="0" borderId="25" xfId="35" applyNumberFormat="1" applyFont="1" applyFill="1" applyBorder="1" applyAlignment="1">
      <alignment horizontal="center"/>
    </xf>
    <xf numFmtId="164" fontId="48" fillId="0" borderId="37" xfId="35" applyNumberFormat="1" applyFont="1" applyFill="1" applyBorder="1" applyAlignment="1">
      <alignment horizontal="center"/>
    </xf>
    <xf numFmtId="0" fontId="51" fillId="24" borderId="72" xfId="0" applyFont="1" applyFill="1" applyBorder="1" applyAlignment="1">
      <alignment horizontal="center" vertical="center" wrapText="1"/>
    </xf>
    <xf numFmtId="0" fontId="51" fillId="24" borderId="20" xfId="0" applyFont="1" applyFill="1" applyBorder="1" applyAlignment="1">
      <alignment horizontal="center" vertical="center" wrapText="1"/>
    </xf>
    <xf numFmtId="0" fontId="48" fillId="0" borderId="27" xfId="0" applyFont="1" applyFill="1" applyBorder="1" applyAlignment="1">
      <alignment horizontal="left" wrapText="1"/>
    </xf>
    <xf numFmtId="0" fontId="48" fillId="0" borderId="28" xfId="0" applyFont="1" applyFill="1" applyBorder="1" applyAlignment="1">
      <alignment horizontal="left" wrapText="1"/>
    </xf>
    <xf numFmtId="0" fontId="48" fillId="0" borderId="29" xfId="0" applyFont="1" applyFill="1" applyBorder="1" applyAlignment="1">
      <alignment horizontal="left" wrapText="1"/>
    </xf>
    <xf numFmtId="0" fontId="51" fillId="24" borderId="45" xfId="0" applyFont="1" applyFill="1" applyBorder="1" applyAlignment="1">
      <alignment horizontal="left"/>
    </xf>
    <xf numFmtId="0" fontId="51" fillId="24" borderId="19" xfId="0" applyFont="1" applyFill="1" applyBorder="1" applyAlignment="1">
      <alignment horizontal="left"/>
    </xf>
    <xf numFmtId="0" fontId="51" fillId="24" borderId="20" xfId="0" applyFont="1" applyFill="1" applyBorder="1" applyAlignment="1">
      <alignment horizontal="left"/>
    </xf>
    <xf numFmtId="2" fontId="48" fillId="0" borderId="22" xfId="0" applyNumberFormat="1" applyFont="1" applyFill="1" applyBorder="1" applyAlignment="1">
      <alignment horizontal="center"/>
    </xf>
    <xf numFmtId="2" fontId="48" fillId="0" borderId="29" xfId="0" applyNumberFormat="1" applyFont="1" applyFill="1" applyBorder="1" applyAlignment="1">
      <alignment horizontal="center"/>
    </xf>
    <xf numFmtId="165" fontId="48" fillId="0" borderId="22" xfId="35" applyNumberFormat="1" applyFont="1" applyFill="1" applyBorder="1" applyAlignment="1">
      <alignment horizontal="center"/>
    </xf>
    <xf numFmtId="165" fontId="48" fillId="0" borderId="29" xfId="35" applyNumberFormat="1" applyFont="1" applyFill="1" applyBorder="1" applyAlignment="1">
      <alignment horizontal="center"/>
    </xf>
    <xf numFmtId="165" fontId="48" fillId="0" borderId="25" xfId="35" applyNumberFormat="1" applyFont="1" applyFill="1" applyBorder="1" applyAlignment="1">
      <alignment horizontal="center"/>
    </xf>
    <xf numFmtId="165" fontId="48" fillId="0" borderId="37" xfId="35" applyNumberFormat="1" applyFont="1" applyFill="1" applyBorder="1" applyAlignment="1">
      <alignment horizontal="center"/>
    </xf>
    <xf numFmtId="0" fontId="51" fillId="24" borderId="45" xfId="0" applyFont="1" applyFill="1" applyBorder="1" applyAlignment="1">
      <alignment horizontal="center" wrapText="1"/>
    </xf>
    <xf numFmtId="0" fontId="51" fillId="24" borderId="19" xfId="0" applyFont="1" applyFill="1" applyBorder="1" applyAlignment="1">
      <alignment horizontal="center" wrapText="1"/>
    </xf>
    <xf numFmtId="164" fontId="48" fillId="0" borderId="25" xfId="0" applyNumberFormat="1" applyFont="1" applyFill="1" applyBorder="1" applyAlignment="1">
      <alignment horizontal="center"/>
    </xf>
    <xf numFmtId="164" fontId="48" fillId="0" borderId="37" xfId="0" applyNumberFormat="1" applyFont="1" applyFill="1" applyBorder="1" applyAlignment="1">
      <alignment horizontal="center"/>
    </xf>
    <xf numFmtId="2" fontId="48" fillId="0" borderId="25" xfId="0" applyNumberFormat="1" applyFont="1" applyFill="1" applyBorder="1" applyAlignment="1">
      <alignment horizontal="center"/>
    </xf>
    <xf numFmtId="2" fontId="48" fillId="0" borderId="37" xfId="0" applyNumberFormat="1" applyFont="1" applyFill="1" applyBorder="1" applyAlignment="1">
      <alignment horizontal="center"/>
    </xf>
    <xf numFmtId="0" fontId="48" fillId="0" borderId="36" xfId="0" applyFont="1" applyFill="1" applyBorder="1" applyAlignment="1">
      <alignment horizontal="center"/>
    </xf>
    <xf numFmtId="0" fontId="48" fillId="0" borderId="40" xfId="0" applyFont="1" applyFill="1" applyBorder="1" applyAlignment="1">
      <alignment horizontal="center"/>
    </xf>
    <xf numFmtId="0" fontId="51" fillId="24" borderId="35" xfId="0" applyFont="1" applyFill="1" applyBorder="1" applyAlignment="1">
      <alignment horizontal="center" wrapText="1"/>
    </xf>
    <xf numFmtId="0" fontId="51" fillId="24" borderId="35" xfId="0" applyFont="1" applyFill="1" applyBorder="1" applyAlignment="1">
      <alignment horizontal="center"/>
    </xf>
    <xf numFmtId="0" fontId="48" fillId="24" borderId="36" xfId="0" applyFont="1" applyFill="1" applyBorder="1" applyAlignment="1">
      <alignment horizontal="center"/>
    </xf>
    <xf numFmtId="0" fontId="48" fillId="24" borderId="61" xfId="0" applyFont="1" applyFill="1" applyBorder="1" applyAlignment="1">
      <alignment horizontal="center"/>
    </xf>
    <xf numFmtId="0" fontId="48" fillId="24" borderId="40" xfId="0" applyFont="1" applyFill="1" applyBorder="1" applyAlignment="1">
      <alignment horizontal="center"/>
    </xf>
    <xf numFmtId="0" fontId="51" fillId="24" borderId="72" xfId="0" applyFont="1" applyFill="1" applyBorder="1" applyAlignment="1">
      <alignment horizontal="center" vertical="center"/>
    </xf>
    <xf numFmtId="0" fontId="51" fillId="24" borderId="20" xfId="0" applyFont="1" applyFill="1" applyBorder="1" applyAlignment="1">
      <alignment horizontal="center" vertical="center"/>
    </xf>
    <xf numFmtId="2" fontId="48" fillId="0" borderId="77" xfId="0" applyNumberFormat="1" applyFont="1" applyFill="1" applyBorder="1" applyAlignment="1">
      <alignment horizontal="center" wrapText="1"/>
    </xf>
    <xf numFmtId="2" fontId="48" fillId="0" borderId="76" xfId="0" applyNumberFormat="1" applyFont="1" applyFill="1" applyBorder="1" applyAlignment="1">
      <alignment horizontal="center" wrapText="1"/>
    </xf>
    <xf numFmtId="171" fontId="48" fillId="0" borderId="22" xfId="35" applyFont="1" applyFill="1" applyBorder="1" applyAlignment="1">
      <alignment horizontal="center"/>
    </xf>
    <xf numFmtId="171" fontId="48" fillId="0" borderId="29" xfId="35" applyFont="1" applyFill="1" applyBorder="1" applyAlignment="1">
      <alignment horizontal="center"/>
    </xf>
    <xf numFmtId="4" fontId="13" fillId="0" borderId="22" xfId="0" applyNumberFormat="1" applyFont="1" applyFill="1" applyBorder="1" applyAlignment="1">
      <alignment horizontal="center"/>
    </xf>
    <xf numFmtId="4" fontId="13" fillId="0" borderId="29" xfId="0" applyNumberFormat="1" applyFont="1" applyFill="1" applyBorder="1" applyAlignment="1">
      <alignment horizontal="center"/>
    </xf>
    <xf numFmtId="0" fontId="48" fillId="0" borderId="27" xfId="0" applyNumberFormat="1" applyFont="1" applyFill="1" applyBorder="1" applyAlignment="1">
      <alignment horizontal="center" wrapText="1"/>
    </xf>
    <xf numFmtId="0" fontId="48" fillId="0" borderId="28" xfId="0" applyNumberFormat="1" applyFont="1" applyFill="1" applyBorder="1" applyAlignment="1">
      <alignment horizontal="center" wrapText="1"/>
    </xf>
    <xf numFmtId="0" fontId="48" fillId="0" borderId="29" xfId="0" applyNumberFormat="1" applyFont="1" applyFill="1" applyBorder="1" applyAlignment="1">
      <alignment horizontal="center" wrapText="1"/>
    </xf>
    <xf numFmtId="0" fontId="48" fillId="0" borderId="36" xfId="0" applyNumberFormat="1" applyFont="1" applyFill="1" applyBorder="1" applyAlignment="1">
      <alignment horizontal="center" wrapText="1"/>
    </xf>
    <xf numFmtId="0" fontId="48" fillId="0" borderId="40" xfId="0" applyNumberFormat="1" applyFont="1" applyFill="1" applyBorder="1" applyAlignment="1">
      <alignment horizontal="center" wrapText="1"/>
    </xf>
    <xf numFmtId="0" fontId="48" fillId="0" borderId="37" xfId="0" applyNumberFormat="1" applyFont="1" applyFill="1" applyBorder="1" applyAlignment="1">
      <alignment horizontal="center" wrapText="1"/>
    </xf>
    <xf numFmtId="0" fontId="48" fillId="24" borderId="36" xfId="0" applyFont="1" applyFill="1" applyBorder="1" applyAlignment="1">
      <alignment horizontal="center" vertical="center" wrapText="1"/>
    </xf>
    <xf numFmtId="0" fontId="48" fillId="24" borderId="40" xfId="0" applyFont="1" applyFill="1" applyBorder="1" applyAlignment="1">
      <alignment horizontal="center" vertical="center" wrapText="1"/>
    </xf>
    <xf numFmtId="0" fontId="48" fillId="24" borderId="61" xfId="0" applyFont="1" applyFill="1" applyBorder="1" applyAlignment="1">
      <alignment horizontal="center" vertical="center" wrapText="1"/>
    </xf>
  </cellXfs>
  <cellStyles count="142">
    <cellStyle name="20% - Énfasis1 2" xfId="1" xr:uid="{00000000-0005-0000-0000-000000000000}"/>
    <cellStyle name="20% - Énfasis2 2" xfId="2" xr:uid="{00000000-0005-0000-0000-000001000000}"/>
    <cellStyle name="20% - Énfasis3 2" xfId="3" xr:uid="{00000000-0005-0000-0000-000002000000}"/>
    <cellStyle name="20% - Énfasis4 2" xfId="4" xr:uid="{00000000-0005-0000-0000-000003000000}"/>
    <cellStyle name="20% - Énfasis5 2" xfId="5" xr:uid="{00000000-0005-0000-0000-000004000000}"/>
    <cellStyle name="20% - Énfasis6 2" xfId="6" xr:uid="{00000000-0005-0000-0000-000005000000}"/>
    <cellStyle name="40% - Énfasis1 2" xfId="7" xr:uid="{00000000-0005-0000-0000-000006000000}"/>
    <cellStyle name="40% - Énfasis2 2" xfId="8" xr:uid="{00000000-0005-0000-0000-000007000000}"/>
    <cellStyle name="40% - Énfasis3 2" xfId="9" xr:uid="{00000000-0005-0000-0000-000008000000}"/>
    <cellStyle name="40% - Énfasis4 2" xfId="10" xr:uid="{00000000-0005-0000-0000-000009000000}"/>
    <cellStyle name="40% - Énfasis5 2" xfId="11" xr:uid="{00000000-0005-0000-0000-00000A000000}"/>
    <cellStyle name="40% - Énfasis6 2" xfId="12" xr:uid="{00000000-0005-0000-0000-00000B000000}"/>
    <cellStyle name="60% - Énfasis1 2" xfId="13" xr:uid="{00000000-0005-0000-0000-00000C000000}"/>
    <cellStyle name="60% - Énfasis2 2" xfId="14" xr:uid="{00000000-0005-0000-0000-00000D000000}"/>
    <cellStyle name="60% - Énfasis3 2" xfId="15" xr:uid="{00000000-0005-0000-0000-00000E000000}"/>
    <cellStyle name="60% - Énfasis4 2" xfId="16" xr:uid="{00000000-0005-0000-0000-00000F000000}"/>
    <cellStyle name="60% - Énfasis5 2" xfId="17" xr:uid="{00000000-0005-0000-0000-000010000000}"/>
    <cellStyle name="60% - Énfasis6 2" xfId="18" xr:uid="{00000000-0005-0000-0000-000011000000}"/>
    <cellStyle name="Buena 2" xfId="19" xr:uid="{00000000-0005-0000-0000-000012000000}"/>
    <cellStyle name="Cálculo 2" xfId="20" xr:uid="{00000000-0005-0000-0000-000013000000}"/>
    <cellStyle name="Celda de comprobación 2" xfId="21" xr:uid="{00000000-0005-0000-0000-000014000000}"/>
    <cellStyle name="Celda vinculada 2" xfId="22" xr:uid="{00000000-0005-0000-0000-000015000000}"/>
    <cellStyle name="Encabezado 4 2" xfId="23" xr:uid="{00000000-0005-0000-0000-000016000000}"/>
    <cellStyle name="Énfasis1 2" xfId="24" xr:uid="{00000000-0005-0000-0000-000017000000}"/>
    <cellStyle name="Énfasis2 2" xfId="25" xr:uid="{00000000-0005-0000-0000-000018000000}"/>
    <cellStyle name="Énfasis3 2" xfId="26" xr:uid="{00000000-0005-0000-0000-000019000000}"/>
    <cellStyle name="Énfasis4 2" xfId="27" xr:uid="{00000000-0005-0000-0000-00001A000000}"/>
    <cellStyle name="Énfasis5 2" xfId="28" xr:uid="{00000000-0005-0000-0000-00001B000000}"/>
    <cellStyle name="Énfasis6 2" xfId="29" xr:uid="{00000000-0005-0000-0000-00001C000000}"/>
    <cellStyle name="Entrada 2" xfId="30" xr:uid="{00000000-0005-0000-0000-00001D000000}"/>
    <cellStyle name="Estilo 1" xfId="31" xr:uid="{00000000-0005-0000-0000-00001E000000}"/>
    <cellStyle name="Euro" xfId="32" xr:uid="{00000000-0005-0000-0000-00001F000000}"/>
    <cellStyle name="Hipervínculo" xfId="33" builtinId="8"/>
    <cellStyle name="Incorrecto 2" xfId="34" xr:uid="{00000000-0005-0000-0000-000021000000}"/>
    <cellStyle name="Millares" xfId="35" builtinId="3"/>
    <cellStyle name="Millares [0]" xfId="141" builtinId="6"/>
    <cellStyle name="Millares [2]" xfId="36" xr:uid="{00000000-0005-0000-0000-000024000000}"/>
    <cellStyle name="Millares 10" xfId="37" xr:uid="{00000000-0005-0000-0000-000025000000}"/>
    <cellStyle name="Millares 10 2" xfId="38" xr:uid="{00000000-0005-0000-0000-000026000000}"/>
    <cellStyle name="Millares 11" xfId="39" xr:uid="{00000000-0005-0000-0000-000027000000}"/>
    <cellStyle name="Millares 12" xfId="127" xr:uid="{00000000-0005-0000-0000-000028000000}"/>
    <cellStyle name="Millares 13" xfId="136" xr:uid="{00000000-0005-0000-0000-000029000000}"/>
    <cellStyle name="Millares 2" xfId="40" xr:uid="{00000000-0005-0000-0000-00002A000000}"/>
    <cellStyle name="Millares 2 2" xfId="41" xr:uid="{00000000-0005-0000-0000-00002B000000}"/>
    <cellStyle name="Millares 2 3" xfId="42" xr:uid="{00000000-0005-0000-0000-00002C000000}"/>
    <cellStyle name="Millares 2 5" xfId="43" xr:uid="{00000000-0005-0000-0000-00002D000000}"/>
    <cellStyle name="Millares 3" xfId="44" xr:uid="{00000000-0005-0000-0000-00002E000000}"/>
    <cellStyle name="Millares 3 2" xfId="45" xr:uid="{00000000-0005-0000-0000-00002F000000}"/>
    <cellStyle name="Millares 3 3" xfId="46" xr:uid="{00000000-0005-0000-0000-000030000000}"/>
    <cellStyle name="Millares 3 4" xfId="47" xr:uid="{00000000-0005-0000-0000-000031000000}"/>
    <cellStyle name="Millares 3 5" xfId="48" xr:uid="{00000000-0005-0000-0000-000032000000}"/>
    <cellStyle name="Millares 4" xfId="49" xr:uid="{00000000-0005-0000-0000-000033000000}"/>
    <cellStyle name="Millares 4 2" xfId="50" xr:uid="{00000000-0005-0000-0000-000034000000}"/>
    <cellStyle name="Millares 5" xfId="51" xr:uid="{00000000-0005-0000-0000-000035000000}"/>
    <cellStyle name="Millares 6" xfId="52" xr:uid="{00000000-0005-0000-0000-000036000000}"/>
    <cellStyle name="Millares 6 2" xfId="53" xr:uid="{00000000-0005-0000-0000-000037000000}"/>
    <cellStyle name="Millares 7" xfId="54" xr:uid="{00000000-0005-0000-0000-000038000000}"/>
    <cellStyle name="Millares 7 2" xfId="55" xr:uid="{00000000-0005-0000-0000-000039000000}"/>
    <cellStyle name="Millares 7 2 2" xfId="56" xr:uid="{00000000-0005-0000-0000-00003A000000}"/>
    <cellStyle name="Millares 8" xfId="57" xr:uid="{00000000-0005-0000-0000-00003B000000}"/>
    <cellStyle name="Millares 8 2" xfId="58" xr:uid="{00000000-0005-0000-0000-00003C000000}"/>
    <cellStyle name="Millares 9" xfId="59" xr:uid="{00000000-0005-0000-0000-00003D000000}"/>
    <cellStyle name="Millares 9 2" xfId="60" xr:uid="{00000000-0005-0000-0000-00003E000000}"/>
    <cellStyle name="Millares_FORMULARIO 4 - M-OFERENTE PPTA ECONOMICA" xfId="61" xr:uid="{00000000-0005-0000-0000-00003F000000}"/>
    <cellStyle name="Moneda" xfId="140" builtinId="4"/>
    <cellStyle name="Moneda 10 2" xfId="62" xr:uid="{00000000-0005-0000-0000-000041000000}"/>
    <cellStyle name="Moneda 2" xfId="63" xr:uid="{00000000-0005-0000-0000-000042000000}"/>
    <cellStyle name="Moneda 2 2" xfId="64" xr:uid="{00000000-0005-0000-0000-000043000000}"/>
    <cellStyle name="Moneda 2 2 2" xfId="65" xr:uid="{00000000-0005-0000-0000-000044000000}"/>
    <cellStyle name="Moneda 2 2 2 2" xfId="66" xr:uid="{00000000-0005-0000-0000-000045000000}"/>
    <cellStyle name="Moneda 2 2 2 2 2" xfId="131" xr:uid="{00000000-0005-0000-0000-000046000000}"/>
    <cellStyle name="Moneda 2 2 3" xfId="67" xr:uid="{00000000-0005-0000-0000-000047000000}"/>
    <cellStyle name="Moneda 2 2 4" xfId="68" xr:uid="{00000000-0005-0000-0000-000048000000}"/>
    <cellStyle name="Moneda 2 2 5" xfId="69" xr:uid="{00000000-0005-0000-0000-000049000000}"/>
    <cellStyle name="Moneda 2 3" xfId="70" xr:uid="{00000000-0005-0000-0000-00004A000000}"/>
    <cellStyle name="Moneda 3" xfId="71" xr:uid="{00000000-0005-0000-0000-00004B000000}"/>
    <cellStyle name="Neutral" xfId="72" builtinId="28" customBuiltin="1"/>
    <cellStyle name="Neutral 2" xfId="73" xr:uid="{00000000-0005-0000-0000-00004D000000}"/>
    <cellStyle name="Normal" xfId="0" builtinId="0"/>
    <cellStyle name="Normal 13 2" xfId="139" xr:uid="{00000000-0005-0000-0000-00004F000000}"/>
    <cellStyle name="Normal 2" xfId="74" xr:uid="{00000000-0005-0000-0000-000050000000}"/>
    <cellStyle name="Normal 2 10" xfId="75" xr:uid="{00000000-0005-0000-0000-000051000000}"/>
    <cellStyle name="Normal 2 10 2" xfId="76" xr:uid="{00000000-0005-0000-0000-000052000000}"/>
    <cellStyle name="Normal 2 10 2 2" xfId="137" xr:uid="{00000000-0005-0000-0000-000053000000}"/>
    <cellStyle name="Normal 2 10 3" xfId="128" xr:uid="{00000000-0005-0000-0000-000054000000}"/>
    <cellStyle name="Normal 2 11" xfId="77" xr:uid="{00000000-0005-0000-0000-000055000000}"/>
    <cellStyle name="Normal 2 12" xfId="78" xr:uid="{00000000-0005-0000-0000-000056000000}"/>
    <cellStyle name="Normal 2 13" xfId="79" xr:uid="{00000000-0005-0000-0000-000057000000}"/>
    <cellStyle name="Normal 2 2" xfId="80" xr:uid="{00000000-0005-0000-0000-000058000000}"/>
    <cellStyle name="Normal 2 3" xfId="81" xr:uid="{00000000-0005-0000-0000-000059000000}"/>
    <cellStyle name="Normal 2 4" xfId="82" xr:uid="{00000000-0005-0000-0000-00005A000000}"/>
    <cellStyle name="Normal 2 5" xfId="83" xr:uid="{00000000-0005-0000-0000-00005B000000}"/>
    <cellStyle name="Normal 2 6" xfId="84" xr:uid="{00000000-0005-0000-0000-00005C000000}"/>
    <cellStyle name="Normal 2 7" xfId="85" xr:uid="{00000000-0005-0000-0000-00005D000000}"/>
    <cellStyle name="Normal 2 8" xfId="86" xr:uid="{00000000-0005-0000-0000-00005E000000}"/>
    <cellStyle name="Normal 2 9" xfId="87" xr:uid="{00000000-0005-0000-0000-00005F000000}"/>
    <cellStyle name="Normal 2_APU NO PREVISTOS MTTO" xfId="88" xr:uid="{00000000-0005-0000-0000-000060000000}"/>
    <cellStyle name="Normal 29" xfId="89" xr:uid="{00000000-0005-0000-0000-000061000000}"/>
    <cellStyle name="Normal 3" xfId="90" xr:uid="{00000000-0005-0000-0000-000062000000}"/>
    <cellStyle name="Normal 3 11" xfId="132" xr:uid="{00000000-0005-0000-0000-000063000000}"/>
    <cellStyle name="Normal 3 2" xfId="91" xr:uid="{00000000-0005-0000-0000-000064000000}"/>
    <cellStyle name="Normal 3 2 2" xfId="130" xr:uid="{00000000-0005-0000-0000-000065000000}"/>
    <cellStyle name="Normal 4" xfId="92" xr:uid="{00000000-0005-0000-0000-000066000000}"/>
    <cellStyle name="Normal 4 2" xfId="93" xr:uid="{00000000-0005-0000-0000-000067000000}"/>
    <cellStyle name="Normal 5" xfId="135" xr:uid="{00000000-0005-0000-0000-000068000000}"/>
    <cellStyle name="Normal 9 2" xfId="134" xr:uid="{00000000-0005-0000-0000-000069000000}"/>
    <cellStyle name="Normal_modelo ACTA OBRA y MODIFICACION" xfId="94" xr:uid="{00000000-0005-0000-0000-00006A000000}"/>
    <cellStyle name="Normal_PTO OFICIAL PREPLIEGO (CORREGIDO) 2" xfId="133" xr:uid="{00000000-0005-0000-0000-00006B000000}"/>
    <cellStyle name="Notas" xfId="138" builtinId="10"/>
    <cellStyle name="Notas 2" xfId="95" xr:uid="{00000000-0005-0000-0000-00006D000000}"/>
    <cellStyle name="Porcentaje" xfId="97" builtinId="5"/>
    <cellStyle name="Porcentaje 3" xfId="96" xr:uid="{00000000-0005-0000-0000-00006F000000}"/>
    <cellStyle name="Porcentual 2" xfId="98" xr:uid="{00000000-0005-0000-0000-000070000000}"/>
    <cellStyle name="Porcentual 2 10" xfId="99" xr:uid="{00000000-0005-0000-0000-000071000000}"/>
    <cellStyle name="Porcentual 2 10 2" xfId="100" xr:uid="{00000000-0005-0000-0000-000072000000}"/>
    <cellStyle name="Porcentual 2 11" xfId="101" xr:uid="{00000000-0005-0000-0000-000073000000}"/>
    <cellStyle name="Porcentual 2 12" xfId="102" xr:uid="{00000000-0005-0000-0000-000074000000}"/>
    <cellStyle name="Porcentual 2 2" xfId="103" xr:uid="{00000000-0005-0000-0000-000075000000}"/>
    <cellStyle name="Porcentual 2 3" xfId="104" xr:uid="{00000000-0005-0000-0000-000076000000}"/>
    <cellStyle name="Porcentual 2 4" xfId="105" xr:uid="{00000000-0005-0000-0000-000077000000}"/>
    <cellStyle name="Porcentual 2 5" xfId="106" xr:uid="{00000000-0005-0000-0000-000078000000}"/>
    <cellStyle name="Porcentual 2 6" xfId="107" xr:uid="{00000000-0005-0000-0000-000079000000}"/>
    <cellStyle name="Porcentual 2 7" xfId="108" xr:uid="{00000000-0005-0000-0000-00007A000000}"/>
    <cellStyle name="Porcentual 2 8" xfId="109" xr:uid="{00000000-0005-0000-0000-00007B000000}"/>
    <cellStyle name="Porcentual 2 9" xfId="110" xr:uid="{00000000-0005-0000-0000-00007C000000}"/>
    <cellStyle name="Porcentual 3" xfId="111" xr:uid="{00000000-0005-0000-0000-00007D000000}"/>
    <cellStyle name="Porcentual 4" xfId="112" xr:uid="{00000000-0005-0000-0000-00007E000000}"/>
    <cellStyle name="Porcentual 4 2" xfId="113" xr:uid="{00000000-0005-0000-0000-00007F000000}"/>
    <cellStyle name="Porcentual 5" xfId="114" xr:uid="{00000000-0005-0000-0000-000080000000}"/>
    <cellStyle name="Porcentual 6" xfId="115" xr:uid="{00000000-0005-0000-0000-000081000000}"/>
    <cellStyle name="Porcentual 6 2" xfId="116" xr:uid="{00000000-0005-0000-0000-000082000000}"/>
    <cellStyle name="Porcentual 7" xfId="117" xr:uid="{00000000-0005-0000-0000-000083000000}"/>
    <cellStyle name="Porcentual 8" xfId="129" xr:uid="{00000000-0005-0000-0000-000084000000}"/>
    <cellStyle name="Salida 2" xfId="118" xr:uid="{00000000-0005-0000-0000-000085000000}"/>
    <cellStyle name="Texto de advertencia 2" xfId="119" xr:uid="{00000000-0005-0000-0000-000086000000}"/>
    <cellStyle name="Texto explicativo 2" xfId="120" xr:uid="{00000000-0005-0000-0000-000087000000}"/>
    <cellStyle name="Título 1 2" xfId="121" xr:uid="{00000000-0005-0000-0000-000088000000}"/>
    <cellStyle name="Título 2 2" xfId="122" xr:uid="{00000000-0005-0000-0000-000089000000}"/>
    <cellStyle name="Título 3 2" xfId="123" xr:uid="{00000000-0005-0000-0000-00008A000000}"/>
    <cellStyle name="Título 4" xfId="124" xr:uid="{00000000-0005-0000-0000-00008B000000}"/>
    <cellStyle name="Total" xfId="125" builtinId="25" customBuiltin="1"/>
    <cellStyle name="Total 2" xfId="126" xr:uid="{00000000-0005-0000-0000-00008D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1.xml"/><Relationship Id="rId39" Type="http://schemas.openxmlformats.org/officeDocument/2006/relationships/externalLink" Target="externalLinks/externalLink14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9.xml"/><Relationship Id="rId42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22.xml"/><Relationship Id="rId50" Type="http://schemas.openxmlformats.org/officeDocument/2006/relationships/externalLink" Target="externalLinks/externalLink25.xml"/><Relationship Id="rId55" Type="http://schemas.openxmlformats.org/officeDocument/2006/relationships/externalLink" Target="externalLinks/externalLink30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4.xml"/><Relationship Id="rId41" Type="http://schemas.openxmlformats.org/officeDocument/2006/relationships/externalLink" Target="externalLinks/externalLink16.xml"/><Relationship Id="rId54" Type="http://schemas.openxmlformats.org/officeDocument/2006/relationships/externalLink" Target="externalLinks/externalLink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7.xml"/><Relationship Id="rId37" Type="http://schemas.openxmlformats.org/officeDocument/2006/relationships/externalLink" Target="externalLinks/externalLink12.xml"/><Relationship Id="rId40" Type="http://schemas.openxmlformats.org/officeDocument/2006/relationships/externalLink" Target="externalLinks/externalLink15.xml"/><Relationship Id="rId45" Type="http://schemas.openxmlformats.org/officeDocument/2006/relationships/externalLink" Target="externalLinks/externalLink20.xml"/><Relationship Id="rId53" Type="http://schemas.openxmlformats.org/officeDocument/2006/relationships/externalLink" Target="externalLinks/externalLink28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3.xml"/><Relationship Id="rId36" Type="http://schemas.openxmlformats.org/officeDocument/2006/relationships/externalLink" Target="externalLinks/externalLink11.xml"/><Relationship Id="rId49" Type="http://schemas.openxmlformats.org/officeDocument/2006/relationships/externalLink" Target="externalLinks/externalLink24.xml"/><Relationship Id="rId57" Type="http://schemas.openxmlformats.org/officeDocument/2006/relationships/externalLink" Target="externalLinks/externalLink32.xml"/><Relationship Id="rId61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6.xml"/><Relationship Id="rId44" Type="http://schemas.openxmlformats.org/officeDocument/2006/relationships/externalLink" Target="externalLinks/externalLink19.xml"/><Relationship Id="rId52" Type="http://schemas.openxmlformats.org/officeDocument/2006/relationships/externalLink" Target="externalLinks/externalLink27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2.xml"/><Relationship Id="rId30" Type="http://schemas.openxmlformats.org/officeDocument/2006/relationships/externalLink" Target="externalLinks/externalLink5.xml"/><Relationship Id="rId35" Type="http://schemas.openxmlformats.org/officeDocument/2006/relationships/externalLink" Target="externalLinks/externalLink10.xml"/><Relationship Id="rId43" Type="http://schemas.openxmlformats.org/officeDocument/2006/relationships/externalLink" Target="externalLinks/externalLink18.xml"/><Relationship Id="rId48" Type="http://schemas.openxmlformats.org/officeDocument/2006/relationships/externalLink" Target="externalLinks/externalLink23.xml"/><Relationship Id="rId56" Type="http://schemas.openxmlformats.org/officeDocument/2006/relationships/externalLink" Target="externalLinks/externalLink3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6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8.xml"/><Relationship Id="rId38" Type="http://schemas.openxmlformats.org/officeDocument/2006/relationships/externalLink" Target="externalLinks/externalLink13.xml"/><Relationship Id="rId46" Type="http://schemas.openxmlformats.org/officeDocument/2006/relationships/externalLink" Target="externalLinks/externalLink21.xml"/><Relationship Id="rId5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15</xdr:row>
      <xdr:rowOff>0</xdr:rowOff>
    </xdr:from>
    <xdr:to>
      <xdr:col>7</xdr:col>
      <xdr:colOff>104775</xdr:colOff>
      <xdr:row>16</xdr:row>
      <xdr:rowOff>152400</xdr:rowOff>
    </xdr:to>
    <xdr:sp macro="" textlink="">
      <xdr:nvSpPr>
        <xdr:cNvPr id="2" name="Text Box 22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5724525" y="2466975"/>
          <a:ext cx="1047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84666</xdr:colOff>
      <xdr:row>1</xdr:row>
      <xdr:rowOff>21167</xdr:rowOff>
    </xdr:from>
    <xdr:to>
      <xdr:col>0</xdr:col>
      <xdr:colOff>717126</xdr:colOff>
      <xdr:row>5</xdr:row>
      <xdr:rowOff>44450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666" y="183092"/>
          <a:ext cx="632460" cy="6614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2000250</xdr:colOff>
      <xdr:row>2</xdr:row>
      <xdr:rowOff>123825</xdr:rowOff>
    </xdr:from>
    <xdr:to>
      <xdr:col>8</xdr:col>
      <xdr:colOff>2905125</xdr:colOff>
      <xdr:row>5</xdr:row>
      <xdr:rowOff>0</xdr:rowOff>
    </xdr:to>
    <xdr:pic>
      <xdr:nvPicPr>
        <xdr:cNvPr id="3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791700" y="333375"/>
          <a:ext cx="0" cy="723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55066</xdr:colOff>
      <xdr:row>2</xdr:row>
      <xdr:rowOff>40732</xdr:rowOff>
    </xdr:from>
    <xdr:to>
      <xdr:col>3</xdr:col>
      <xdr:colOff>392527</xdr:colOff>
      <xdr:row>5</xdr:row>
      <xdr:rowOff>21167</xdr:rowOff>
    </xdr:to>
    <xdr:pic>
      <xdr:nvPicPr>
        <xdr:cNvPr id="4" name="4 Imagen" descr="Invias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0733" y="495815"/>
          <a:ext cx="676127" cy="615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1409953</xdr:colOff>
      <xdr:row>2</xdr:row>
      <xdr:rowOff>21167</xdr:rowOff>
    </xdr:from>
    <xdr:to>
      <xdr:col>10</xdr:col>
      <xdr:colOff>1952714</xdr:colOff>
      <xdr:row>4</xdr:row>
      <xdr:rowOff>128243</xdr:rowOff>
    </xdr:to>
    <xdr:pic>
      <xdr:nvPicPr>
        <xdr:cNvPr id="5" name="Imagen 1" descr="http://www.presidencia.gov.co/prensa_new/historia/escudo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242120" y="476250"/>
          <a:ext cx="542761" cy="5304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84666</xdr:colOff>
      <xdr:row>2</xdr:row>
      <xdr:rowOff>21167</xdr:rowOff>
    </xdr:from>
    <xdr:to>
      <xdr:col>1</xdr:col>
      <xdr:colOff>717126</xdr:colOff>
      <xdr:row>6</xdr:row>
      <xdr:rowOff>12700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666" y="179917"/>
          <a:ext cx="632460" cy="6477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6</xdr:row>
      <xdr:rowOff>66675</xdr:rowOff>
    </xdr:to>
    <xdr:pic>
      <xdr:nvPicPr>
        <xdr:cNvPr id="90639" name="Picture 227" descr="Invias">
          <a:extLst>
            <a:ext uri="{FF2B5EF4-FFF2-40B4-BE49-F238E27FC236}">
              <a16:creationId xmlns:a16="http://schemas.microsoft.com/office/drawing/2014/main" id="{00000000-0008-0000-0600-00000F62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685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6</xdr:row>
      <xdr:rowOff>85725</xdr:rowOff>
    </xdr:to>
    <xdr:pic>
      <xdr:nvPicPr>
        <xdr:cNvPr id="8704" name="Picture 227" descr="Invias">
          <a:extLst>
            <a:ext uri="{FF2B5EF4-FFF2-40B4-BE49-F238E27FC236}">
              <a16:creationId xmlns:a16="http://schemas.microsoft.com/office/drawing/2014/main" id="{00000000-0008-0000-0700-00000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704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6</xdr:row>
      <xdr:rowOff>95250</xdr:rowOff>
    </xdr:to>
    <xdr:pic>
      <xdr:nvPicPr>
        <xdr:cNvPr id="24052" name="Picture 227" descr="Invias">
          <a:extLst>
            <a:ext uri="{FF2B5EF4-FFF2-40B4-BE49-F238E27FC236}">
              <a16:creationId xmlns:a16="http://schemas.microsoft.com/office/drawing/2014/main" id="{00000000-0008-0000-0800-0000F45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714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6</xdr:row>
      <xdr:rowOff>114300</xdr:rowOff>
    </xdr:to>
    <xdr:pic>
      <xdr:nvPicPr>
        <xdr:cNvPr id="16884" name="Picture 227" descr="Invias">
          <a:extLst>
            <a:ext uri="{FF2B5EF4-FFF2-40B4-BE49-F238E27FC236}">
              <a16:creationId xmlns:a16="http://schemas.microsoft.com/office/drawing/2014/main" id="{00000000-0008-0000-0900-0000F44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</xdr:row>
      <xdr:rowOff>9525</xdr:rowOff>
    </xdr:from>
    <xdr:to>
      <xdr:col>1</xdr:col>
      <xdr:colOff>704850</xdr:colOff>
      <xdr:row>6</xdr:row>
      <xdr:rowOff>95250</xdr:rowOff>
    </xdr:to>
    <xdr:pic>
      <xdr:nvPicPr>
        <xdr:cNvPr id="58868" name="Picture 227" descr="Invias">
          <a:extLst>
            <a:ext uri="{FF2B5EF4-FFF2-40B4-BE49-F238E27FC236}">
              <a16:creationId xmlns:a16="http://schemas.microsoft.com/office/drawing/2014/main" id="{00000000-0008-0000-0A00-0000F4E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342900"/>
          <a:ext cx="64770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6</xdr:row>
      <xdr:rowOff>152400</xdr:rowOff>
    </xdr:to>
    <xdr:pic>
      <xdr:nvPicPr>
        <xdr:cNvPr id="112116" name="Picture 227" descr="Invias">
          <a:extLst>
            <a:ext uri="{FF2B5EF4-FFF2-40B4-BE49-F238E27FC236}">
              <a16:creationId xmlns:a16="http://schemas.microsoft.com/office/drawing/2014/main" id="{00000000-0008-0000-0B00-0000F4B5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7</xdr:row>
      <xdr:rowOff>9525</xdr:rowOff>
    </xdr:to>
    <xdr:pic>
      <xdr:nvPicPr>
        <xdr:cNvPr id="10728" name="Picture 227" descr="Invias">
          <a:extLst>
            <a:ext uri="{FF2B5EF4-FFF2-40B4-BE49-F238E27FC236}">
              <a16:creationId xmlns:a16="http://schemas.microsoft.com/office/drawing/2014/main" id="{00000000-0008-0000-0C00-0000E82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1</xdr:row>
      <xdr:rowOff>38100</xdr:rowOff>
    </xdr:from>
    <xdr:to>
      <xdr:col>1</xdr:col>
      <xdr:colOff>723900</xdr:colOff>
      <xdr:row>7</xdr:row>
      <xdr:rowOff>30616</xdr:rowOff>
    </xdr:to>
    <xdr:pic>
      <xdr:nvPicPr>
        <xdr:cNvPr id="43496" name="Picture 227" descr="Invias">
          <a:extLst>
            <a:ext uri="{FF2B5EF4-FFF2-40B4-BE49-F238E27FC236}">
              <a16:creationId xmlns:a16="http://schemas.microsoft.com/office/drawing/2014/main" id="{00000000-0008-0000-0D00-0000E8A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7174" y="209550"/>
          <a:ext cx="676276" cy="98311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7</xdr:row>
      <xdr:rowOff>47625</xdr:rowOff>
    </xdr:to>
    <xdr:pic>
      <xdr:nvPicPr>
        <xdr:cNvPr id="23010" name="Picture 227" descr="Invias">
          <a:extLst>
            <a:ext uri="{FF2B5EF4-FFF2-40B4-BE49-F238E27FC236}">
              <a16:creationId xmlns:a16="http://schemas.microsoft.com/office/drawing/2014/main" id="{00000000-0008-0000-0E00-0000E25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47625</xdr:rowOff>
    </xdr:from>
    <xdr:to>
      <xdr:col>1</xdr:col>
      <xdr:colOff>733425</xdr:colOff>
      <xdr:row>7</xdr:row>
      <xdr:rowOff>66675</xdr:rowOff>
    </xdr:to>
    <xdr:pic>
      <xdr:nvPicPr>
        <xdr:cNvPr id="113122" name="Picture 227" descr="Invias">
          <a:extLst>
            <a:ext uri="{FF2B5EF4-FFF2-40B4-BE49-F238E27FC236}">
              <a16:creationId xmlns:a16="http://schemas.microsoft.com/office/drawing/2014/main" id="{00000000-0008-0000-0F00-0000E2B9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209550"/>
          <a:ext cx="6572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104773</xdr:colOff>
      <xdr:row>1</xdr:row>
      <xdr:rowOff>104775</xdr:rowOff>
    </xdr:from>
    <xdr:to>
      <xdr:col>1</xdr:col>
      <xdr:colOff>742950</xdr:colOff>
      <xdr:row>6</xdr:row>
      <xdr:rowOff>152400</xdr:rowOff>
    </xdr:to>
    <xdr:pic>
      <xdr:nvPicPr>
        <xdr:cNvPr id="4" name="Picture 227" descr="Invias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3" y="276225"/>
          <a:ext cx="63817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47625</xdr:rowOff>
    </xdr:from>
    <xdr:to>
      <xdr:col>1</xdr:col>
      <xdr:colOff>733425</xdr:colOff>
      <xdr:row>6</xdr:row>
      <xdr:rowOff>66675</xdr:rowOff>
    </xdr:to>
    <xdr:pic>
      <xdr:nvPicPr>
        <xdr:cNvPr id="6" name="Picture 227" descr="Invias">
          <a:extLst>
            <a:ext uri="{FF2B5EF4-FFF2-40B4-BE49-F238E27FC236}">
              <a16:creationId xmlns:a16="http://schemas.microsoft.com/office/drawing/2014/main" id="{00000000-0008-0000-1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4" y="219075"/>
          <a:ext cx="666751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114299</xdr:colOff>
      <xdr:row>1</xdr:row>
      <xdr:rowOff>104775</xdr:rowOff>
    </xdr:from>
    <xdr:to>
      <xdr:col>1</xdr:col>
      <xdr:colOff>695324</xdr:colOff>
      <xdr:row>6</xdr:row>
      <xdr:rowOff>123825</xdr:rowOff>
    </xdr:to>
    <xdr:pic>
      <xdr:nvPicPr>
        <xdr:cNvPr id="6" name="Picture 227" descr="Invias">
          <a:extLst>
            <a:ext uri="{FF2B5EF4-FFF2-40B4-BE49-F238E27FC236}">
              <a16:creationId xmlns:a16="http://schemas.microsoft.com/office/drawing/2014/main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49" y="276225"/>
          <a:ext cx="5810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123468</xdr:colOff>
      <xdr:row>2</xdr:row>
      <xdr:rowOff>85724</xdr:rowOff>
    </xdr:from>
    <xdr:to>
      <xdr:col>1</xdr:col>
      <xdr:colOff>695324</xdr:colOff>
      <xdr:row>6</xdr:row>
      <xdr:rowOff>42181</xdr:rowOff>
    </xdr:to>
    <xdr:pic>
      <xdr:nvPicPr>
        <xdr:cNvPr id="6" name="Picture 227" descr="Invias">
          <a:extLst>
            <a:ext uri="{FF2B5EF4-FFF2-40B4-BE49-F238E27FC236}">
              <a16:creationId xmlns:a16="http://schemas.microsoft.com/office/drawing/2014/main" id="{00000000-0008-0000-1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018" y="419099"/>
          <a:ext cx="571856" cy="6232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142875</xdr:rowOff>
    </xdr:from>
    <xdr:to>
      <xdr:col>1</xdr:col>
      <xdr:colOff>685800</xdr:colOff>
      <xdr:row>7</xdr:row>
      <xdr:rowOff>0</xdr:rowOff>
    </xdr:to>
    <xdr:pic>
      <xdr:nvPicPr>
        <xdr:cNvPr id="6" name="Picture 227" descr="Invias">
          <a:extLst>
            <a:ext uri="{FF2B5EF4-FFF2-40B4-BE49-F238E27FC236}">
              <a16:creationId xmlns:a16="http://schemas.microsoft.com/office/drawing/2014/main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314325"/>
          <a:ext cx="62865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76200</xdr:rowOff>
    </xdr:from>
    <xdr:to>
      <xdr:col>1</xdr:col>
      <xdr:colOff>704850</xdr:colOff>
      <xdr:row>6</xdr:row>
      <xdr:rowOff>95250</xdr:rowOff>
    </xdr:to>
    <xdr:pic>
      <xdr:nvPicPr>
        <xdr:cNvPr id="7" name="Picture 227" descr="Invias">
          <a:extLst>
            <a:ext uri="{FF2B5EF4-FFF2-40B4-BE49-F238E27FC236}">
              <a16:creationId xmlns:a16="http://schemas.microsoft.com/office/drawing/2014/main" id="{00000000-0008-0000-1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247650"/>
          <a:ext cx="51435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133350</xdr:rowOff>
    </xdr:from>
    <xdr:to>
      <xdr:col>1</xdr:col>
      <xdr:colOff>714375</xdr:colOff>
      <xdr:row>6</xdr:row>
      <xdr:rowOff>152400</xdr:rowOff>
    </xdr:to>
    <xdr:pic>
      <xdr:nvPicPr>
        <xdr:cNvPr id="7" name="Picture 227" descr="Invias">
          <a:extLst>
            <a:ext uri="{FF2B5EF4-FFF2-40B4-BE49-F238E27FC236}">
              <a16:creationId xmlns:a16="http://schemas.microsoft.com/office/drawing/2014/main" id="{00000000-0008-0000-16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304800"/>
          <a:ext cx="5715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142875</xdr:rowOff>
    </xdr:from>
    <xdr:to>
      <xdr:col>1</xdr:col>
      <xdr:colOff>714375</xdr:colOff>
      <xdr:row>7</xdr:row>
      <xdr:rowOff>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314325"/>
          <a:ext cx="657225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1</xdr:row>
      <xdr:rowOff>133350</xdr:rowOff>
    </xdr:from>
    <xdr:to>
      <xdr:col>1</xdr:col>
      <xdr:colOff>714375</xdr:colOff>
      <xdr:row>6</xdr:row>
      <xdr:rowOff>152400</xdr:rowOff>
    </xdr:to>
    <xdr:pic>
      <xdr:nvPicPr>
        <xdr:cNvPr id="2" name="Picture 227" descr="Invias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304800"/>
          <a:ext cx="571500" cy="847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Pedro%20Garcia%20Realpe\Mis%20documentos\AMV_G1_2006_TUMACO\Informes\Trimestre%20No.%201_Jul_Sept_06_Tumaco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%20%20aaInformaci&#243;n%20GRUPO%204\A%20MInformes%20Mensuales\Informe%20de%20estado%20vial%20ene\aCCIDENTES%20DE%201995%20-%201996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Administrador\Desktop\AMV03NARI&#209;O%20ACTUAL\PRESUPUESTOS\Ruta%201702\PRESENTACI&#211;N%20BOGOT&#193;_RUTA%201702_26%20MARZO%202012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rgeF\Documents\amv%20grupo%203%20boyaca%202009\PRECIOS%20UNITARIOS\corregidos\2011\LICITACIONES%20AGOSTO%202011\apus%20boyaca%20VIA%20chiquinquira%20-%20TUNJA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OSTOS UNITARIOS"/>
      <sheetName val="CA-2909"/>
      <sheetName val="TRAYECTO 1"/>
      <sheetName val="CABG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APU´s"/>
      <sheetName val="Información"/>
      <sheetName val="TORTA EST"/>
    </sheetNames>
    <sheetDataSet>
      <sheetData sheetId="0">
        <row r="2">
          <cell r="A2">
            <v>0</v>
          </cell>
        </row>
      </sheetData>
      <sheetData sheetId="1">
        <row r="2">
          <cell r="B2">
            <v>100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/>
      <sheetData sheetId="103"/>
      <sheetData sheetId="104"/>
      <sheetData sheetId="105"/>
      <sheetData sheetId="106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/>
      <sheetData sheetId="110"/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/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/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/>
      <sheetData sheetId="137">
        <row r="5">
          <cell r="B5" t="str">
            <v>T1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CONT_ADI"/>
      <sheetName val="Datos"/>
      <sheetName val="\a  aaInformación GRUPO 4\A MIn"/>
      <sheetName val="aCCIDENTES%20DE%201995%20-%2019"/>
      <sheetName val="aCCIDENTES DE 1995 - 1996.xls"/>
      <sheetName val="ACTA DE MODIFICACION  (2)"/>
      <sheetName val="INDICMICROEMP"/>
      <sheetName val="items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TRAYECTO 1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Reprograma 4"/>
      <sheetName val="ITEMS"/>
      <sheetName val="PRECIOS"/>
      <sheetName val="Desmonte y Limpieza"/>
      <sheetName val="MC SF GAVIONES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items"/>
      <sheetName val="A-HOR"/>
      <sheetName val="ESTADO RED TEC"/>
      <sheetName val="PR 1"/>
      <sheetName val="Hoja1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>
        <row r="6">
          <cell r="A6" t="str">
            <v>UNIDAD ADMINISTRATIVA ESPECIAL DE LA AERONAUTICA CIVIL</v>
          </cell>
        </row>
      </sheetData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view="pageBreakPreview" topLeftCell="A13" zoomScale="90" zoomScaleNormal="100" zoomScaleSheetLayoutView="90" workbookViewId="0">
      <selection activeCell="G33" sqref="G33"/>
    </sheetView>
  </sheetViews>
  <sheetFormatPr baseColWidth="10" defaultRowHeight="12.75"/>
  <cols>
    <col min="1" max="4" width="11.42578125" style="2"/>
    <col min="5" max="5" width="16" style="2" bestFit="1" customWidth="1"/>
    <col min="6" max="6" width="11.42578125" style="2"/>
    <col min="7" max="7" width="18.42578125" style="2" bestFit="1" customWidth="1"/>
    <col min="8" max="8" width="16.7109375" style="2" customWidth="1"/>
    <col min="9" max="9" width="11.42578125" style="2"/>
    <col min="10" max="10" width="11.7109375" style="2" bestFit="1" customWidth="1"/>
    <col min="11" max="12" width="11.42578125" style="2"/>
    <col min="13" max="13" width="13.85546875" style="2" bestFit="1" customWidth="1"/>
    <col min="14" max="16384" width="11.42578125" style="2"/>
  </cols>
  <sheetData>
    <row r="1" spans="1:13">
      <c r="A1" s="417"/>
      <c r="B1" s="419" t="s">
        <v>181</v>
      </c>
      <c r="C1" s="420"/>
      <c r="D1" s="420"/>
      <c r="E1" s="420"/>
      <c r="F1" s="420"/>
      <c r="G1" s="420"/>
      <c r="H1" s="420"/>
      <c r="I1" s="421"/>
      <c r="J1" s="422" t="s">
        <v>182</v>
      </c>
      <c r="K1" s="424" t="s">
        <v>183</v>
      </c>
      <c r="L1" s="425"/>
      <c r="M1" s="426"/>
    </row>
    <row r="2" spans="1:13">
      <c r="A2" s="418"/>
      <c r="B2" s="430" t="s">
        <v>96</v>
      </c>
      <c r="C2" s="431"/>
      <c r="D2" s="431"/>
      <c r="E2" s="431"/>
      <c r="F2" s="431"/>
      <c r="G2" s="431"/>
      <c r="H2" s="431"/>
      <c r="I2" s="432"/>
      <c r="J2" s="423"/>
      <c r="K2" s="427"/>
      <c r="L2" s="428"/>
      <c r="M2" s="429"/>
    </row>
    <row r="3" spans="1:13">
      <c r="A3" s="418"/>
      <c r="B3" s="433" t="s">
        <v>241</v>
      </c>
      <c r="C3" s="434"/>
      <c r="D3" s="434"/>
      <c r="E3" s="434"/>
      <c r="F3" s="434"/>
      <c r="G3" s="434"/>
      <c r="H3" s="434"/>
      <c r="I3" s="435"/>
      <c r="J3" s="436" t="s">
        <v>184</v>
      </c>
      <c r="K3" s="438">
        <v>2</v>
      </c>
      <c r="L3" s="439"/>
      <c r="M3" s="440"/>
    </row>
    <row r="4" spans="1:13">
      <c r="A4" s="418"/>
      <c r="B4" s="444" t="s">
        <v>185</v>
      </c>
      <c r="C4" s="445"/>
      <c r="D4" s="445"/>
      <c r="E4" s="445"/>
      <c r="F4" s="445"/>
      <c r="G4" s="445"/>
      <c r="H4" s="445"/>
      <c r="I4" s="446"/>
      <c r="J4" s="437"/>
      <c r="K4" s="441"/>
      <c r="L4" s="442"/>
      <c r="M4" s="443"/>
    </row>
    <row r="5" spans="1:13" ht="12" customHeight="1">
      <c r="A5" s="418"/>
      <c r="B5" s="447" t="s">
        <v>242</v>
      </c>
      <c r="C5" s="448"/>
      <c r="D5" s="448"/>
      <c r="E5" s="448"/>
      <c r="F5" s="448"/>
      <c r="G5" s="448"/>
      <c r="H5" s="448"/>
      <c r="I5" s="449"/>
      <c r="J5" s="436" t="s">
        <v>186</v>
      </c>
      <c r="K5" s="436">
        <v>1</v>
      </c>
      <c r="L5" s="436" t="s">
        <v>187</v>
      </c>
      <c r="M5" s="453">
        <v>1</v>
      </c>
    </row>
    <row r="6" spans="1:13" ht="12" customHeight="1">
      <c r="A6" s="418"/>
      <c r="B6" s="450"/>
      <c r="C6" s="448"/>
      <c r="D6" s="448"/>
      <c r="E6" s="448"/>
      <c r="F6" s="448"/>
      <c r="G6" s="448"/>
      <c r="H6" s="448"/>
      <c r="I6" s="449"/>
      <c r="J6" s="452"/>
      <c r="K6" s="452"/>
      <c r="L6" s="452"/>
      <c r="M6" s="454"/>
    </row>
    <row r="7" spans="1:13">
      <c r="A7" s="418"/>
      <c r="B7" s="444" t="s">
        <v>188</v>
      </c>
      <c r="C7" s="445"/>
      <c r="D7" s="445"/>
      <c r="E7" s="445"/>
      <c r="F7" s="445"/>
      <c r="G7" s="445"/>
      <c r="H7" s="445"/>
      <c r="I7" s="446"/>
      <c r="J7" s="452"/>
      <c r="K7" s="452"/>
      <c r="L7" s="452"/>
      <c r="M7" s="454"/>
    </row>
    <row r="8" spans="1:13" ht="13.5" thickBot="1">
      <c r="A8" s="3"/>
      <c r="B8" s="4"/>
      <c r="C8" s="4"/>
      <c r="D8" s="4"/>
      <c r="E8" s="4"/>
      <c r="F8" s="4"/>
      <c r="G8" s="4"/>
      <c r="H8" s="4"/>
      <c r="I8" s="4"/>
      <c r="J8" s="4"/>
      <c r="K8" s="5"/>
      <c r="L8" s="5"/>
      <c r="M8" s="6"/>
    </row>
    <row r="9" spans="1:13">
      <c r="A9" s="7"/>
      <c r="B9" s="8"/>
      <c r="C9" s="8"/>
      <c r="D9" s="8"/>
      <c r="E9" s="8"/>
      <c r="F9" s="8"/>
      <c r="G9" s="8"/>
      <c r="H9" s="8"/>
      <c r="I9" s="8"/>
      <c r="J9" s="9" t="s">
        <v>189</v>
      </c>
      <c r="K9" s="10" t="s">
        <v>190</v>
      </c>
      <c r="L9" s="10" t="s">
        <v>191</v>
      </c>
      <c r="M9" s="11" t="s">
        <v>192</v>
      </c>
    </row>
    <row r="10" spans="1:13">
      <c r="A10" s="12"/>
      <c r="B10" s="13"/>
      <c r="C10" s="13"/>
      <c r="D10" s="13"/>
      <c r="E10" s="13"/>
      <c r="F10" s="13"/>
      <c r="G10" s="13"/>
      <c r="H10" s="13"/>
      <c r="I10" s="13"/>
      <c r="J10" s="14"/>
      <c r="K10" s="15" t="s">
        <v>228</v>
      </c>
      <c r="L10" s="15" t="s">
        <v>228</v>
      </c>
      <c r="M10" s="16" t="s">
        <v>228</v>
      </c>
    </row>
    <row r="11" spans="1:13">
      <c r="A11" s="17" t="s">
        <v>193</v>
      </c>
      <c r="B11" s="18"/>
      <c r="C11" s="455" t="s">
        <v>227</v>
      </c>
      <c r="D11" s="455"/>
      <c r="E11" s="455"/>
      <c r="F11" s="455"/>
      <c r="G11" s="18"/>
      <c r="H11" s="18" t="s">
        <v>194</v>
      </c>
      <c r="I11" s="455" t="s">
        <v>227</v>
      </c>
      <c r="J11" s="455"/>
      <c r="K11" s="455"/>
      <c r="L11" s="455"/>
      <c r="M11" s="19"/>
    </row>
    <row r="12" spans="1:13" ht="15.75" customHeight="1">
      <c r="A12" s="17"/>
      <c r="B12" s="18"/>
      <c r="C12" s="20"/>
      <c r="D12" s="20"/>
      <c r="E12" s="20"/>
      <c r="F12" s="20"/>
      <c r="G12" s="18"/>
      <c r="H12" s="20"/>
      <c r="I12" s="18"/>
      <c r="J12" s="20"/>
      <c r="K12" s="456"/>
      <c r="L12" s="456"/>
      <c r="M12" s="457"/>
    </row>
    <row r="13" spans="1:13" ht="12.75" customHeight="1">
      <c r="A13" s="17"/>
      <c r="B13" s="18"/>
      <c r="C13" s="20"/>
      <c r="D13" s="20"/>
      <c r="E13" s="20"/>
      <c r="F13" s="20"/>
      <c r="G13" s="18"/>
      <c r="H13" s="20"/>
      <c r="I13" s="18"/>
      <c r="J13" s="20"/>
      <c r="K13" s="20"/>
      <c r="L13" s="20"/>
      <c r="M13" s="19"/>
    </row>
    <row r="14" spans="1:13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3"/>
    </row>
    <row r="15" spans="1:13" ht="13.5" thickBot="1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6"/>
    </row>
    <row r="16" spans="1:13">
      <c r="A16" s="27"/>
      <c r="B16" s="28"/>
      <c r="C16" s="28"/>
      <c r="D16" s="28"/>
      <c r="E16" s="28"/>
      <c r="F16" s="28"/>
      <c r="G16" s="29"/>
      <c r="H16" s="29"/>
      <c r="I16" s="28"/>
      <c r="J16" s="28"/>
      <c r="K16" s="28"/>
      <c r="L16" s="28"/>
      <c r="M16" s="30"/>
    </row>
    <row r="17" spans="1:13">
      <c r="A17" s="31" t="s">
        <v>195</v>
      </c>
      <c r="B17" s="32"/>
      <c r="C17" s="33" t="s">
        <v>227</v>
      </c>
      <c r="D17" s="34"/>
      <c r="E17" s="34"/>
      <c r="F17" s="35" t="s">
        <v>187</v>
      </c>
      <c r="G17" s="458" t="s">
        <v>227</v>
      </c>
      <c r="H17" s="458"/>
      <c r="I17" s="29"/>
      <c r="J17" s="29"/>
      <c r="K17" s="29"/>
      <c r="L17" s="29"/>
      <c r="M17" s="36"/>
    </row>
    <row r="18" spans="1:13">
      <c r="A18" s="37" t="s">
        <v>196</v>
      </c>
      <c r="B18" s="38"/>
      <c r="C18" s="459" t="s">
        <v>266</v>
      </c>
      <c r="D18" s="459"/>
      <c r="E18" s="459"/>
      <c r="F18" s="459"/>
      <c r="G18" s="459"/>
      <c r="H18" s="459"/>
      <c r="I18" s="459"/>
      <c r="J18" s="459"/>
      <c r="K18" s="459"/>
      <c r="L18" s="459"/>
      <c r="M18" s="39"/>
    </row>
    <row r="19" spans="1:13" ht="27" customHeight="1">
      <c r="A19" s="37"/>
      <c r="B19" s="38"/>
      <c r="C19" s="460"/>
      <c r="D19" s="460"/>
      <c r="E19" s="460"/>
      <c r="F19" s="460"/>
      <c r="G19" s="460"/>
      <c r="H19" s="460"/>
      <c r="I19" s="460"/>
      <c r="J19" s="460"/>
      <c r="K19" s="460"/>
      <c r="L19" s="460"/>
      <c r="M19" s="39"/>
    </row>
    <row r="20" spans="1:13">
      <c r="A20" s="37"/>
      <c r="B20" s="38"/>
      <c r="C20" s="40"/>
      <c r="D20" s="40"/>
      <c r="E20" s="40"/>
      <c r="F20" s="40"/>
      <c r="G20" s="40"/>
      <c r="H20" s="40"/>
      <c r="I20" s="40"/>
      <c r="J20" s="40"/>
      <c r="K20" s="40"/>
      <c r="L20" s="41"/>
      <c r="M20" s="39"/>
    </row>
    <row r="21" spans="1:13">
      <c r="A21" s="37" t="s">
        <v>226</v>
      </c>
      <c r="B21" s="38"/>
      <c r="C21" s="451" t="s">
        <v>227</v>
      </c>
      <c r="D21" s="451"/>
      <c r="E21" s="451"/>
      <c r="F21" s="451"/>
      <c r="G21" s="451"/>
      <c r="H21" s="451"/>
      <c r="I21" s="42"/>
      <c r="J21" s="42"/>
      <c r="K21" s="42"/>
      <c r="L21" s="43"/>
      <c r="M21" s="44"/>
    </row>
    <row r="22" spans="1:13">
      <c r="A22" s="37"/>
      <c r="B22" s="38"/>
      <c r="C22" s="45"/>
      <c r="D22" s="45"/>
      <c r="E22" s="45"/>
      <c r="F22" s="45"/>
      <c r="G22" s="45"/>
      <c r="H22" s="45"/>
      <c r="I22" s="45"/>
      <c r="J22" s="45"/>
      <c r="K22" s="45"/>
      <c r="L22" s="46"/>
      <c r="M22" s="44"/>
    </row>
    <row r="23" spans="1:13">
      <c r="A23" s="37" t="s">
        <v>197</v>
      </c>
      <c r="B23" s="38"/>
      <c r="C23" s="451" t="s">
        <v>227</v>
      </c>
      <c r="D23" s="451"/>
      <c r="E23" s="451"/>
      <c r="F23" s="451"/>
      <c r="G23" s="451"/>
      <c r="H23" s="451"/>
      <c r="I23" s="451"/>
      <c r="J23" s="451"/>
      <c r="K23" s="451"/>
      <c r="L23" s="451"/>
      <c r="M23" s="44"/>
    </row>
    <row r="24" spans="1:13">
      <c r="A24" s="37"/>
      <c r="B24" s="38"/>
      <c r="C24" s="45"/>
      <c r="D24" s="45"/>
      <c r="E24" s="45"/>
      <c r="F24" s="45"/>
      <c r="G24" s="45"/>
      <c r="H24" s="45"/>
      <c r="I24" s="45"/>
      <c r="J24" s="45"/>
      <c r="K24" s="45"/>
      <c r="L24" s="46"/>
      <c r="M24" s="44"/>
    </row>
    <row r="25" spans="1:13">
      <c r="A25" s="37" t="s">
        <v>198</v>
      </c>
      <c r="B25" s="37"/>
      <c r="C25" s="45"/>
      <c r="D25" s="451" t="s">
        <v>227</v>
      </c>
      <c r="E25" s="451"/>
      <c r="F25" s="451"/>
      <c r="G25" s="451"/>
      <c r="H25" s="451"/>
      <c r="I25" s="451"/>
      <c r="J25" s="451"/>
      <c r="K25" s="451"/>
      <c r="L25" s="451"/>
      <c r="M25" s="44"/>
    </row>
    <row r="26" spans="1:13">
      <c r="A26" s="31"/>
      <c r="B26" s="32"/>
      <c r="C26" s="45"/>
      <c r="D26" s="45"/>
      <c r="E26" s="45"/>
      <c r="F26" s="45"/>
      <c r="G26" s="45"/>
      <c r="H26" s="45"/>
      <c r="I26" s="45"/>
      <c r="J26" s="45"/>
      <c r="K26" s="45"/>
      <c r="L26" s="46"/>
      <c r="M26" s="44"/>
    </row>
    <row r="27" spans="1:13">
      <c r="A27" s="37" t="s">
        <v>199</v>
      </c>
      <c r="B27" s="38"/>
      <c r="C27" s="45"/>
      <c r="D27" s="45"/>
      <c r="E27" s="45"/>
      <c r="F27" s="463" t="s">
        <v>227</v>
      </c>
      <c r="G27" s="463"/>
      <c r="H27" s="463"/>
      <c r="I27" s="463"/>
      <c r="J27" s="463"/>
      <c r="K27" s="463"/>
      <c r="L27" s="463"/>
      <c r="M27" s="44"/>
    </row>
    <row r="28" spans="1:13" ht="13.5" thickBot="1">
      <c r="A28" s="47"/>
      <c r="B28" s="48"/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9"/>
    </row>
    <row r="31" spans="1:13" ht="26.25" customHeight="1">
      <c r="A31" s="461" t="s">
        <v>243</v>
      </c>
      <c r="B31" s="461"/>
      <c r="C31" s="461"/>
      <c r="D31" s="461"/>
      <c r="E31" s="462">
        <v>0</v>
      </c>
      <c r="F31" s="462"/>
      <c r="G31" s="1"/>
    </row>
    <row r="32" spans="1:13" ht="12.75" customHeight="1">
      <c r="A32" s="461" t="s">
        <v>224</v>
      </c>
      <c r="B32" s="461"/>
      <c r="C32" s="461"/>
      <c r="D32" s="461"/>
      <c r="E32" s="462">
        <v>0</v>
      </c>
      <c r="F32" s="462"/>
      <c r="G32" s="275"/>
      <c r="H32" s="275"/>
    </row>
    <row r="33" spans="1:9" ht="27.75" customHeight="1">
      <c r="A33" s="461" t="s">
        <v>131</v>
      </c>
      <c r="B33" s="461"/>
      <c r="C33" s="461"/>
      <c r="D33" s="461"/>
      <c r="E33" s="462">
        <v>0</v>
      </c>
      <c r="F33" s="462"/>
      <c r="I33" s="2">
        <v>1</v>
      </c>
    </row>
    <row r="34" spans="1:9" ht="12.75" customHeight="1">
      <c r="A34" s="461" t="s">
        <v>132</v>
      </c>
      <c r="B34" s="461"/>
      <c r="C34" s="461"/>
      <c r="D34" s="461"/>
      <c r="E34" s="462">
        <v>0</v>
      </c>
      <c r="F34" s="462"/>
    </row>
    <row r="36" spans="1:9">
      <c r="E36" s="272"/>
    </row>
  </sheetData>
  <mergeCells count="32">
    <mergeCell ref="A34:D34"/>
    <mergeCell ref="E34:F34"/>
    <mergeCell ref="F27:L27"/>
    <mergeCell ref="A31:D31"/>
    <mergeCell ref="E31:F31"/>
    <mergeCell ref="A32:D32"/>
    <mergeCell ref="E32:F32"/>
    <mergeCell ref="A33:D33"/>
    <mergeCell ref="E33:F33"/>
    <mergeCell ref="D25:L25"/>
    <mergeCell ref="J5:J7"/>
    <mergeCell ref="K5:K7"/>
    <mergeCell ref="L5:L7"/>
    <mergeCell ref="M5:M7"/>
    <mergeCell ref="B7:I7"/>
    <mergeCell ref="C11:F11"/>
    <mergeCell ref="I11:L11"/>
    <mergeCell ref="K12:M12"/>
    <mergeCell ref="G17:H17"/>
    <mergeCell ref="C18:L19"/>
    <mergeCell ref="C21:H21"/>
    <mergeCell ref="C23:L23"/>
    <mergeCell ref="A1:A7"/>
    <mergeCell ref="B1:I1"/>
    <mergeCell ref="J1:J2"/>
    <mergeCell ref="K1:M2"/>
    <mergeCell ref="B2:I2"/>
    <mergeCell ref="B3:I3"/>
    <mergeCell ref="J3:J4"/>
    <mergeCell ref="K3:M4"/>
    <mergeCell ref="B4:I4"/>
    <mergeCell ref="B5:I6"/>
  </mergeCells>
  <pageMargins left="0.7" right="0.7" top="0.75" bottom="0.75" header="0.3" footer="0.3"/>
  <pageSetup paperSize="9" scale="5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>
    <pageSetUpPr fitToPage="1"/>
  </sheetPr>
  <dimension ref="B1:O46"/>
  <sheetViews>
    <sheetView showGridLines="0" tabSelected="1" view="pageBreakPreview" topLeftCell="A25" zoomScale="90" zoomScaleNormal="100" zoomScaleSheetLayoutView="90" workbookViewId="0">
      <selection activeCell="C8" sqref="C8:K8"/>
    </sheetView>
  </sheetViews>
  <sheetFormatPr baseColWidth="10" defaultRowHeight="16.5"/>
  <cols>
    <col min="1" max="2" width="3.42578125" style="51" customWidth="1"/>
    <col min="3" max="3" width="5.140625" style="51" customWidth="1"/>
    <col min="4" max="4" width="11.28515625" style="51" customWidth="1"/>
    <col min="5" max="5" width="16.140625" style="52" customWidth="1"/>
    <col min="6" max="6" width="17.5703125" style="51" customWidth="1"/>
    <col min="7" max="7" width="73.28515625" style="51" customWidth="1"/>
    <col min="8" max="8" width="8.7109375" style="51" customWidth="1"/>
    <col min="9" max="9" width="17.42578125" style="51" customWidth="1"/>
    <col min="10" max="10" width="20.85546875" style="51" bestFit="1" customWidth="1"/>
    <col min="11" max="11" width="30" style="51" customWidth="1"/>
    <col min="12" max="12" width="3.28515625" style="51" customWidth="1"/>
    <col min="13" max="13" width="2.7109375" style="51" customWidth="1"/>
    <col min="14" max="16384" width="11.42578125" style="51"/>
  </cols>
  <sheetData>
    <row r="1" spans="2:12" ht="17.25" thickBot="1"/>
    <row r="2" spans="2:12" ht="18" thickTop="1" thickBot="1">
      <c r="B2" s="53"/>
      <c r="C2" s="54"/>
      <c r="D2" s="54"/>
      <c r="E2" s="55"/>
      <c r="F2" s="54"/>
      <c r="G2" s="54"/>
      <c r="H2" s="54"/>
      <c r="I2" s="54"/>
      <c r="J2" s="54"/>
      <c r="K2" s="54"/>
      <c r="L2" s="56"/>
    </row>
    <row r="3" spans="2:12">
      <c r="B3" s="57"/>
      <c r="C3" s="476" t="s">
        <v>96</v>
      </c>
      <c r="D3" s="477"/>
      <c r="E3" s="477"/>
      <c r="F3" s="477"/>
      <c r="G3" s="477"/>
      <c r="H3" s="477"/>
      <c r="I3" s="477"/>
      <c r="J3" s="477"/>
      <c r="K3" s="478"/>
      <c r="L3" s="58"/>
    </row>
    <row r="4" spans="2:12">
      <c r="B4" s="57"/>
      <c r="C4" s="479" t="s">
        <v>241</v>
      </c>
      <c r="D4" s="480"/>
      <c r="E4" s="480"/>
      <c r="F4" s="480"/>
      <c r="G4" s="480"/>
      <c r="H4" s="480"/>
      <c r="I4" s="480"/>
      <c r="J4" s="480"/>
      <c r="K4" s="481"/>
      <c r="L4" s="58"/>
    </row>
    <row r="5" spans="2:12">
      <c r="B5" s="57"/>
      <c r="C5" s="464" t="s">
        <v>525</v>
      </c>
      <c r="D5" s="465"/>
      <c r="E5" s="465"/>
      <c r="F5" s="465"/>
      <c r="G5" s="465"/>
      <c r="H5" s="465"/>
      <c r="I5" s="465"/>
      <c r="J5" s="465"/>
      <c r="K5" s="466"/>
      <c r="L5" s="58"/>
    </row>
    <row r="6" spans="2:12" ht="15" customHeight="1">
      <c r="B6" s="57"/>
      <c r="C6" s="482" t="s">
        <v>528</v>
      </c>
      <c r="D6" s="483"/>
      <c r="E6" s="483"/>
      <c r="F6" s="483"/>
      <c r="G6" s="483"/>
      <c r="H6" s="483"/>
      <c r="I6" s="483"/>
      <c r="J6" s="483"/>
      <c r="K6" s="484"/>
      <c r="L6" s="58"/>
    </row>
    <row r="7" spans="2:12" ht="31.5" customHeight="1">
      <c r="B7" s="57"/>
      <c r="C7" s="482"/>
      <c r="D7" s="483"/>
      <c r="E7" s="483"/>
      <c r="F7" s="483"/>
      <c r="G7" s="483"/>
      <c r="H7" s="483"/>
      <c r="I7" s="483"/>
      <c r="J7" s="483"/>
      <c r="K7" s="484"/>
      <c r="L7" s="58"/>
    </row>
    <row r="8" spans="2:12" ht="18.75">
      <c r="B8" s="57"/>
      <c r="C8" s="485" t="s">
        <v>99</v>
      </c>
      <c r="D8" s="486"/>
      <c r="E8" s="486"/>
      <c r="F8" s="486"/>
      <c r="G8" s="486"/>
      <c r="H8" s="486"/>
      <c r="I8" s="486"/>
      <c r="J8" s="486"/>
      <c r="K8" s="487"/>
      <c r="L8" s="58"/>
    </row>
    <row r="9" spans="2:12">
      <c r="B9" s="57"/>
      <c r="C9" s="464"/>
      <c r="D9" s="465"/>
      <c r="E9" s="465"/>
      <c r="F9" s="465"/>
      <c r="G9" s="465"/>
      <c r="H9" s="465"/>
      <c r="I9" s="465"/>
      <c r="J9" s="465"/>
      <c r="K9" s="466"/>
      <c r="L9" s="58"/>
    </row>
    <row r="10" spans="2:12" ht="17.25" thickBot="1">
      <c r="B10" s="57"/>
      <c r="C10" s="255"/>
      <c r="D10" s="256"/>
      <c r="E10" s="256"/>
      <c r="F10" s="256"/>
      <c r="G10" s="256"/>
      <c r="H10" s="256"/>
      <c r="I10" s="256"/>
      <c r="J10" s="256"/>
      <c r="K10" s="257"/>
      <c r="L10" s="58"/>
    </row>
    <row r="11" spans="2:12" ht="27" customHeight="1" thickBot="1">
      <c r="B11" s="57"/>
      <c r="C11" s="504"/>
      <c r="D11" s="505"/>
      <c r="E11" s="505"/>
      <c r="F11" s="505"/>
      <c r="G11" s="505"/>
      <c r="H11" s="505"/>
      <c r="I11" s="505"/>
      <c r="J11" s="505"/>
      <c r="K11" s="506"/>
      <c r="L11" s="58"/>
    </row>
    <row r="12" spans="2:12" ht="15" customHeight="1">
      <c r="B12" s="57"/>
      <c r="C12" s="471" t="s">
        <v>100</v>
      </c>
      <c r="D12" s="473" t="s">
        <v>109</v>
      </c>
      <c r="E12" s="475" t="s">
        <v>249</v>
      </c>
      <c r="F12" s="475"/>
      <c r="G12" s="471" t="s">
        <v>7</v>
      </c>
      <c r="H12" s="473" t="s">
        <v>110</v>
      </c>
      <c r="I12" s="473" t="s">
        <v>101</v>
      </c>
      <c r="J12" s="467" t="s">
        <v>0</v>
      </c>
      <c r="K12" s="469" t="s">
        <v>111</v>
      </c>
      <c r="L12" s="58"/>
    </row>
    <row r="13" spans="2:12" ht="33.75" customHeight="1" thickBot="1">
      <c r="B13" s="57"/>
      <c r="C13" s="472"/>
      <c r="D13" s="474"/>
      <c r="E13" s="50" t="s">
        <v>244</v>
      </c>
      <c r="F13" s="50" t="s">
        <v>245</v>
      </c>
      <c r="G13" s="472"/>
      <c r="H13" s="474"/>
      <c r="I13" s="474"/>
      <c r="J13" s="468"/>
      <c r="K13" s="470"/>
      <c r="L13" s="58"/>
    </row>
    <row r="14" spans="2:12" ht="17.25" thickBot="1">
      <c r="B14" s="57"/>
      <c r="C14" s="261" t="s">
        <v>462</v>
      </c>
      <c r="D14" s="262"/>
      <c r="E14" s="262"/>
      <c r="F14" s="262"/>
      <c r="G14" s="262"/>
      <c r="H14" s="262"/>
      <c r="I14" s="262"/>
      <c r="J14" s="262"/>
      <c r="K14" s="263"/>
      <c r="L14" s="58"/>
    </row>
    <row r="15" spans="2:12">
      <c r="B15" s="57"/>
      <c r="C15" s="59">
        <v>1</v>
      </c>
      <c r="D15" s="60" t="s">
        <v>468</v>
      </c>
      <c r="E15" s="254"/>
      <c r="F15" s="61"/>
      <c r="G15" s="62" t="s">
        <v>463</v>
      </c>
      <c r="H15" s="60" t="s">
        <v>16</v>
      </c>
      <c r="I15" s="409">
        <v>54</v>
      </c>
      <c r="J15" s="410">
        <f>+'SV-02'!N92</f>
        <v>381134</v>
      </c>
      <c r="K15" s="411">
        <f t="shared" ref="K15:K19" si="0">I15*J15</f>
        <v>20581236</v>
      </c>
      <c r="L15" s="58"/>
    </row>
    <row r="16" spans="2:12">
      <c r="B16" s="57"/>
      <c r="C16" s="59">
        <v>2</v>
      </c>
      <c r="D16" s="60" t="s">
        <v>475</v>
      </c>
      <c r="E16" s="61"/>
      <c r="F16" s="64"/>
      <c r="G16" s="62" t="s">
        <v>464</v>
      </c>
      <c r="H16" s="60" t="s">
        <v>506</v>
      </c>
      <c r="I16" s="409">
        <v>1958</v>
      </c>
      <c r="J16" s="410">
        <f>+'SV-07'!N91</f>
        <v>24376</v>
      </c>
      <c r="K16" s="411">
        <f t="shared" si="0"/>
        <v>47728208</v>
      </c>
      <c r="L16" s="58"/>
    </row>
    <row r="17" spans="2:12">
      <c r="B17" s="57"/>
      <c r="C17" s="59">
        <v>3</v>
      </c>
      <c r="D17" s="60" t="s">
        <v>476</v>
      </c>
      <c r="E17" s="61"/>
      <c r="F17" s="64"/>
      <c r="G17" s="62" t="s">
        <v>465</v>
      </c>
      <c r="H17" s="60" t="s">
        <v>494</v>
      </c>
      <c r="I17" s="409">
        <v>15000</v>
      </c>
      <c r="J17" s="410">
        <f>+'SV-12'!N92</f>
        <v>2081</v>
      </c>
      <c r="K17" s="411">
        <f t="shared" si="0"/>
        <v>31215000</v>
      </c>
      <c r="L17" s="58"/>
    </row>
    <row r="18" spans="2:12">
      <c r="B18" s="57"/>
      <c r="C18" s="59">
        <v>4</v>
      </c>
      <c r="D18" s="60" t="s">
        <v>503</v>
      </c>
      <c r="E18" s="61"/>
      <c r="F18" s="64"/>
      <c r="G18" s="62" t="s">
        <v>505</v>
      </c>
      <c r="H18" s="60" t="s">
        <v>16</v>
      </c>
      <c r="I18" s="409">
        <v>12</v>
      </c>
      <c r="J18" s="410">
        <f>+'SV-19'!N97</f>
        <v>413244</v>
      </c>
      <c r="K18" s="411">
        <f t="shared" si="0"/>
        <v>4958928</v>
      </c>
      <c r="L18" s="58"/>
    </row>
    <row r="19" spans="2:12">
      <c r="B19" s="57"/>
      <c r="C19" s="59">
        <v>5</v>
      </c>
      <c r="D19" s="60" t="s">
        <v>504</v>
      </c>
      <c r="E19" s="61"/>
      <c r="F19" s="64"/>
      <c r="G19" s="62" t="s">
        <v>527</v>
      </c>
      <c r="H19" s="60" t="s">
        <v>16</v>
      </c>
      <c r="I19" s="409">
        <v>12</v>
      </c>
      <c r="J19" s="410">
        <f>+'SV-20'!N96</f>
        <v>407053</v>
      </c>
      <c r="K19" s="411">
        <f t="shared" si="0"/>
        <v>4884636</v>
      </c>
      <c r="L19" s="58"/>
    </row>
    <row r="20" spans="2:12">
      <c r="B20" s="57"/>
      <c r="C20" s="59"/>
      <c r="D20" s="60"/>
      <c r="E20" s="61"/>
      <c r="F20" s="64"/>
      <c r="G20" s="62"/>
      <c r="H20" s="60"/>
      <c r="I20" s="63"/>
      <c r="J20" s="401"/>
      <c r="K20" s="411"/>
      <c r="L20" s="58"/>
    </row>
    <row r="21" spans="2:12">
      <c r="B21" s="57"/>
      <c r="C21" s="59"/>
      <c r="D21" s="60"/>
      <c r="E21" s="61"/>
      <c r="F21" s="64"/>
      <c r="G21" s="62"/>
      <c r="H21" s="60"/>
      <c r="I21" s="63"/>
      <c r="J21" s="401"/>
      <c r="K21" s="411"/>
      <c r="L21" s="58"/>
    </row>
    <row r="22" spans="2:12">
      <c r="B22" s="57"/>
      <c r="C22" s="59"/>
      <c r="D22" s="60"/>
      <c r="E22" s="61"/>
      <c r="F22" s="64"/>
      <c r="G22" s="62"/>
      <c r="H22" s="60"/>
      <c r="I22" s="63"/>
      <c r="J22" s="401"/>
      <c r="K22" s="411"/>
      <c r="L22" s="58"/>
    </row>
    <row r="23" spans="2:12">
      <c r="B23" s="57"/>
      <c r="C23" s="59"/>
      <c r="D23" s="60"/>
      <c r="E23" s="61"/>
      <c r="F23" s="64"/>
      <c r="G23" s="62"/>
      <c r="H23" s="60"/>
      <c r="I23" s="63"/>
      <c r="J23" s="401"/>
      <c r="K23" s="411"/>
      <c r="L23" s="58"/>
    </row>
    <row r="24" spans="2:12" ht="17.25" thickBot="1">
      <c r="B24" s="57"/>
      <c r="C24" s="65" t="s">
        <v>117</v>
      </c>
      <c r="D24" s="66"/>
      <c r="E24" s="67"/>
      <c r="F24" s="67"/>
      <c r="G24" s="68"/>
      <c r="H24" s="69"/>
      <c r="I24" s="63"/>
      <c r="J24" s="402"/>
      <c r="K24" s="412">
        <f>ROUND(SUM(K15:K23),0)</f>
        <v>109368008</v>
      </c>
      <c r="L24" s="58"/>
    </row>
    <row r="25" spans="2:12" s="70" customFormat="1" ht="13.5" thickBot="1">
      <c r="B25" s="71"/>
      <c r="C25" s="264"/>
      <c r="D25" s="264"/>
      <c r="E25" s="264"/>
      <c r="F25" s="264"/>
      <c r="G25" s="264"/>
      <c r="H25" s="264"/>
      <c r="I25" s="264"/>
      <c r="J25" s="264"/>
      <c r="K25" s="265"/>
      <c r="L25" s="72"/>
    </row>
    <row r="26" spans="2:12" s="70" customFormat="1" ht="13.5">
      <c r="B26" s="71"/>
      <c r="C26" s="79"/>
      <c r="D26" s="80"/>
      <c r="E26" s="79"/>
      <c r="F26" s="79"/>
      <c r="G26" s="266" t="s">
        <v>243</v>
      </c>
      <c r="H26" s="267"/>
      <c r="I26" s="268"/>
      <c r="J26" s="269"/>
      <c r="K26" s="270">
        <f>'DATOS INICIALES '!E31</f>
        <v>0</v>
      </c>
      <c r="L26" s="72"/>
    </row>
    <row r="27" spans="2:12" s="70" customFormat="1" ht="13.5">
      <c r="B27" s="71"/>
      <c r="C27" s="79"/>
      <c r="D27" s="80"/>
      <c r="E27" s="79"/>
      <c r="F27" s="79"/>
      <c r="G27" s="81" t="s">
        <v>126</v>
      </c>
      <c r="H27" s="82"/>
      <c r="I27" s="85"/>
      <c r="J27" s="86"/>
      <c r="K27" s="413">
        <f>+K24</f>
        <v>109368008</v>
      </c>
      <c r="L27" s="72"/>
    </row>
    <row r="28" spans="2:12" s="70" customFormat="1" ht="13.5">
      <c r="B28" s="71"/>
      <c r="C28" s="79"/>
      <c r="D28" s="87"/>
      <c r="E28" s="87"/>
      <c r="F28" s="87"/>
      <c r="G28" s="81" t="s">
        <v>524</v>
      </c>
      <c r="H28" s="88"/>
      <c r="I28" s="89"/>
      <c r="J28" s="90"/>
      <c r="K28" s="413">
        <f>ROUND((K27/(1+K42))*K41*0.19,0)</f>
        <v>799228</v>
      </c>
      <c r="L28" s="72"/>
    </row>
    <row r="29" spans="2:12" s="70" customFormat="1">
      <c r="B29" s="71"/>
      <c r="C29" s="79"/>
      <c r="D29" s="87"/>
      <c r="E29" s="87"/>
      <c r="F29" s="87"/>
      <c r="G29" s="84" t="s">
        <v>250</v>
      </c>
      <c r="H29" s="88"/>
      <c r="I29" s="89"/>
      <c r="J29" s="90"/>
      <c r="K29" s="414">
        <f>K27+K28</f>
        <v>110167236</v>
      </c>
      <c r="L29" s="72"/>
    </row>
    <row r="30" spans="2:12" s="70" customFormat="1" ht="13.5">
      <c r="B30" s="71"/>
      <c r="C30" s="79"/>
      <c r="D30" s="80"/>
      <c r="E30" s="79"/>
      <c r="F30" s="79"/>
      <c r="G30" s="81" t="s">
        <v>251</v>
      </c>
      <c r="H30" s="88"/>
      <c r="I30" s="89"/>
      <c r="J30" s="91"/>
      <c r="K30" s="413">
        <f>+'DATOS INICIALES '!E32</f>
        <v>0</v>
      </c>
      <c r="L30" s="72"/>
    </row>
    <row r="31" spans="2:12" s="70" customFormat="1" ht="13.5">
      <c r="B31" s="71"/>
      <c r="C31" s="79"/>
      <c r="D31" s="80"/>
      <c r="E31" s="79"/>
      <c r="F31" s="79"/>
      <c r="G31" s="81" t="s">
        <v>225</v>
      </c>
      <c r="H31" s="88"/>
      <c r="I31" s="89"/>
      <c r="J31" s="91"/>
      <c r="K31" s="413">
        <f>ROUND(0.16*K30,0)</f>
        <v>0</v>
      </c>
      <c r="L31" s="72"/>
    </row>
    <row r="32" spans="2:12" s="70" customFormat="1" ht="13.5">
      <c r="B32" s="71"/>
      <c r="C32" s="79"/>
      <c r="D32" s="80"/>
      <c r="E32" s="79"/>
      <c r="F32" s="79"/>
      <c r="G32" s="84" t="s">
        <v>252</v>
      </c>
      <c r="H32" s="88"/>
      <c r="I32" s="89"/>
      <c r="J32" s="91"/>
      <c r="K32" s="415">
        <f>K30+K31</f>
        <v>0</v>
      </c>
      <c r="L32" s="72"/>
    </row>
    <row r="33" spans="2:15" s="70" customFormat="1" ht="13.5">
      <c r="B33" s="71"/>
      <c r="C33" s="79"/>
      <c r="D33" s="80"/>
      <c r="E33" s="79"/>
      <c r="F33" s="79"/>
      <c r="G33" s="84" t="s">
        <v>131</v>
      </c>
      <c r="H33" s="88"/>
      <c r="I33" s="89"/>
      <c r="J33" s="83"/>
      <c r="K33" s="415">
        <f>+'DATOS INICIALES '!E33</f>
        <v>0</v>
      </c>
      <c r="L33" s="72"/>
    </row>
    <row r="34" spans="2:15" s="70" customFormat="1" ht="14.25" thickBot="1">
      <c r="B34" s="71"/>
      <c r="C34" s="79"/>
      <c r="D34" s="80"/>
      <c r="E34" s="79"/>
      <c r="F34" s="79"/>
      <c r="G34" s="92" t="s">
        <v>132</v>
      </c>
      <c r="H34" s="93"/>
      <c r="I34" s="94"/>
      <c r="J34" s="83"/>
      <c r="K34" s="415">
        <f>+'DATOS INICIALES '!E34</f>
        <v>0</v>
      </c>
      <c r="L34" s="73"/>
      <c r="O34" s="407"/>
    </row>
    <row r="35" spans="2:15" s="70" customFormat="1" ht="17.25" thickBot="1">
      <c r="B35" s="71"/>
      <c r="C35" s="79"/>
      <c r="D35" s="80"/>
      <c r="E35" s="79"/>
      <c r="F35" s="79"/>
      <c r="G35" s="95" t="s">
        <v>115</v>
      </c>
      <c r="H35" s="96"/>
      <c r="I35" s="97"/>
      <c r="J35" s="98"/>
      <c r="K35" s="416">
        <f>K29+K32+K33+K34</f>
        <v>110167236</v>
      </c>
      <c r="L35" s="72"/>
      <c r="N35" s="70">
        <v>110175000</v>
      </c>
      <c r="O35" s="408">
        <f>+N35-K35</f>
        <v>7764</v>
      </c>
    </row>
    <row r="36" spans="2:15" s="70" customFormat="1" ht="14.25" thickBot="1">
      <c r="B36" s="71"/>
      <c r="C36" s="79"/>
      <c r="D36" s="80"/>
      <c r="E36" s="80"/>
      <c r="F36" s="80"/>
      <c r="G36" s="79"/>
      <c r="H36" s="79"/>
      <c r="I36" s="99"/>
      <c r="J36" s="100"/>
      <c r="K36" s="101"/>
      <c r="L36" s="72"/>
    </row>
    <row r="37" spans="2:15" s="70" customFormat="1">
      <c r="B37" s="71"/>
      <c r="C37" s="102" t="s">
        <v>246</v>
      </c>
      <c r="D37" s="103"/>
      <c r="E37" s="104"/>
      <c r="F37" s="507"/>
      <c r="G37" s="507"/>
      <c r="H37" s="507"/>
      <c r="I37" s="507"/>
      <c r="J37" s="507"/>
      <c r="K37" s="508"/>
      <c r="L37" s="74"/>
    </row>
    <row r="38" spans="2:15" s="70" customFormat="1" ht="46.5" customHeight="1">
      <c r="B38" s="71"/>
      <c r="C38" s="488" t="s">
        <v>259</v>
      </c>
      <c r="D38" s="489"/>
      <c r="E38" s="489"/>
      <c r="F38" s="489"/>
      <c r="G38" s="490"/>
      <c r="H38" s="509" t="s">
        <v>7</v>
      </c>
      <c r="I38" s="509"/>
      <c r="J38" s="509"/>
      <c r="K38" s="105" t="s">
        <v>102</v>
      </c>
      <c r="L38" s="75"/>
    </row>
    <row r="39" spans="2:15" s="70" customFormat="1" ht="29.25" customHeight="1">
      <c r="B39" s="71"/>
      <c r="C39" s="488" t="s">
        <v>260</v>
      </c>
      <c r="D39" s="489"/>
      <c r="E39" s="489"/>
      <c r="F39" s="489"/>
      <c r="G39" s="490"/>
      <c r="H39" s="503" t="s">
        <v>82</v>
      </c>
      <c r="I39" s="503"/>
      <c r="J39" s="106" t="s">
        <v>103</v>
      </c>
      <c r="K39" s="107">
        <v>0.2</v>
      </c>
      <c r="L39" s="75"/>
    </row>
    <row r="40" spans="2:15" s="70" customFormat="1" ht="13.5" customHeight="1">
      <c r="B40" s="71"/>
      <c r="C40" s="488" t="s">
        <v>261</v>
      </c>
      <c r="D40" s="489"/>
      <c r="E40" s="489"/>
      <c r="F40" s="489"/>
      <c r="G40" s="490"/>
      <c r="H40" s="498" t="s">
        <v>104</v>
      </c>
      <c r="I40" s="498"/>
      <c r="J40" s="106" t="s">
        <v>105</v>
      </c>
      <c r="K40" s="107">
        <v>0.05</v>
      </c>
      <c r="L40" s="75"/>
    </row>
    <row r="41" spans="2:15" s="76" customFormat="1" ht="30.75" customHeight="1">
      <c r="B41" s="77"/>
      <c r="C41" s="499" t="s">
        <v>262</v>
      </c>
      <c r="D41" s="500"/>
      <c r="E41" s="500"/>
      <c r="F41" s="500"/>
      <c r="G41" s="501"/>
      <c r="H41" s="502" t="s">
        <v>247</v>
      </c>
      <c r="I41" s="503"/>
      <c r="J41" s="106" t="s">
        <v>106</v>
      </c>
      <c r="K41" s="107">
        <v>0.05</v>
      </c>
      <c r="L41" s="78"/>
    </row>
    <row r="42" spans="2:15" ht="39" customHeight="1">
      <c r="B42" s="57"/>
      <c r="C42" s="488" t="s">
        <v>263</v>
      </c>
      <c r="D42" s="489"/>
      <c r="E42" s="489"/>
      <c r="F42" s="489"/>
      <c r="G42" s="490"/>
      <c r="H42" s="503" t="s">
        <v>107</v>
      </c>
      <c r="I42" s="503"/>
      <c r="J42" s="106" t="s">
        <v>108</v>
      </c>
      <c r="K42" s="107">
        <f>SUM(K39:K41)</f>
        <v>0.3</v>
      </c>
      <c r="L42" s="58"/>
    </row>
    <row r="43" spans="2:15" ht="35.25" customHeight="1">
      <c r="B43" s="57"/>
      <c r="C43" s="488" t="s">
        <v>264</v>
      </c>
      <c r="D43" s="489"/>
      <c r="E43" s="489"/>
      <c r="F43" s="489"/>
      <c r="G43" s="490"/>
      <c r="H43" s="491"/>
      <c r="I43" s="491"/>
      <c r="J43" s="491"/>
      <c r="K43" s="492"/>
      <c r="L43" s="58"/>
    </row>
    <row r="44" spans="2:15" ht="36.75" customHeight="1" thickBot="1">
      <c r="B44" s="57"/>
      <c r="C44" s="495" t="s">
        <v>265</v>
      </c>
      <c r="D44" s="496"/>
      <c r="E44" s="496"/>
      <c r="F44" s="496"/>
      <c r="G44" s="497"/>
      <c r="H44" s="493"/>
      <c r="I44" s="493"/>
      <c r="J44" s="493"/>
      <c r="K44" s="494"/>
      <c r="L44" s="58"/>
    </row>
    <row r="45" spans="2:15" ht="17.25" thickBot="1">
      <c r="B45" s="108"/>
      <c r="C45" s="109"/>
      <c r="D45" s="109"/>
      <c r="E45" s="110"/>
      <c r="F45" s="109"/>
      <c r="G45" s="111"/>
      <c r="H45" s="109"/>
      <c r="I45" s="109"/>
      <c r="J45" s="109"/>
      <c r="K45" s="109"/>
      <c r="L45" s="112"/>
    </row>
    <row r="46" spans="2:15" ht="17.25" thickTop="1"/>
  </sheetData>
  <mergeCells count="29">
    <mergeCell ref="C39:G39"/>
    <mergeCell ref="C11:K11"/>
    <mergeCell ref="F37:K37"/>
    <mergeCell ref="C38:G38"/>
    <mergeCell ref="H38:J38"/>
    <mergeCell ref="H39:I39"/>
    <mergeCell ref="I12:I13"/>
    <mergeCell ref="C43:G43"/>
    <mergeCell ref="H43:K44"/>
    <mergeCell ref="C44:G44"/>
    <mergeCell ref="C40:G40"/>
    <mergeCell ref="H40:I40"/>
    <mergeCell ref="C41:G41"/>
    <mergeCell ref="H41:I41"/>
    <mergeCell ref="C42:G42"/>
    <mergeCell ref="H42:I42"/>
    <mergeCell ref="C3:K3"/>
    <mergeCell ref="C4:K4"/>
    <mergeCell ref="C5:K5"/>
    <mergeCell ref="C6:K7"/>
    <mergeCell ref="C8:K8"/>
    <mergeCell ref="C9:K9"/>
    <mergeCell ref="J12:J13"/>
    <mergeCell ref="K12:K13"/>
    <mergeCell ref="C12:C13"/>
    <mergeCell ref="D12:D13"/>
    <mergeCell ref="G12:G13"/>
    <mergeCell ref="H12:H13"/>
    <mergeCell ref="E12:F12"/>
  </mergeCells>
  <pageMargins left="0.11811023622047245" right="0.11811023622047245" top="0.15748031496062992" bottom="0.15748031496062992" header="0.31496062992125984" footer="0.31496062992125984"/>
  <pageSetup scale="64" orientation="landscape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E150"/>
  <sheetViews>
    <sheetView topLeftCell="A64" zoomScale="85" zoomScaleNormal="85" zoomScaleSheetLayoutView="80" workbookViewId="0">
      <selection activeCell="D77" sqref="D77"/>
    </sheetView>
  </sheetViews>
  <sheetFormatPr baseColWidth="10" defaultRowHeight="15.75"/>
  <cols>
    <col min="1" max="1" width="12.85546875" style="113" customWidth="1"/>
    <col min="2" max="2" width="74.42578125" style="113" customWidth="1"/>
    <col min="3" max="3" width="9.7109375" style="224" customWidth="1"/>
    <col min="4" max="4" width="13.42578125" style="213" customWidth="1"/>
    <col min="5" max="5" width="15.5703125" style="347" customWidth="1"/>
    <col min="6" max="16384" width="11.42578125" style="113"/>
  </cols>
  <sheetData>
    <row r="1" spans="1:4" ht="16.5" thickBot="1"/>
    <row r="2" spans="1:4" ht="42.75" customHeight="1" thickBot="1">
      <c r="B2" s="510" t="str">
        <f>+'DATOS INICIALES '!C18</f>
        <v>XXXXXXXXXXXXXXXXXXXXXXXXXXXXXXXXXXXXXX</v>
      </c>
      <c r="C2" s="511"/>
      <c r="D2" s="512"/>
    </row>
    <row r="3" spans="1:4" thickBot="1">
      <c r="A3" s="274" t="s">
        <v>255</v>
      </c>
      <c r="B3" s="215" t="s">
        <v>48</v>
      </c>
      <c r="C3" s="215" t="s">
        <v>16</v>
      </c>
      <c r="D3" s="215" t="s">
        <v>49</v>
      </c>
    </row>
    <row r="4" spans="1:4">
      <c r="A4" s="296" t="s">
        <v>282</v>
      </c>
      <c r="B4" s="226" t="s">
        <v>127</v>
      </c>
      <c r="C4" s="227" t="s">
        <v>12</v>
      </c>
      <c r="D4" s="228">
        <v>4160</v>
      </c>
    </row>
    <row r="5" spans="1:4">
      <c r="A5" s="296" t="s">
        <v>283</v>
      </c>
      <c r="B5" s="229" t="s">
        <v>50</v>
      </c>
      <c r="C5" s="230" t="s">
        <v>12</v>
      </c>
      <c r="D5" s="228">
        <v>3330</v>
      </c>
    </row>
    <row r="6" spans="1:4">
      <c r="A6" s="296" t="s">
        <v>284</v>
      </c>
      <c r="B6" s="229" t="s">
        <v>215</v>
      </c>
      <c r="C6" s="230" t="s">
        <v>216</v>
      </c>
      <c r="D6" s="231">
        <v>8330</v>
      </c>
    </row>
    <row r="7" spans="1:4">
      <c r="A7" s="296" t="s">
        <v>285</v>
      </c>
      <c r="B7" s="229" t="s">
        <v>175</v>
      </c>
      <c r="C7" s="230" t="s">
        <v>97</v>
      </c>
      <c r="D7" s="228">
        <v>7760</v>
      </c>
    </row>
    <row r="8" spans="1:4">
      <c r="A8" s="296" t="s">
        <v>286</v>
      </c>
      <c r="B8" s="229" t="s">
        <v>51</v>
      </c>
      <c r="C8" s="230" t="s">
        <v>11</v>
      </c>
      <c r="D8" s="228">
        <v>54330</v>
      </c>
    </row>
    <row r="9" spans="1:4">
      <c r="A9" s="296" t="s">
        <v>287</v>
      </c>
      <c r="B9" s="229" t="s">
        <v>52</v>
      </c>
      <c r="C9" s="230" t="s">
        <v>11</v>
      </c>
      <c r="D9" s="228">
        <v>54330</v>
      </c>
    </row>
    <row r="10" spans="1:4">
      <c r="A10" s="296" t="s">
        <v>288</v>
      </c>
      <c r="B10" s="229" t="s">
        <v>53</v>
      </c>
      <c r="C10" s="230" t="s">
        <v>11</v>
      </c>
      <c r="D10" s="228">
        <v>129150</v>
      </c>
    </row>
    <row r="11" spans="1:4">
      <c r="A11" s="296" t="s">
        <v>289</v>
      </c>
      <c r="B11" s="229" t="s">
        <v>54</v>
      </c>
      <c r="C11" s="230" t="s">
        <v>13</v>
      </c>
      <c r="D11" s="228">
        <v>54</v>
      </c>
    </row>
    <row r="12" spans="1:4">
      <c r="A12" s="296" t="s">
        <v>290</v>
      </c>
      <c r="B12" s="229" t="s">
        <v>55</v>
      </c>
      <c r="C12" s="230" t="s">
        <v>9</v>
      </c>
      <c r="D12" s="228">
        <v>540</v>
      </c>
    </row>
    <row r="13" spans="1:4">
      <c r="A13" s="296" t="s">
        <v>291</v>
      </c>
      <c r="B13" s="229" t="s">
        <v>56</v>
      </c>
      <c r="C13" s="230" t="s">
        <v>12</v>
      </c>
      <c r="D13" s="228">
        <v>5720</v>
      </c>
    </row>
    <row r="14" spans="1:4">
      <c r="A14" s="296" t="s">
        <v>292</v>
      </c>
      <c r="B14" s="229" t="s">
        <v>57</v>
      </c>
      <c r="C14" s="230" t="s">
        <v>12</v>
      </c>
      <c r="D14" s="231">
        <v>7700</v>
      </c>
    </row>
    <row r="15" spans="1:4">
      <c r="A15" s="296" t="s">
        <v>293</v>
      </c>
      <c r="B15" s="229" t="s">
        <v>58</v>
      </c>
      <c r="C15" s="230" t="s">
        <v>11</v>
      </c>
      <c r="D15" s="228">
        <v>61440</v>
      </c>
    </row>
    <row r="16" spans="1:4">
      <c r="A16" s="296" t="s">
        <v>294</v>
      </c>
      <c r="B16" s="229" t="s">
        <v>217</v>
      </c>
      <c r="C16" s="230" t="s">
        <v>12</v>
      </c>
      <c r="D16" s="228">
        <v>2340</v>
      </c>
    </row>
    <row r="17" spans="1:4">
      <c r="A17" s="296" t="s">
        <v>295</v>
      </c>
      <c r="B17" s="229" t="s">
        <v>59</v>
      </c>
      <c r="C17" s="230" t="s">
        <v>12</v>
      </c>
      <c r="D17" s="228">
        <v>4810</v>
      </c>
    </row>
    <row r="18" spans="1:4" ht="14.25" customHeight="1">
      <c r="A18" s="296" t="s">
        <v>296</v>
      </c>
      <c r="B18" s="229" t="s">
        <v>60</v>
      </c>
      <c r="C18" s="230" t="s">
        <v>12</v>
      </c>
      <c r="D18" s="228">
        <v>3120</v>
      </c>
    </row>
    <row r="19" spans="1:4" ht="14.25" customHeight="1">
      <c r="A19" s="296" t="s">
        <v>297</v>
      </c>
      <c r="B19" s="229" t="s">
        <v>161</v>
      </c>
      <c r="C19" s="230" t="s">
        <v>10</v>
      </c>
      <c r="D19" s="228">
        <v>29060</v>
      </c>
    </row>
    <row r="20" spans="1:4" ht="14.25" customHeight="1">
      <c r="A20" s="296" t="s">
        <v>298</v>
      </c>
      <c r="B20" s="229" t="s">
        <v>177</v>
      </c>
      <c r="C20" s="230" t="s">
        <v>150</v>
      </c>
      <c r="D20" s="231">
        <v>38800</v>
      </c>
    </row>
    <row r="21" spans="1:4">
      <c r="A21" s="296" t="s">
        <v>299</v>
      </c>
      <c r="B21" s="229" t="s">
        <v>61</v>
      </c>
      <c r="C21" s="230" t="s">
        <v>12</v>
      </c>
      <c r="D21" s="228">
        <v>1740</v>
      </c>
    </row>
    <row r="22" spans="1:4">
      <c r="A22" s="296" t="s">
        <v>300</v>
      </c>
      <c r="B22" s="229" t="s">
        <v>62</v>
      </c>
      <c r="C22" s="230" t="s">
        <v>12</v>
      </c>
      <c r="D22" s="228">
        <v>540</v>
      </c>
    </row>
    <row r="23" spans="1:4">
      <c r="A23" s="296" t="s">
        <v>301</v>
      </c>
      <c r="B23" s="229" t="s">
        <v>120</v>
      </c>
      <c r="C23" s="230" t="s">
        <v>9</v>
      </c>
      <c r="D23" s="228">
        <v>780</v>
      </c>
    </row>
    <row r="24" spans="1:4">
      <c r="A24" s="296" t="s">
        <v>302</v>
      </c>
      <c r="B24" s="229" t="s">
        <v>63</v>
      </c>
      <c r="C24" s="230" t="s">
        <v>64</v>
      </c>
      <c r="D24" s="231">
        <v>14570</v>
      </c>
    </row>
    <row r="25" spans="1:4">
      <c r="A25" s="296" t="s">
        <v>303</v>
      </c>
      <c r="B25" s="229" t="s">
        <v>176</v>
      </c>
      <c r="C25" s="230" t="s">
        <v>150</v>
      </c>
      <c r="D25" s="231">
        <v>1090130</v>
      </c>
    </row>
    <row r="26" spans="1:4">
      <c r="A26" s="296" t="s">
        <v>304</v>
      </c>
      <c r="B26" s="229" t="s">
        <v>65</v>
      </c>
      <c r="C26" s="230" t="s">
        <v>13</v>
      </c>
      <c r="D26" s="228">
        <v>1760</v>
      </c>
    </row>
    <row r="27" spans="1:4">
      <c r="A27" s="296" t="s">
        <v>305</v>
      </c>
      <c r="B27" s="229" t="s">
        <v>169</v>
      </c>
      <c r="C27" s="232" t="s">
        <v>150</v>
      </c>
      <c r="D27" s="231">
        <v>86890</v>
      </c>
    </row>
    <row r="28" spans="1:4">
      <c r="A28" s="296" t="s">
        <v>306</v>
      </c>
      <c r="B28" s="229" t="s">
        <v>66</v>
      </c>
      <c r="C28" s="230" t="s">
        <v>12</v>
      </c>
      <c r="D28" s="231">
        <v>4160</v>
      </c>
    </row>
    <row r="29" spans="1:4">
      <c r="A29" s="296" t="s">
        <v>307</v>
      </c>
      <c r="B29" s="229" t="s">
        <v>67</v>
      </c>
      <c r="C29" s="230" t="s">
        <v>68</v>
      </c>
      <c r="D29" s="228">
        <v>940</v>
      </c>
    </row>
    <row r="30" spans="1:4">
      <c r="A30" s="296" t="s">
        <v>308</v>
      </c>
      <c r="B30" s="229" t="s">
        <v>180</v>
      </c>
      <c r="C30" s="230" t="s">
        <v>98</v>
      </c>
      <c r="D30" s="231">
        <v>81680</v>
      </c>
    </row>
    <row r="31" spans="1:4">
      <c r="A31" s="296" t="s">
        <v>309</v>
      </c>
      <c r="B31" s="229" t="s">
        <v>70</v>
      </c>
      <c r="C31" s="230" t="s">
        <v>8</v>
      </c>
      <c r="D31" s="228">
        <v>26020</v>
      </c>
    </row>
    <row r="32" spans="1:4">
      <c r="A32" s="296" t="s">
        <v>310</v>
      </c>
      <c r="B32" s="229" t="s">
        <v>71</v>
      </c>
      <c r="C32" s="230" t="s">
        <v>9</v>
      </c>
      <c r="D32" s="228">
        <v>26020</v>
      </c>
    </row>
    <row r="33" spans="1:4">
      <c r="A33" s="296" t="s">
        <v>311</v>
      </c>
      <c r="B33" s="229" t="s">
        <v>121</v>
      </c>
      <c r="C33" s="230" t="s">
        <v>8</v>
      </c>
      <c r="D33" s="228">
        <v>13740</v>
      </c>
    </row>
    <row r="34" spans="1:4">
      <c r="A34" s="296" t="s">
        <v>312</v>
      </c>
      <c r="B34" s="229" t="s">
        <v>257</v>
      </c>
      <c r="C34" s="230" t="s">
        <v>69</v>
      </c>
      <c r="D34" s="228">
        <v>8310</v>
      </c>
    </row>
    <row r="35" spans="1:4">
      <c r="A35" s="296" t="s">
        <v>313</v>
      </c>
      <c r="B35" s="229" t="s">
        <v>133</v>
      </c>
      <c r="C35" s="230" t="s">
        <v>8</v>
      </c>
      <c r="D35" s="228">
        <v>6410</v>
      </c>
    </row>
    <row r="36" spans="1:4">
      <c r="A36" s="296" t="s">
        <v>314</v>
      </c>
      <c r="B36" s="229" t="s">
        <v>122</v>
      </c>
      <c r="C36" s="230" t="s">
        <v>8</v>
      </c>
      <c r="D36" s="228">
        <v>4520</v>
      </c>
    </row>
    <row r="37" spans="1:4">
      <c r="A37" s="296" t="s">
        <v>315</v>
      </c>
      <c r="B37" s="229" t="s">
        <v>179</v>
      </c>
      <c r="C37" s="230" t="s">
        <v>5</v>
      </c>
      <c r="D37" s="228">
        <v>13640</v>
      </c>
    </row>
    <row r="38" spans="1:4">
      <c r="A38" s="296" t="s">
        <v>316</v>
      </c>
      <c r="B38" s="229" t="s">
        <v>220</v>
      </c>
      <c r="C38" s="230" t="s">
        <v>5</v>
      </c>
      <c r="D38" s="228">
        <v>6040</v>
      </c>
    </row>
    <row r="39" spans="1:4">
      <c r="A39" s="296" t="s">
        <v>317</v>
      </c>
      <c r="B39" s="229" t="s">
        <v>221</v>
      </c>
      <c r="C39" s="230" t="s">
        <v>95</v>
      </c>
      <c r="D39" s="228">
        <v>9600</v>
      </c>
    </row>
    <row r="40" spans="1:4">
      <c r="A40" s="296" t="s">
        <v>318</v>
      </c>
      <c r="B40" s="229" t="s">
        <v>156</v>
      </c>
      <c r="C40" s="232" t="s">
        <v>13</v>
      </c>
      <c r="D40" s="228">
        <v>870</v>
      </c>
    </row>
    <row r="41" spans="1:4">
      <c r="A41" s="296" t="s">
        <v>319</v>
      </c>
      <c r="B41" s="229" t="s">
        <v>219</v>
      </c>
      <c r="C41" s="232" t="s">
        <v>12</v>
      </c>
      <c r="D41" s="228">
        <v>4580</v>
      </c>
    </row>
    <row r="42" spans="1:4">
      <c r="A42" s="296" t="s">
        <v>320</v>
      </c>
      <c r="B42" s="229" t="s">
        <v>112</v>
      </c>
      <c r="C42" s="230" t="s">
        <v>11</v>
      </c>
      <c r="D42" s="228">
        <v>21860</v>
      </c>
    </row>
    <row r="43" spans="1:4">
      <c r="A43" s="296" t="s">
        <v>321</v>
      </c>
      <c r="B43" s="229" t="s">
        <v>72</v>
      </c>
      <c r="C43" s="230" t="s">
        <v>11</v>
      </c>
      <c r="D43" s="228">
        <v>71330</v>
      </c>
    </row>
    <row r="44" spans="1:4">
      <c r="A44" s="296" t="s">
        <v>322</v>
      </c>
      <c r="B44" s="229" t="s">
        <v>123</v>
      </c>
      <c r="C44" s="230" t="s">
        <v>11</v>
      </c>
      <c r="D44" s="228">
        <v>40280</v>
      </c>
    </row>
    <row r="45" spans="1:4">
      <c r="A45" s="296" t="s">
        <v>323</v>
      </c>
      <c r="B45" s="229" t="s">
        <v>253</v>
      </c>
      <c r="C45" s="230" t="s">
        <v>11</v>
      </c>
      <c r="D45" s="228">
        <v>348700</v>
      </c>
    </row>
    <row r="46" spans="1:4">
      <c r="A46" s="296" t="s">
        <v>324</v>
      </c>
      <c r="B46" s="229" t="s">
        <v>254</v>
      </c>
      <c r="C46" s="230" t="s">
        <v>11</v>
      </c>
      <c r="D46" s="228">
        <v>362230</v>
      </c>
    </row>
    <row r="47" spans="1:4">
      <c r="A47" s="296" t="s">
        <v>325</v>
      </c>
      <c r="B47" s="229" t="s">
        <v>267</v>
      </c>
      <c r="C47" s="230" t="s">
        <v>160</v>
      </c>
      <c r="D47" s="231">
        <v>3683220</v>
      </c>
    </row>
    <row r="48" spans="1:4">
      <c r="A48" s="296" t="s">
        <v>326</v>
      </c>
      <c r="B48" s="229" t="s">
        <v>168</v>
      </c>
      <c r="C48" s="230" t="s">
        <v>98</v>
      </c>
      <c r="D48" s="231">
        <v>3683220</v>
      </c>
    </row>
    <row r="49" spans="1:4">
      <c r="A49" s="296" t="s">
        <v>327</v>
      </c>
      <c r="B49" s="229" t="s">
        <v>124</v>
      </c>
      <c r="C49" s="230" t="s">
        <v>9</v>
      </c>
      <c r="D49" s="231">
        <v>76530</v>
      </c>
    </row>
    <row r="50" spans="1:4">
      <c r="A50" s="296" t="s">
        <v>328</v>
      </c>
      <c r="B50" s="229" t="s">
        <v>167</v>
      </c>
      <c r="C50" s="230" t="s">
        <v>150</v>
      </c>
      <c r="D50" s="231">
        <v>14570</v>
      </c>
    </row>
    <row r="51" spans="1:4">
      <c r="A51" s="296" t="s">
        <v>329</v>
      </c>
      <c r="B51" s="229" t="s">
        <v>173</v>
      </c>
      <c r="C51" s="230" t="s">
        <v>64</v>
      </c>
      <c r="D51" s="228">
        <v>46130</v>
      </c>
    </row>
    <row r="52" spans="1:4">
      <c r="A52" s="296" t="s">
        <v>330</v>
      </c>
      <c r="B52" s="229" t="s">
        <v>159</v>
      </c>
      <c r="C52" s="232" t="s">
        <v>13</v>
      </c>
      <c r="D52" s="228">
        <v>45830</v>
      </c>
    </row>
    <row r="53" spans="1:4">
      <c r="A53" s="296" t="s">
        <v>331</v>
      </c>
      <c r="B53" s="229" t="s">
        <v>73</v>
      </c>
      <c r="C53" s="230" t="s">
        <v>10</v>
      </c>
      <c r="D53" s="231">
        <v>124910</v>
      </c>
    </row>
    <row r="54" spans="1:4">
      <c r="A54" s="296" t="s">
        <v>332</v>
      </c>
      <c r="B54" s="229" t="s">
        <v>497</v>
      </c>
      <c r="C54" s="230" t="s">
        <v>10</v>
      </c>
      <c r="D54" s="231">
        <v>149580</v>
      </c>
    </row>
    <row r="55" spans="1:4">
      <c r="A55" s="296" t="s">
        <v>333</v>
      </c>
      <c r="B55" s="229" t="s">
        <v>154</v>
      </c>
      <c r="C55" s="230" t="s">
        <v>12</v>
      </c>
      <c r="D55" s="231">
        <v>25230</v>
      </c>
    </row>
    <row r="56" spans="1:4">
      <c r="A56" s="296" t="s">
        <v>334</v>
      </c>
      <c r="B56" s="229" t="s">
        <v>174</v>
      </c>
      <c r="C56" s="230" t="s">
        <v>97</v>
      </c>
      <c r="D56" s="231">
        <v>47580</v>
      </c>
    </row>
    <row r="57" spans="1:4">
      <c r="A57" s="296" t="s">
        <v>335</v>
      </c>
      <c r="B57" s="229" t="s">
        <v>501</v>
      </c>
      <c r="C57" s="230" t="s">
        <v>10</v>
      </c>
      <c r="D57" s="231">
        <v>75280</v>
      </c>
    </row>
    <row r="58" spans="1:4">
      <c r="A58" s="296" t="s">
        <v>336</v>
      </c>
      <c r="B58" s="229" t="s">
        <v>114</v>
      </c>
      <c r="C58" s="230" t="s">
        <v>9</v>
      </c>
      <c r="D58" s="228">
        <v>5610</v>
      </c>
    </row>
    <row r="59" spans="1:4">
      <c r="A59" s="296" t="s">
        <v>337</v>
      </c>
      <c r="B59" s="229" t="s">
        <v>113</v>
      </c>
      <c r="C59" s="230" t="s">
        <v>12</v>
      </c>
      <c r="D59" s="231">
        <v>11430</v>
      </c>
    </row>
    <row r="60" spans="1:4">
      <c r="A60" s="296" t="s">
        <v>338</v>
      </c>
      <c r="B60" s="229" t="s">
        <v>74</v>
      </c>
      <c r="C60" s="230" t="s">
        <v>8</v>
      </c>
      <c r="D60" s="231">
        <v>260010</v>
      </c>
    </row>
    <row r="61" spans="1:4">
      <c r="A61" s="296" t="s">
        <v>339</v>
      </c>
      <c r="B61" s="229" t="s">
        <v>165</v>
      </c>
      <c r="C61" s="230" t="s">
        <v>10</v>
      </c>
      <c r="D61" s="231">
        <v>2400</v>
      </c>
    </row>
    <row r="62" spans="1:4">
      <c r="A62" s="296" t="s">
        <v>340</v>
      </c>
      <c r="B62" s="229" t="s">
        <v>162</v>
      </c>
      <c r="C62" s="230" t="s">
        <v>10</v>
      </c>
      <c r="D62" s="231">
        <v>289580</v>
      </c>
    </row>
    <row r="63" spans="1:4">
      <c r="A63" s="296" t="s">
        <v>341</v>
      </c>
      <c r="B63" s="234" t="s">
        <v>151</v>
      </c>
      <c r="C63" s="230" t="s">
        <v>149</v>
      </c>
      <c r="D63" s="231">
        <v>10370</v>
      </c>
    </row>
    <row r="64" spans="1:4">
      <c r="A64" s="296" t="s">
        <v>342</v>
      </c>
      <c r="B64" s="229" t="s">
        <v>223</v>
      </c>
      <c r="C64" s="230" t="s">
        <v>10</v>
      </c>
      <c r="D64" s="228">
        <v>2150</v>
      </c>
    </row>
    <row r="65" spans="1:4">
      <c r="A65" s="296" t="s">
        <v>343</v>
      </c>
      <c r="B65" s="229" t="s">
        <v>222</v>
      </c>
      <c r="C65" s="230" t="s">
        <v>10</v>
      </c>
      <c r="D65" s="231">
        <v>17960</v>
      </c>
    </row>
    <row r="66" spans="1:4" ht="15">
      <c r="A66" s="296" t="s">
        <v>344</v>
      </c>
      <c r="B66" s="233" t="s">
        <v>268</v>
      </c>
      <c r="C66" s="290" t="s">
        <v>269</v>
      </c>
      <c r="D66" s="231">
        <v>49580</v>
      </c>
    </row>
    <row r="67" spans="1:4" ht="15">
      <c r="A67" s="368" t="s">
        <v>345</v>
      </c>
      <c r="B67" s="233" t="s">
        <v>270</v>
      </c>
      <c r="C67" s="290" t="s">
        <v>269</v>
      </c>
      <c r="D67" s="231">
        <v>48400</v>
      </c>
    </row>
    <row r="68" spans="1:4" ht="15">
      <c r="A68" s="296" t="s">
        <v>346</v>
      </c>
      <c r="B68" s="233" t="s">
        <v>271</v>
      </c>
      <c r="C68" s="290" t="s">
        <v>9</v>
      </c>
      <c r="D68" s="231">
        <v>17710</v>
      </c>
    </row>
    <row r="69" spans="1:4" ht="15">
      <c r="A69" s="296" t="s">
        <v>347</v>
      </c>
      <c r="B69" s="233" t="s">
        <v>272</v>
      </c>
      <c r="C69" s="290" t="s">
        <v>9</v>
      </c>
      <c r="D69" s="231">
        <v>9810</v>
      </c>
    </row>
    <row r="70" spans="1:4" ht="15">
      <c r="A70" s="296" t="s">
        <v>348</v>
      </c>
      <c r="B70" s="233" t="s">
        <v>273</v>
      </c>
      <c r="C70" s="290" t="s">
        <v>110</v>
      </c>
      <c r="D70" s="231">
        <v>1004</v>
      </c>
    </row>
    <row r="71" spans="1:4" ht="15">
      <c r="A71" s="296" t="s">
        <v>349</v>
      </c>
      <c r="B71" s="233" t="s">
        <v>274</v>
      </c>
      <c r="C71" s="290" t="s">
        <v>64</v>
      </c>
      <c r="D71" s="231">
        <v>170330</v>
      </c>
    </row>
    <row r="72" spans="1:4" ht="15">
      <c r="A72" s="296" t="s">
        <v>350</v>
      </c>
      <c r="B72" s="233" t="s">
        <v>275</v>
      </c>
      <c r="C72" s="290" t="s">
        <v>64</v>
      </c>
      <c r="D72" s="228">
        <v>59020</v>
      </c>
    </row>
    <row r="73" spans="1:4" ht="14.25" customHeight="1">
      <c r="A73" s="296" t="s">
        <v>351</v>
      </c>
      <c r="B73" s="233" t="s">
        <v>212</v>
      </c>
      <c r="C73" s="290" t="s">
        <v>12</v>
      </c>
      <c r="D73" s="231">
        <v>7210</v>
      </c>
    </row>
    <row r="74" spans="1:4" ht="14.25" customHeight="1">
      <c r="A74" s="296" t="s">
        <v>352</v>
      </c>
      <c r="B74" s="233" t="s">
        <v>276</v>
      </c>
      <c r="C74" s="290" t="s">
        <v>277</v>
      </c>
      <c r="D74" s="231">
        <v>463800</v>
      </c>
    </row>
    <row r="75" spans="1:4" ht="15">
      <c r="A75" s="296" t="s">
        <v>353</v>
      </c>
      <c r="B75" s="233" t="s">
        <v>2</v>
      </c>
      <c r="C75" s="290" t="s">
        <v>69</v>
      </c>
      <c r="D75" s="231">
        <v>1900</v>
      </c>
    </row>
    <row r="76" spans="1:4" ht="15">
      <c r="A76" s="296" t="s">
        <v>354</v>
      </c>
      <c r="B76" s="233" t="s">
        <v>3</v>
      </c>
      <c r="C76" s="290" t="s">
        <v>64</v>
      </c>
      <c r="D76" s="231">
        <v>64000</v>
      </c>
    </row>
    <row r="77" spans="1:4" ht="15">
      <c r="A77" s="296" t="s">
        <v>355</v>
      </c>
      <c r="B77" s="233" t="s">
        <v>278</v>
      </c>
      <c r="C77" s="290" t="s">
        <v>64</v>
      </c>
      <c r="D77" s="231">
        <v>69120</v>
      </c>
    </row>
    <row r="78" spans="1:4" ht="15">
      <c r="A78" s="296" t="s">
        <v>356</v>
      </c>
      <c r="B78" s="233" t="s">
        <v>4</v>
      </c>
      <c r="C78" s="290" t="s">
        <v>279</v>
      </c>
      <c r="D78" s="231">
        <v>4300</v>
      </c>
    </row>
    <row r="79" spans="1:4" ht="15">
      <c r="A79" s="296" t="s">
        <v>357</v>
      </c>
      <c r="B79" s="233" t="s">
        <v>280</v>
      </c>
      <c r="C79" s="290" t="s">
        <v>12</v>
      </c>
      <c r="D79" s="231">
        <v>22090</v>
      </c>
    </row>
    <row r="80" spans="1:4" ht="15">
      <c r="A80" s="296" t="s">
        <v>358</v>
      </c>
      <c r="B80" s="233" t="s">
        <v>508</v>
      </c>
      <c r="C80" s="290" t="s">
        <v>16</v>
      </c>
      <c r="D80" s="231">
        <v>2340</v>
      </c>
    </row>
    <row r="81" spans="1:4" ht="15">
      <c r="A81" s="296" t="s">
        <v>359</v>
      </c>
      <c r="B81" s="233" t="s">
        <v>281</v>
      </c>
      <c r="C81" s="290" t="s">
        <v>12</v>
      </c>
      <c r="D81" s="231">
        <v>4230</v>
      </c>
    </row>
    <row r="82" spans="1:4" ht="15">
      <c r="A82" s="296" t="s">
        <v>485</v>
      </c>
      <c r="B82" s="229" t="s">
        <v>484</v>
      </c>
      <c r="C82" s="290" t="s">
        <v>64</v>
      </c>
      <c r="D82" s="231">
        <v>119150</v>
      </c>
    </row>
    <row r="83" spans="1:4" ht="15">
      <c r="A83" s="368" t="s">
        <v>489</v>
      </c>
      <c r="B83" s="233" t="s">
        <v>486</v>
      </c>
      <c r="C83" s="290" t="s">
        <v>269</v>
      </c>
      <c r="D83" s="231">
        <v>56860</v>
      </c>
    </row>
    <row r="84" spans="1:4">
      <c r="A84" s="296" t="s">
        <v>490</v>
      </c>
      <c r="B84" s="233" t="s">
        <v>487</v>
      </c>
      <c r="C84" s="232" t="s">
        <v>492</v>
      </c>
      <c r="D84" s="231">
        <v>34140</v>
      </c>
    </row>
    <row r="85" spans="1:4">
      <c r="A85" s="296" t="s">
        <v>491</v>
      </c>
      <c r="B85" s="233" t="s">
        <v>488</v>
      </c>
      <c r="C85" s="232" t="s">
        <v>492</v>
      </c>
      <c r="D85" s="231">
        <v>22380</v>
      </c>
    </row>
    <row r="86" spans="1:4">
      <c r="A86" s="400" t="s">
        <v>496</v>
      </c>
      <c r="B86" s="233" t="s">
        <v>495</v>
      </c>
      <c r="C86" s="232" t="s">
        <v>110</v>
      </c>
      <c r="D86" s="231">
        <v>341210</v>
      </c>
    </row>
    <row r="87" spans="1:4">
      <c r="A87" s="296" t="s">
        <v>499</v>
      </c>
      <c r="B87" s="233" t="s">
        <v>498</v>
      </c>
      <c r="C87" s="232" t="s">
        <v>110</v>
      </c>
      <c r="D87" s="231">
        <v>37260</v>
      </c>
    </row>
    <row r="88" spans="1:4">
      <c r="A88" s="400" t="s">
        <v>502</v>
      </c>
      <c r="B88" s="233" t="s">
        <v>500</v>
      </c>
      <c r="C88" s="232" t="s">
        <v>110</v>
      </c>
      <c r="D88" s="228">
        <v>15850</v>
      </c>
    </row>
    <row r="89" spans="1:4">
      <c r="A89" s="296" t="s">
        <v>511</v>
      </c>
      <c r="B89" s="233" t="s">
        <v>510</v>
      </c>
      <c r="C89" s="232" t="s">
        <v>110</v>
      </c>
      <c r="D89" s="228">
        <v>27060</v>
      </c>
    </row>
    <row r="90" spans="1:4">
      <c r="A90" s="400" t="s">
        <v>512</v>
      </c>
      <c r="B90" s="233" t="s">
        <v>513</v>
      </c>
      <c r="C90" s="232" t="s">
        <v>110</v>
      </c>
      <c r="D90" s="231">
        <v>33830</v>
      </c>
    </row>
    <row r="91" spans="1:4">
      <c r="A91" s="296" t="s">
        <v>516</v>
      </c>
      <c r="B91" s="233" t="s">
        <v>517</v>
      </c>
      <c r="C91" s="232" t="s">
        <v>110</v>
      </c>
      <c r="D91" s="228">
        <v>31650</v>
      </c>
    </row>
    <row r="92" spans="1:4" ht="15">
      <c r="A92" s="400" t="s">
        <v>519</v>
      </c>
      <c r="B92" s="229" t="s">
        <v>518</v>
      </c>
      <c r="C92" s="290" t="s">
        <v>277</v>
      </c>
      <c r="D92" s="228">
        <v>315500</v>
      </c>
    </row>
    <row r="93" spans="1:4" ht="15" customHeight="1">
      <c r="A93" s="296" t="s">
        <v>520</v>
      </c>
      <c r="B93" s="229" t="s">
        <v>521</v>
      </c>
      <c r="C93" s="290" t="s">
        <v>277</v>
      </c>
      <c r="D93" s="231">
        <v>380660</v>
      </c>
    </row>
    <row r="94" spans="1:4" ht="15" customHeight="1">
      <c r="A94" s="400" t="s">
        <v>523</v>
      </c>
      <c r="B94" s="291" t="s">
        <v>522</v>
      </c>
      <c r="C94" s="290" t="s">
        <v>269</v>
      </c>
      <c r="D94" s="231">
        <v>13430</v>
      </c>
    </row>
    <row r="95" spans="1:4">
      <c r="A95" s="294"/>
      <c r="B95" s="291"/>
      <c r="C95" s="232"/>
      <c r="D95" s="231"/>
    </row>
    <row r="96" spans="1:4">
      <c r="A96" s="294"/>
      <c r="B96" s="291"/>
      <c r="C96" s="232"/>
      <c r="D96" s="228"/>
    </row>
    <row r="97" spans="1:4">
      <c r="A97" s="294"/>
      <c r="C97" s="232"/>
      <c r="D97" s="366"/>
    </row>
    <row r="98" spans="1:4">
      <c r="A98" s="294"/>
      <c r="B98" s="291"/>
      <c r="C98" s="232"/>
      <c r="D98" s="231"/>
    </row>
    <row r="99" spans="1:4">
      <c r="A99" s="294"/>
      <c r="C99" s="232"/>
      <c r="D99" s="366"/>
    </row>
    <row r="100" spans="1:4">
      <c r="A100" s="294"/>
      <c r="B100" s="291"/>
      <c r="C100" s="232"/>
      <c r="D100" s="228"/>
    </row>
    <row r="101" spans="1:4">
      <c r="A101" s="294"/>
      <c r="B101" s="291"/>
      <c r="C101" s="232"/>
      <c r="D101" s="228"/>
    </row>
    <row r="102" spans="1:4">
      <c r="A102" s="294"/>
      <c r="B102" s="291"/>
      <c r="C102" s="232"/>
      <c r="D102" s="228"/>
    </row>
    <row r="103" spans="1:4">
      <c r="A103" s="294"/>
      <c r="B103" s="291"/>
      <c r="C103" s="232"/>
      <c r="D103" s="228"/>
    </row>
    <row r="104" spans="1:4">
      <c r="A104" s="294"/>
      <c r="B104" s="291"/>
      <c r="C104" s="232"/>
      <c r="D104" s="228"/>
    </row>
    <row r="105" spans="1:4">
      <c r="A105" s="294"/>
      <c r="B105" s="291"/>
      <c r="C105" s="232"/>
      <c r="D105" s="228"/>
    </row>
    <row r="106" spans="1:4">
      <c r="A106" s="294"/>
      <c r="B106" s="291"/>
      <c r="C106" s="232"/>
      <c r="D106" s="228"/>
    </row>
    <row r="107" spans="1:4">
      <c r="A107" s="294"/>
      <c r="B107" s="291"/>
      <c r="C107" s="230"/>
      <c r="D107" s="228"/>
    </row>
    <row r="108" spans="1:4">
      <c r="A108" s="294"/>
      <c r="B108" s="291"/>
      <c r="C108" s="230"/>
      <c r="D108" s="231"/>
    </row>
    <row r="109" spans="1:4">
      <c r="A109" s="294"/>
      <c r="B109" s="291"/>
      <c r="C109" s="230"/>
      <c r="D109" s="231"/>
    </row>
    <row r="110" spans="1:4">
      <c r="A110" s="294"/>
      <c r="B110" s="291"/>
      <c r="C110" s="230"/>
      <c r="D110" s="228"/>
    </row>
    <row r="111" spans="1:4">
      <c r="A111" s="294"/>
      <c r="B111" s="291"/>
      <c r="C111" s="230"/>
      <c r="D111" s="231"/>
    </row>
    <row r="112" spans="1:4">
      <c r="A112" s="294"/>
      <c r="B112" s="291"/>
      <c r="C112" s="230"/>
      <c r="D112" s="228"/>
    </row>
    <row r="113" spans="1:4">
      <c r="A113" s="294"/>
      <c r="B113" s="291"/>
      <c r="C113" s="230"/>
      <c r="D113" s="228"/>
    </row>
    <row r="114" spans="1:4">
      <c r="A114" s="294"/>
      <c r="B114" s="291"/>
      <c r="C114" s="230"/>
      <c r="D114" s="231"/>
    </row>
    <row r="115" spans="1:4">
      <c r="A115" s="294"/>
      <c r="B115" s="291"/>
      <c r="C115" s="230"/>
      <c r="D115" s="231"/>
    </row>
    <row r="116" spans="1:4">
      <c r="A116" s="294"/>
      <c r="B116" s="291"/>
      <c r="C116" s="230"/>
      <c r="D116" s="231"/>
    </row>
    <row r="117" spans="1:4">
      <c r="A117" s="294"/>
      <c r="B117" s="291"/>
      <c r="C117" s="230"/>
      <c r="D117" s="228"/>
    </row>
    <row r="118" spans="1:4">
      <c r="A118" s="294"/>
      <c r="B118" s="291"/>
      <c r="C118" s="230"/>
      <c r="D118" s="231"/>
    </row>
    <row r="119" spans="1:4">
      <c r="A119" s="294"/>
      <c r="B119" s="292"/>
      <c r="C119" s="230"/>
      <c r="D119" s="231"/>
    </row>
    <row r="120" spans="1:4">
      <c r="A120" s="294"/>
      <c r="B120" s="292"/>
      <c r="C120" s="230"/>
      <c r="D120" s="231"/>
    </row>
    <row r="121" spans="1:4">
      <c r="A121" s="294"/>
      <c r="B121" s="291"/>
      <c r="C121" s="230"/>
      <c r="D121" s="228"/>
    </row>
    <row r="122" spans="1:4">
      <c r="A122" s="294"/>
      <c r="B122" s="291"/>
      <c r="C122" s="230"/>
      <c r="D122" s="231"/>
    </row>
    <row r="123" spans="1:4">
      <c r="A123" s="294"/>
      <c r="B123" s="293"/>
      <c r="C123" s="230"/>
      <c r="D123" s="231"/>
    </row>
    <row r="124" spans="1:4">
      <c r="A124" s="294"/>
      <c r="B124" s="291"/>
      <c r="C124" s="232"/>
      <c r="D124" s="228"/>
    </row>
    <row r="125" spans="1:4">
      <c r="A125" s="294"/>
      <c r="B125" s="291"/>
      <c r="C125" s="232"/>
      <c r="D125" s="228"/>
    </row>
    <row r="126" spans="1:4">
      <c r="A126" s="294"/>
      <c r="B126" s="291"/>
      <c r="C126" s="232"/>
      <c r="D126" s="228"/>
    </row>
    <row r="127" spans="1:4">
      <c r="A127" s="294"/>
      <c r="B127" s="291"/>
      <c r="C127" s="232"/>
      <c r="D127" s="228"/>
    </row>
    <row r="128" spans="1:4">
      <c r="A128" s="294"/>
      <c r="B128" s="291"/>
      <c r="C128" s="232"/>
      <c r="D128" s="231"/>
    </row>
    <row r="129" spans="1:4">
      <c r="A129" s="294"/>
      <c r="B129" s="291"/>
      <c r="C129" s="232"/>
      <c r="D129" s="231"/>
    </row>
    <row r="130" spans="1:4">
      <c r="A130" s="294"/>
      <c r="B130" s="291"/>
      <c r="C130" s="232"/>
      <c r="D130" s="231"/>
    </row>
    <row r="131" spans="1:4">
      <c r="A131" s="274"/>
      <c r="B131" s="229"/>
      <c r="C131" s="232"/>
      <c r="D131" s="231"/>
    </row>
    <row r="132" spans="1:4">
      <c r="A132" s="274"/>
      <c r="B132" s="229"/>
      <c r="C132" s="230"/>
      <c r="D132" s="228"/>
    </row>
    <row r="133" spans="1:4">
      <c r="A133" s="274"/>
      <c r="B133" s="229"/>
      <c r="C133" s="230"/>
      <c r="D133" s="231"/>
    </row>
    <row r="134" spans="1:4">
      <c r="A134" s="274"/>
      <c r="B134" s="229"/>
      <c r="C134" s="230"/>
      <c r="D134" s="231"/>
    </row>
    <row r="135" spans="1:4">
      <c r="A135" s="274"/>
      <c r="B135" s="229"/>
      <c r="C135" s="230"/>
      <c r="D135" s="231"/>
    </row>
    <row r="136" spans="1:4">
      <c r="A136" s="274"/>
      <c r="B136" s="229"/>
      <c r="C136" s="230"/>
      <c r="D136" s="228"/>
    </row>
    <row r="137" spans="1:4">
      <c r="A137" s="274"/>
      <c r="B137" s="229"/>
      <c r="C137" s="230"/>
      <c r="D137" s="231"/>
    </row>
    <row r="138" spans="1:4">
      <c r="A138" s="274"/>
      <c r="B138" s="229"/>
      <c r="C138" s="230"/>
      <c r="D138" s="231"/>
    </row>
    <row r="139" spans="1:4">
      <c r="A139" s="274"/>
      <c r="B139" s="229"/>
      <c r="C139" s="230"/>
      <c r="D139" s="228"/>
    </row>
    <row r="140" spans="1:4">
      <c r="A140" s="295"/>
      <c r="B140" s="229"/>
      <c r="C140" s="230"/>
      <c r="D140" s="231"/>
    </row>
    <row r="141" spans="1:4">
      <c r="A141" s="295"/>
      <c r="B141" s="229"/>
      <c r="C141" s="230"/>
      <c r="D141" s="231"/>
    </row>
    <row r="142" spans="1:4">
      <c r="A142"/>
      <c r="B142" s="277"/>
      <c r="C142" s="280"/>
      <c r="D142" s="276"/>
    </row>
    <row r="143" spans="1:4">
      <c r="B143" s="277"/>
      <c r="C143" s="280"/>
      <c r="D143" s="276"/>
    </row>
    <row r="144" spans="1:4">
      <c r="B144" s="222" t="s">
        <v>75</v>
      </c>
    </row>
    <row r="145" spans="2:2">
      <c r="B145" s="222" t="s">
        <v>76</v>
      </c>
    </row>
    <row r="146" spans="2:2">
      <c r="B146" s="222" t="s">
        <v>77</v>
      </c>
    </row>
    <row r="147" spans="2:2">
      <c r="B147" s="222" t="s">
        <v>78</v>
      </c>
    </row>
    <row r="148" spans="2:2">
      <c r="B148" s="222" t="s">
        <v>79</v>
      </c>
    </row>
    <row r="149" spans="2:2">
      <c r="B149" s="222" t="s">
        <v>80</v>
      </c>
    </row>
    <row r="150" spans="2:2">
      <c r="B150" s="222" t="s">
        <v>81</v>
      </c>
    </row>
  </sheetData>
  <autoFilter ref="B3:B150" xr:uid="{00000000-0009-0000-0000-000002000000}"/>
  <mergeCells count="1">
    <mergeCell ref="B2:D2"/>
  </mergeCells>
  <phoneticPr fontId="0" type="noConversion"/>
  <pageMargins left="0.75" right="0.75" top="1" bottom="1" header="0" footer="0"/>
  <pageSetup paperSize="9" scale="7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D97"/>
  <sheetViews>
    <sheetView topLeftCell="A4" zoomScaleNormal="100" zoomScaleSheetLayoutView="100" workbookViewId="0">
      <selection activeCell="D11" sqref="D11"/>
    </sheetView>
  </sheetViews>
  <sheetFormatPr baseColWidth="10" defaultRowHeight="12.75"/>
  <cols>
    <col min="1" max="1" width="12.5703125" style="113" customWidth="1"/>
    <col min="2" max="2" width="61.28515625" style="113" customWidth="1"/>
    <col min="3" max="3" width="10" style="213" customWidth="1"/>
    <col min="4" max="4" width="13" style="113" bestFit="1" customWidth="1"/>
    <col min="5" max="16384" width="11.42578125" style="113"/>
  </cols>
  <sheetData>
    <row r="1" spans="1:4" ht="13.5" thickBot="1"/>
    <row r="2" spans="1:4" ht="50.25" customHeight="1" thickBot="1">
      <c r="B2" s="510" t="str">
        <f>+'DATOS INICIALES '!C18</f>
        <v>XXXXXXXXXXXXXXXXXXXXXXXXXXXXXXXXXXXXXX</v>
      </c>
      <c r="C2" s="511"/>
      <c r="D2" s="512"/>
    </row>
    <row r="3" spans="1:4" ht="16.5" thickBot="1">
      <c r="A3" s="273" t="s">
        <v>255</v>
      </c>
      <c r="B3" s="214" t="s">
        <v>15</v>
      </c>
      <c r="C3" s="214" t="s">
        <v>16</v>
      </c>
      <c r="D3" s="215" t="s">
        <v>17</v>
      </c>
    </row>
    <row r="4" spans="1:4" ht="15">
      <c r="A4" s="367" t="s">
        <v>365</v>
      </c>
      <c r="B4" s="298" t="s">
        <v>360</v>
      </c>
      <c r="C4" s="217" t="s">
        <v>18</v>
      </c>
      <c r="D4" s="336">
        <v>20339</v>
      </c>
    </row>
    <row r="5" spans="1:4" ht="15">
      <c r="A5" s="300" t="s">
        <v>366</v>
      </c>
      <c r="B5" s="299" t="s">
        <v>361</v>
      </c>
      <c r="C5" s="217" t="s">
        <v>18</v>
      </c>
      <c r="D5" s="336">
        <v>20339</v>
      </c>
    </row>
    <row r="6" spans="1:4" ht="15">
      <c r="A6" s="300" t="s">
        <v>367</v>
      </c>
      <c r="B6" s="299" t="s">
        <v>256</v>
      </c>
      <c r="C6" s="217" t="s">
        <v>18</v>
      </c>
      <c r="D6" s="336">
        <v>16271</v>
      </c>
    </row>
    <row r="7" spans="1:4" ht="15">
      <c r="A7" s="300" t="s">
        <v>368</v>
      </c>
      <c r="B7" s="299" t="s">
        <v>362</v>
      </c>
      <c r="C7" s="217" t="s">
        <v>18</v>
      </c>
      <c r="D7" s="336">
        <v>20339</v>
      </c>
    </row>
    <row r="8" spans="1:4" ht="15">
      <c r="A8" s="300" t="s">
        <v>369</v>
      </c>
      <c r="B8" s="299" t="s">
        <v>363</v>
      </c>
      <c r="C8" s="217" t="s">
        <v>18</v>
      </c>
      <c r="D8" s="336">
        <v>13574</v>
      </c>
    </row>
    <row r="9" spans="1:4" ht="15">
      <c r="A9" s="300" t="s">
        <v>370</v>
      </c>
      <c r="B9" s="299" t="s">
        <v>364</v>
      </c>
      <c r="C9" s="217" t="s">
        <v>18</v>
      </c>
      <c r="D9" s="336">
        <v>8003</v>
      </c>
    </row>
    <row r="10" spans="1:4" ht="15">
      <c r="A10" s="300" t="s">
        <v>371</v>
      </c>
      <c r="B10" s="299" t="s">
        <v>166</v>
      </c>
      <c r="C10" s="217" t="s">
        <v>18</v>
      </c>
      <c r="D10" s="336">
        <v>2715</v>
      </c>
    </row>
    <row r="11" spans="1:4" ht="15">
      <c r="A11" s="399" t="s">
        <v>372</v>
      </c>
      <c r="B11" s="299" t="s">
        <v>19</v>
      </c>
      <c r="C11" s="217" t="s">
        <v>18</v>
      </c>
      <c r="D11" s="336">
        <v>39346</v>
      </c>
    </row>
    <row r="12" spans="1:4" ht="15">
      <c r="A12" s="406" t="s">
        <v>373</v>
      </c>
      <c r="B12" s="299" t="s">
        <v>507</v>
      </c>
      <c r="C12" s="217" t="s">
        <v>18</v>
      </c>
      <c r="D12" s="336">
        <v>13282</v>
      </c>
    </row>
    <row r="13" spans="1:4" ht="15">
      <c r="A13" s="300" t="s">
        <v>374</v>
      </c>
      <c r="B13" s="299" t="s">
        <v>481</v>
      </c>
      <c r="C13" s="217" t="s">
        <v>18</v>
      </c>
      <c r="D13" s="336">
        <v>31870</v>
      </c>
    </row>
    <row r="14" spans="1:4" ht="15">
      <c r="A14" s="300" t="s">
        <v>375</v>
      </c>
      <c r="B14" s="299" t="s">
        <v>482</v>
      </c>
      <c r="C14" s="219" t="s">
        <v>18</v>
      </c>
      <c r="D14" s="336">
        <v>17706</v>
      </c>
    </row>
    <row r="15" spans="1:4" ht="15">
      <c r="A15" s="349" t="s">
        <v>376</v>
      </c>
      <c r="B15" s="299" t="s">
        <v>483</v>
      </c>
      <c r="C15" s="219" t="s">
        <v>18</v>
      </c>
      <c r="D15" s="337">
        <v>105610</v>
      </c>
    </row>
    <row r="16" spans="1:4" ht="15">
      <c r="A16" s="300" t="s">
        <v>377</v>
      </c>
      <c r="B16" s="299" t="s">
        <v>1</v>
      </c>
      <c r="C16" s="219" t="s">
        <v>18</v>
      </c>
      <c r="D16" s="336">
        <v>105554</v>
      </c>
    </row>
    <row r="17" spans="1:4" ht="15">
      <c r="A17" s="300" t="s">
        <v>378</v>
      </c>
      <c r="B17" s="299" t="s">
        <v>514</v>
      </c>
      <c r="C17" s="219" t="s">
        <v>18</v>
      </c>
      <c r="D17" s="336">
        <v>53606</v>
      </c>
    </row>
    <row r="18" spans="1:4" ht="15">
      <c r="A18" s="300" t="s">
        <v>379</v>
      </c>
      <c r="B18" s="299"/>
      <c r="C18" s="219" t="s">
        <v>18</v>
      </c>
      <c r="D18" s="336"/>
    </row>
    <row r="19" spans="1:4" ht="15">
      <c r="A19" s="300" t="s">
        <v>380</v>
      </c>
      <c r="B19" s="299"/>
      <c r="C19" s="219" t="s">
        <v>18</v>
      </c>
      <c r="D19" s="336"/>
    </row>
    <row r="20" spans="1:4" ht="15">
      <c r="A20" s="300" t="s">
        <v>381</v>
      </c>
      <c r="B20" s="299"/>
      <c r="C20" s="219" t="s">
        <v>18</v>
      </c>
      <c r="D20" s="336"/>
    </row>
    <row r="21" spans="1:4" ht="15">
      <c r="A21" s="300" t="s">
        <v>382</v>
      </c>
      <c r="B21" s="299"/>
      <c r="C21" s="219" t="s">
        <v>18</v>
      </c>
      <c r="D21" s="336"/>
    </row>
    <row r="22" spans="1:4" ht="15">
      <c r="A22" s="300" t="s">
        <v>383</v>
      </c>
      <c r="B22" s="299" t="s">
        <v>20</v>
      </c>
      <c r="C22" s="219" t="s">
        <v>18</v>
      </c>
      <c r="D22" s="336"/>
    </row>
    <row r="23" spans="1:4" ht="15">
      <c r="A23" s="300" t="s">
        <v>384</v>
      </c>
      <c r="B23" s="299" t="s">
        <v>229</v>
      </c>
      <c r="C23" s="219" t="s">
        <v>18</v>
      </c>
      <c r="D23" s="336"/>
    </row>
    <row r="24" spans="1:4" ht="15">
      <c r="A24" s="300" t="s">
        <v>385</v>
      </c>
      <c r="B24" s="216" t="s">
        <v>21</v>
      </c>
      <c r="C24" s="219" t="s">
        <v>18</v>
      </c>
      <c r="D24" s="336"/>
    </row>
    <row r="25" spans="1:4" ht="15">
      <c r="A25" s="300" t="s">
        <v>386</v>
      </c>
      <c r="B25" s="216" t="s">
        <v>22</v>
      </c>
      <c r="C25" s="219" t="s">
        <v>18</v>
      </c>
      <c r="D25" s="336"/>
    </row>
    <row r="26" spans="1:4" ht="15">
      <c r="A26" s="300" t="s">
        <v>387</v>
      </c>
      <c r="B26" s="216" t="s">
        <v>129</v>
      </c>
      <c r="C26" s="219" t="s">
        <v>18</v>
      </c>
      <c r="D26" s="337"/>
    </row>
    <row r="27" spans="1:4" ht="15">
      <c r="A27" s="300" t="s">
        <v>388</v>
      </c>
      <c r="B27" s="216" t="s">
        <v>23</v>
      </c>
      <c r="C27" s="219" t="s">
        <v>18</v>
      </c>
      <c r="D27" s="336"/>
    </row>
    <row r="28" spans="1:4" ht="15">
      <c r="A28" s="300" t="s">
        <v>389</v>
      </c>
      <c r="B28" s="216" t="s">
        <v>24</v>
      </c>
      <c r="C28" s="219" t="s">
        <v>18</v>
      </c>
      <c r="D28" s="336"/>
    </row>
    <row r="29" spans="1:4" ht="15">
      <c r="A29" s="300" t="s">
        <v>390</v>
      </c>
      <c r="B29" s="216" t="s">
        <v>25</v>
      </c>
      <c r="C29" s="219" t="s">
        <v>18</v>
      </c>
      <c r="D29" s="336"/>
    </row>
    <row r="30" spans="1:4" ht="15">
      <c r="A30" s="300" t="s">
        <v>391</v>
      </c>
      <c r="B30" s="216" t="s">
        <v>26</v>
      </c>
      <c r="C30" s="219" t="s">
        <v>18</v>
      </c>
      <c r="D30" s="336"/>
    </row>
    <row r="31" spans="1:4" ht="15">
      <c r="A31" s="300" t="s">
        <v>392</v>
      </c>
      <c r="B31" s="216" t="s">
        <v>27</v>
      </c>
      <c r="C31" s="219" t="s">
        <v>18</v>
      </c>
      <c r="D31" s="336"/>
    </row>
    <row r="32" spans="1:4" ht="15">
      <c r="A32" s="300" t="s">
        <v>393</v>
      </c>
      <c r="B32" s="216" t="s">
        <v>232</v>
      </c>
      <c r="C32" s="219" t="s">
        <v>18</v>
      </c>
      <c r="D32" s="336"/>
    </row>
    <row r="33" spans="1:4" ht="12.75" customHeight="1">
      <c r="A33" s="300" t="s">
        <v>394</v>
      </c>
      <c r="B33" s="216" t="s">
        <v>218</v>
      </c>
      <c r="C33" s="219" t="s">
        <v>18</v>
      </c>
      <c r="D33" s="338"/>
    </row>
    <row r="34" spans="1:4" ht="12.75" customHeight="1">
      <c r="A34" s="300" t="s">
        <v>395</v>
      </c>
      <c r="B34" s="216" t="s">
        <v>28</v>
      </c>
      <c r="C34" s="219" t="s">
        <v>18</v>
      </c>
      <c r="D34" s="336"/>
    </row>
    <row r="35" spans="1:4" ht="12.75" customHeight="1">
      <c r="A35" s="300" t="s">
        <v>396</v>
      </c>
      <c r="B35" s="216" t="s">
        <v>29</v>
      </c>
      <c r="C35" s="219" t="s">
        <v>18</v>
      </c>
      <c r="D35" s="336"/>
    </row>
    <row r="36" spans="1:4" ht="12.75" customHeight="1">
      <c r="A36" s="300" t="s">
        <v>397</v>
      </c>
      <c r="B36" s="216" t="s">
        <v>230</v>
      </c>
      <c r="C36" s="219" t="s">
        <v>18</v>
      </c>
      <c r="D36" s="337"/>
    </row>
    <row r="37" spans="1:4" ht="12.75" customHeight="1">
      <c r="A37" s="300" t="s">
        <v>398</v>
      </c>
      <c r="B37" s="216" t="s">
        <v>157</v>
      </c>
      <c r="C37" s="219" t="s">
        <v>18</v>
      </c>
      <c r="D37" s="337"/>
    </row>
    <row r="38" spans="1:4" ht="12.75" customHeight="1">
      <c r="A38" s="300" t="s">
        <v>399</v>
      </c>
      <c r="B38" s="216" t="s">
        <v>231</v>
      </c>
      <c r="C38" s="219" t="s">
        <v>18</v>
      </c>
      <c r="D38" s="337"/>
    </row>
    <row r="39" spans="1:4" ht="12.75" customHeight="1">
      <c r="A39" s="300" t="s">
        <v>400</v>
      </c>
      <c r="B39" s="216" t="s">
        <v>30</v>
      </c>
      <c r="C39" s="219" t="s">
        <v>18</v>
      </c>
      <c r="D39" s="336"/>
    </row>
    <row r="40" spans="1:4" ht="15">
      <c r="A40" s="300" t="s">
        <v>401</v>
      </c>
      <c r="B40" s="216" t="s">
        <v>31</v>
      </c>
      <c r="C40" s="219" t="s">
        <v>18</v>
      </c>
      <c r="D40" s="336"/>
    </row>
    <row r="41" spans="1:4" ht="15">
      <c r="A41" s="300" t="s">
        <v>402</v>
      </c>
      <c r="B41" s="216" t="s">
        <v>32</v>
      </c>
      <c r="C41" s="219" t="s">
        <v>18</v>
      </c>
      <c r="D41" s="336"/>
    </row>
    <row r="42" spans="1:4" ht="15">
      <c r="A42" s="300" t="s">
        <v>403</v>
      </c>
      <c r="B42" s="216" t="s">
        <v>233</v>
      </c>
      <c r="C42" s="219" t="s">
        <v>18</v>
      </c>
      <c r="D42" s="337"/>
    </row>
    <row r="43" spans="1:4" ht="15">
      <c r="A43" s="300" t="s">
        <v>404</v>
      </c>
      <c r="B43" s="216" t="s">
        <v>234</v>
      </c>
      <c r="C43" s="219" t="s">
        <v>18</v>
      </c>
      <c r="D43" s="337"/>
    </row>
    <row r="44" spans="1:4" ht="15">
      <c r="A44" s="300" t="s">
        <v>405</v>
      </c>
      <c r="B44" s="216" t="s">
        <v>235</v>
      </c>
      <c r="C44" s="219" t="s">
        <v>18</v>
      </c>
      <c r="D44" s="337"/>
    </row>
    <row r="45" spans="1:4" ht="15">
      <c r="A45" s="300" t="s">
        <v>406</v>
      </c>
      <c r="B45" s="216" t="s">
        <v>163</v>
      </c>
      <c r="C45" s="219" t="s">
        <v>18</v>
      </c>
      <c r="D45" s="337"/>
    </row>
    <row r="46" spans="1:4" ht="15">
      <c r="A46" s="300" t="s">
        <v>407</v>
      </c>
      <c r="B46" s="216" t="s">
        <v>236</v>
      </c>
      <c r="C46" s="219" t="s">
        <v>18</v>
      </c>
      <c r="D46" s="337"/>
    </row>
    <row r="47" spans="1:4" ht="15">
      <c r="A47" s="300" t="s">
        <v>408</v>
      </c>
      <c r="B47" s="216" t="s">
        <v>164</v>
      </c>
      <c r="C47" s="219" t="s">
        <v>18</v>
      </c>
      <c r="D47" s="337"/>
    </row>
    <row r="48" spans="1:4" ht="15">
      <c r="A48" s="300" t="s">
        <v>409</v>
      </c>
      <c r="B48" s="216" t="s">
        <v>237</v>
      </c>
      <c r="C48" s="219" t="s">
        <v>18</v>
      </c>
      <c r="D48" s="336"/>
    </row>
    <row r="49" spans="1:4" ht="15">
      <c r="A49" s="300" t="s">
        <v>410</v>
      </c>
      <c r="B49" s="216" t="s">
        <v>171</v>
      </c>
      <c r="C49" s="219" t="s">
        <v>18</v>
      </c>
      <c r="D49" s="337"/>
    </row>
    <row r="50" spans="1:4" ht="15">
      <c r="A50" s="300" t="s">
        <v>411</v>
      </c>
      <c r="B50" s="216" t="s">
        <v>33</v>
      </c>
      <c r="C50" s="219" t="s">
        <v>18</v>
      </c>
      <c r="D50" s="336"/>
    </row>
    <row r="51" spans="1:4" ht="15">
      <c r="A51" s="300" t="s">
        <v>412</v>
      </c>
      <c r="B51" s="216" t="s">
        <v>238</v>
      </c>
      <c r="C51" s="219" t="s">
        <v>18</v>
      </c>
      <c r="D51" s="337"/>
    </row>
    <row r="52" spans="1:4" ht="15">
      <c r="A52" s="300" t="s">
        <v>413</v>
      </c>
      <c r="B52" s="216" t="s">
        <v>34</v>
      </c>
      <c r="C52" s="219" t="s">
        <v>18</v>
      </c>
      <c r="D52" s="336"/>
    </row>
    <row r="53" spans="1:4" ht="15">
      <c r="A53" s="300" t="s">
        <v>414</v>
      </c>
      <c r="B53" s="216" t="s">
        <v>35</v>
      </c>
      <c r="C53" s="219" t="s">
        <v>18</v>
      </c>
      <c r="D53" s="336"/>
    </row>
    <row r="54" spans="1:4" ht="15">
      <c r="A54" s="300" t="s">
        <v>415</v>
      </c>
      <c r="B54" s="216" t="s">
        <v>155</v>
      </c>
      <c r="C54" s="219" t="s">
        <v>18</v>
      </c>
      <c r="D54" s="336"/>
    </row>
    <row r="55" spans="1:4" ht="15">
      <c r="A55" s="300" t="s">
        <v>416</v>
      </c>
      <c r="B55" s="216" t="s">
        <v>239</v>
      </c>
      <c r="C55" s="219" t="s">
        <v>18</v>
      </c>
      <c r="D55" s="336"/>
    </row>
    <row r="56" spans="1:4" ht="15">
      <c r="A56" s="300" t="s">
        <v>417</v>
      </c>
      <c r="B56" s="216" t="s">
        <v>36</v>
      </c>
      <c r="C56" s="219" t="s">
        <v>18</v>
      </c>
      <c r="D56" s="336"/>
    </row>
    <row r="57" spans="1:4" ht="15">
      <c r="A57" s="300" t="s">
        <v>418</v>
      </c>
      <c r="B57" s="216" t="s">
        <v>178</v>
      </c>
      <c r="C57" s="219" t="s">
        <v>18</v>
      </c>
      <c r="D57" s="337"/>
    </row>
    <row r="58" spans="1:4" ht="15">
      <c r="A58" s="300" t="s">
        <v>419</v>
      </c>
      <c r="B58" s="216" t="s">
        <v>172</v>
      </c>
      <c r="C58" s="219" t="s">
        <v>18</v>
      </c>
      <c r="D58" s="336"/>
    </row>
    <row r="59" spans="1:4" ht="15">
      <c r="A59" s="300" t="s">
        <v>420</v>
      </c>
      <c r="B59" s="216" t="s">
        <v>37</v>
      </c>
      <c r="C59" s="219" t="s">
        <v>18</v>
      </c>
      <c r="D59" s="336"/>
    </row>
    <row r="60" spans="1:4" ht="15">
      <c r="A60" s="300" t="s">
        <v>421</v>
      </c>
      <c r="B60" s="216" t="s">
        <v>38</v>
      </c>
      <c r="C60" s="219" t="s">
        <v>18</v>
      </c>
      <c r="D60" s="336"/>
    </row>
    <row r="61" spans="1:4" ht="15">
      <c r="A61" s="300" t="s">
        <v>422</v>
      </c>
      <c r="B61" s="216" t="s">
        <v>213</v>
      </c>
      <c r="C61" s="219" t="s">
        <v>18</v>
      </c>
      <c r="D61" s="336"/>
    </row>
    <row r="62" spans="1:4" ht="15">
      <c r="A62" s="300" t="s">
        <v>423</v>
      </c>
      <c r="B62" s="216" t="s">
        <v>119</v>
      </c>
      <c r="C62" s="219" t="s">
        <v>18</v>
      </c>
      <c r="D62" s="336"/>
    </row>
    <row r="63" spans="1:4" ht="15">
      <c r="A63" s="300" t="s">
        <v>424</v>
      </c>
      <c r="B63" s="216" t="s">
        <v>39</v>
      </c>
      <c r="C63" s="219" t="s">
        <v>18</v>
      </c>
      <c r="D63" s="336"/>
    </row>
    <row r="64" spans="1:4" ht="15">
      <c r="A64" s="300" t="s">
        <v>425</v>
      </c>
      <c r="B64" s="216" t="s">
        <v>214</v>
      </c>
      <c r="C64" s="219" t="s">
        <v>18</v>
      </c>
      <c r="D64" s="337"/>
    </row>
    <row r="65" spans="1:4" ht="15">
      <c r="A65" s="300" t="s">
        <v>426</v>
      </c>
      <c r="B65" s="216" t="s">
        <v>153</v>
      </c>
      <c r="C65" s="219" t="s">
        <v>18</v>
      </c>
      <c r="D65" s="336">
        <v>13324</v>
      </c>
    </row>
    <row r="66" spans="1:4" ht="15">
      <c r="A66" s="300" t="s">
        <v>427</v>
      </c>
      <c r="B66" s="216" t="s">
        <v>158</v>
      </c>
      <c r="C66" s="219" t="s">
        <v>18</v>
      </c>
      <c r="D66" s="336"/>
    </row>
    <row r="67" spans="1:4" ht="15">
      <c r="A67" s="300" t="s">
        <v>428</v>
      </c>
      <c r="B67" s="216" t="s">
        <v>170</v>
      </c>
      <c r="C67" s="219" t="s">
        <v>18</v>
      </c>
      <c r="D67" s="336"/>
    </row>
    <row r="68" spans="1:4" ht="15">
      <c r="A68" s="300" t="s">
        <v>429</v>
      </c>
      <c r="B68" s="216" t="s">
        <v>40</v>
      </c>
      <c r="C68" s="219" t="s">
        <v>18</v>
      </c>
      <c r="D68" s="336"/>
    </row>
    <row r="69" spans="1:4" ht="15">
      <c r="A69" s="300" t="s">
        <v>430</v>
      </c>
      <c r="B69" s="216" t="s">
        <v>116</v>
      </c>
      <c r="C69" s="219" t="s">
        <v>18</v>
      </c>
      <c r="D69" s="336"/>
    </row>
    <row r="70" spans="1:4" ht="15">
      <c r="A70" s="300" t="s">
        <v>431</v>
      </c>
      <c r="B70" s="216" t="s">
        <v>240</v>
      </c>
      <c r="C70" s="219" t="s">
        <v>18</v>
      </c>
      <c r="D70" s="337"/>
    </row>
    <row r="71" spans="1:4" ht="15">
      <c r="A71" s="300" t="s">
        <v>432</v>
      </c>
      <c r="B71" s="216" t="s">
        <v>152</v>
      </c>
      <c r="C71" s="219" t="s">
        <v>18</v>
      </c>
      <c r="D71" s="336"/>
    </row>
    <row r="72" spans="1:4" ht="15">
      <c r="A72" s="300" t="s">
        <v>433</v>
      </c>
      <c r="B72" s="216" t="s">
        <v>41</v>
      </c>
      <c r="C72" s="219" t="s">
        <v>14</v>
      </c>
      <c r="D72" s="336"/>
    </row>
    <row r="73" spans="1:4" ht="15">
      <c r="A73" s="300" t="s">
        <v>434</v>
      </c>
      <c r="B73" s="216" t="s">
        <v>128</v>
      </c>
      <c r="C73" s="219" t="s">
        <v>14</v>
      </c>
      <c r="D73" s="336"/>
    </row>
    <row r="74" spans="1:4" ht="15">
      <c r="A74" s="300" t="s">
        <v>435</v>
      </c>
      <c r="B74" s="216" t="s">
        <v>42</v>
      </c>
      <c r="C74" s="219" t="s">
        <v>18</v>
      </c>
      <c r="D74" s="336"/>
    </row>
    <row r="75" spans="1:4" ht="15">
      <c r="A75" s="300" t="s">
        <v>436</v>
      </c>
      <c r="B75" s="216" t="s">
        <v>43</v>
      </c>
      <c r="C75" s="219" t="s">
        <v>18</v>
      </c>
      <c r="D75" s="336"/>
    </row>
    <row r="76" spans="1:4" ht="15">
      <c r="A76" s="300" t="s">
        <v>437</v>
      </c>
      <c r="B76" s="216" t="s">
        <v>44</v>
      </c>
      <c r="C76" s="219" t="s">
        <v>18</v>
      </c>
      <c r="D76" s="336"/>
    </row>
    <row r="77" spans="1:4" ht="15">
      <c r="A77" s="300" t="s">
        <v>438</v>
      </c>
      <c r="B77" s="216" t="s">
        <v>118</v>
      </c>
      <c r="C77" s="219" t="s">
        <v>18</v>
      </c>
      <c r="D77" s="336"/>
    </row>
    <row r="78" spans="1:4" ht="15">
      <c r="A78" s="300" t="s">
        <v>439</v>
      </c>
      <c r="B78" s="216" t="s">
        <v>130</v>
      </c>
      <c r="C78" s="219" t="s">
        <v>18</v>
      </c>
      <c r="D78" s="336"/>
    </row>
    <row r="79" spans="1:4" ht="15">
      <c r="A79" s="300" t="s">
        <v>440</v>
      </c>
      <c r="B79" s="216" t="s">
        <v>258</v>
      </c>
      <c r="C79" s="219" t="s">
        <v>18</v>
      </c>
      <c r="D79" s="336"/>
    </row>
    <row r="80" spans="1:4" ht="15">
      <c r="A80" s="300" t="s">
        <v>466</v>
      </c>
      <c r="B80" s="216" t="s">
        <v>211</v>
      </c>
      <c r="C80" s="219" t="s">
        <v>18</v>
      </c>
      <c r="D80" s="336"/>
    </row>
    <row r="81" spans="2:4">
      <c r="B81" s="277"/>
      <c r="C81" s="278"/>
      <c r="D81" s="279"/>
    </row>
    <row r="82" spans="2:4">
      <c r="B82" s="277"/>
      <c r="C82" s="278"/>
      <c r="D82" s="279"/>
    </row>
    <row r="83" spans="2:4">
      <c r="B83" s="277"/>
      <c r="C83" s="278"/>
      <c r="D83" s="279"/>
    </row>
    <row r="84" spans="2:4">
      <c r="B84" s="277"/>
      <c r="C84" s="278"/>
      <c r="D84" s="279"/>
    </row>
    <row r="85" spans="2:4">
      <c r="B85" s="277"/>
      <c r="C85" s="278"/>
      <c r="D85" s="279"/>
    </row>
    <row r="86" spans="2:4">
      <c r="B86" s="277"/>
      <c r="C86" s="278"/>
      <c r="D86" s="279"/>
    </row>
    <row r="87" spans="2:4" ht="13.5">
      <c r="B87" s="312" t="s">
        <v>478</v>
      </c>
      <c r="C87" s="278"/>
      <c r="D87" s="279"/>
    </row>
    <row r="88" spans="2:4" ht="13.5">
      <c r="B88" s="312" t="s">
        <v>477</v>
      </c>
    </row>
    <row r="89" spans="2:4" ht="13.5">
      <c r="B89" s="222" t="s">
        <v>45</v>
      </c>
      <c r="C89" s="223"/>
      <c r="D89" s="222"/>
    </row>
    <row r="90" spans="2:4" ht="13.5">
      <c r="B90" s="513" t="s">
        <v>46</v>
      </c>
      <c r="C90" s="513"/>
      <c r="D90" s="513"/>
    </row>
    <row r="91" spans="2:4" ht="13.5">
      <c r="B91" s="514" t="s">
        <v>47</v>
      </c>
      <c r="C91" s="514"/>
      <c r="D91" s="222"/>
    </row>
    <row r="92" spans="2:4" ht="15.75">
      <c r="B92" s="154"/>
      <c r="C92" s="224"/>
      <c r="D92" s="225"/>
    </row>
    <row r="93" spans="2:4" ht="15.75">
      <c r="B93" s="154"/>
      <c r="C93" s="224"/>
      <c r="D93" s="225"/>
    </row>
    <row r="94" spans="2:4" ht="15.75">
      <c r="B94" s="154"/>
      <c r="C94" s="224"/>
      <c r="D94" s="225"/>
    </row>
    <row r="95" spans="2:4" ht="15.75">
      <c r="B95" s="154"/>
      <c r="C95" s="224"/>
      <c r="D95" s="225"/>
    </row>
    <row r="96" spans="2:4" ht="15.75">
      <c r="B96" s="154"/>
      <c r="C96" s="224"/>
      <c r="D96" s="225"/>
    </row>
    <row r="97" spans="2:4" ht="15.75">
      <c r="B97" s="154"/>
      <c r="C97" s="224"/>
      <c r="D97" s="225"/>
    </row>
  </sheetData>
  <mergeCells count="3">
    <mergeCell ref="B90:D90"/>
    <mergeCell ref="B91:C91"/>
    <mergeCell ref="B2:D2"/>
  </mergeCells>
  <phoneticPr fontId="0" type="noConversion"/>
  <pageMargins left="0.75" right="0.75" top="1" bottom="1" header="0" footer="0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01"/>
  <sheetViews>
    <sheetView zoomScaleNormal="100" zoomScaleSheetLayoutView="100" workbookViewId="0">
      <selection activeCell="C17" sqref="C17"/>
    </sheetView>
  </sheetViews>
  <sheetFormatPr baseColWidth="10" defaultRowHeight="12.75"/>
  <cols>
    <col min="1" max="1" width="12.5703125" style="113" customWidth="1"/>
    <col min="2" max="2" width="53.140625" style="113" customWidth="1"/>
    <col min="3" max="3" width="15.5703125" style="213" customWidth="1"/>
    <col min="4" max="4" width="14.28515625" style="213" customWidth="1"/>
    <col min="5" max="5" width="13" style="113" bestFit="1" customWidth="1"/>
    <col min="6" max="16384" width="11.42578125" style="113"/>
  </cols>
  <sheetData>
    <row r="1" spans="1:5" ht="13.5" thickBot="1"/>
    <row r="2" spans="1:5" ht="50.25" customHeight="1" thickBot="1">
      <c r="B2" s="510" t="str">
        <f>+'DATOS INICIALES '!C18</f>
        <v>XXXXXXXXXXXXXXXXXXXXXXXXXXXXXXXXXXXXXX</v>
      </c>
      <c r="C2" s="511"/>
      <c r="D2" s="511"/>
      <c r="E2" s="512"/>
    </row>
    <row r="3" spans="1:5" ht="16.5" thickBot="1">
      <c r="A3" s="273" t="s">
        <v>255</v>
      </c>
      <c r="B3" s="214" t="s">
        <v>452</v>
      </c>
      <c r="C3" s="214" t="s">
        <v>145</v>
      </c>
      <c r="D3" s="214" t="s">
        <v>84</v>
      </c>
      <c r="E3" s="215" t="s">
        <v>17</v>
      </c>
    </row>
    <row r="4" spans="1:5" ht="15">
      <c r="A4" s="300" t="s">
        <v>441</v>
      </c>
      <c r="B4" s="298" t="s">
        <v>453</v>
      </c>
      <c r="C4" s="305">
        <v>72000</v>
      </c>
      <c r="D4" s="306">
        <v>1.85</v>
      </c>
      <c r="E4" s="218">
        <f>+C4*D4</f>
        <v>133200</v>
      </c>
    </row>
    <row r="5" spans="1:5" ht="15">
      <c r="A5" s="300" t="s">
        <v>442</v>
      </c>
      <c r="B5" s="299" t="s">
        <v>86</v>
      </c>
      <c r="C5" s="305">
        <v>88000</v>
      </c>
      <c r="D5" s="306">
        <v>1.85</v>
      </c>
      <c r="E5" s="218">
        <f t="shared" ref="E5:E23" si="0">+C5*D5</f>
        <v>162800</v>
      </c>
    </row>
    <row r="6" spans="1:5" ht="15">
      <c r="A6" s="300" t="s">
        <v>443</v>
      </c>
      <c r="B6" s="299" t="s">
        <v>454</v>
      </c>
      <c r="C6" s="305">
        <v>72000</v>
      </c>
      <c r="D6" s="306">
        <v>1.85</v>
      </c>
      <c r="E6" s="218">
        <f t="shared" si="0"/>
        <v>133200</v>
      </c>
    </row>
    <row r="7" spans="1:5" ht="15">
      <c r="A7" s="300" t="s">
        <v>444</v>
      </c>
      <c r="B7" s="299" t="s">
        <v>455</v>
      </c>
      <c r="C7" s="305">
        <v>72000</v>
      </c>
      <c r="D7" s="306">
        <v>1.85</v>
      </c>
      <c r="E7" s="218">
        <f t="shared" si="0"/>
        <v>133200</v>
      </c>
    </row>
    <row r="8" spans="1:5" ht="15">
      <c r="A8" s="300" t="s">
        <v>445</v>
      </c>
      <c r="B8" s="299" t="s">
        <v>456</v>
      </c>
      <c r="C8" s="305">
        <v>72000</v>
      </c>
      <c r="D8" s="306">
        <v>1.85</v>
      </c>
      <c r="E8" s="218">
        <f t="shared" si="0"/>
        <v>133200</v>
      </c>
    </row>
    <row r="9" spans="1:5" ht="15">
      <c r="A9" s="399" t="s">
        <v>446</v>
      </c>
      <c r="B9" s="299" t="s">
        <v>457</v>
      </c>
      <c r="C9" s="305">
        <v>28000</v>
      </c>
      <c r="D9" s="306">
        <v>1.85</v>
      </c>
      <c r="E9" s="218">
        <f t="shared" si="0"/>
        <v>51800</v>
      </c>
    </row>
    <row r="10" spans="1:5" ht="15">
      <c r="A10" s="300" t="s">
        <v>447</v>
      </c>
      <c r="B10" s="299" t="s">
        <v>461</v>
      </c>
      <c r="C10" s="305">
        <v>83000</v>
      </c>
      <c r="D10" s="306">
        <v>1.85</v>
      </c>
      <c r="E10" s="218">
        <f t="shared" si="0"/>
        <v>153550</v>
      </c>
    </row>
    <row r="11" spans="1:5" ht="15">
      <c r="A11" s="300" t="s">
        <v>448</v>
      </c>
      <c r="B11" s="299" t="s">
        <v>85</v>
      </c>
      <c r="C11" s="305">
        <v>48000</v>
      </c>
      <c r="D11" s="306">
        <v>1.85</v>
      </c>
      <c r="E11" s="218">
        <f t="shared" si="0"/>
        <v>88800</v>
      </c>
    </row>
    <row r="12" spans="1:5" ht="15">
      <c r="A12" s="300" t="s">
        <v>449</v>
      </c>
      <c r="B12" s="299" t="s">
        <v>458</v>
      </c>
      <c r="C12" s="305">
        <v>64000</v>
      </c>
      <c r="D12" s="306">
        <v>1.85</v>
      </c>
      <c r="E12" s="218">
        <f t="shared" si="0"/>
        <v>118400</v>
      </c>
    </row>
    <row r="13" spans="1:5" ht="15">
      <c r="A13" s="300" t="s">
        <v>450</v>
      </c>
      <c r="B13" s="299" t="s">
        <v>459</v>
      </c>
      <c r="C13" s="305">
        <v>131631.36796302072</v>
      </c>
      <c r="D13" s="306">
        <v>1.85</v>
      </c>
      <c r="E13" s="218">
        <f t="shared" si="0"/>
        <v>243518.03073158834</v>
      </c>
    </row>
    <row r="14" spans="1:5" ht="15">
      <c r="A14" s="300" t="s">
        <v>451</v>
      </c>
      <c r="B14" s="299" t="s">
        <v>460</v>
      </c>
      <c r="C14" s="305">
        <v>157957.64155562487</v>
      </c>
      <c r="D14" s="306">
        <v>1.85</v>
      </c>
      <c r="E14" s="218">
        <f t="shared" si="0"/>
        <v>292221.63687790604</v>
      </c>
    </row>
    <row r="15" spans="1:5" ht="15">
      <c r="A15" s="406" t="s">
        <v>479</v>
      </c>
      <c r="B15" s="299" t="s">
        <v>480</v>
      </c>
      <c r="C15" s="305">
        <v>72000</v>
      </c>
      <c r="D15" s="306">
        <v>1.85</v>
      </c>
      <c r="E15" s="218">
        <f t="shared" ref="E15" si="1">+C15*D15</f>
        <v>133200</v>
      </c>
    </row>
    <row r="16" spans="1:5" ht="15">
      <c r="A16" s="300" t="s">
        <v>509</v>
      </c>
      <c r="B16" s="299" t="s">
        <v>515</v>
      </c>
      <c r="C16" s="305">
        <v>72000</v>
      </c>
      <c r="D16" s="306">
        <v>1.85</v>
      </c>
      <c r="E16" s="218">
        <f t="shared" si="0"/>
        <v>133200</v>
      </c>
    </row>
    <row r="17" spans="1:5" ht="15">
      <c r="A17" s="300"/>
      <c r="B17" s="299"/>
      <c r="C17" s="305"/>
      <c r="D17" s="217"/>
      <c r="E17" s="218">
        <f t="shared" si="0"/>
        <v>0</v>
      </c>
    </row>
    <row r="18" spans="1:5" ht="15">
      <c r="A18" s="300"/>
      <c r="B18" s="299"/>
      <c r="C18" s="305"/>
      <c r="D18" s="217"/>
      <c r="E18" s="218">
        <f t="shared" si="0"/>
        <v>0</v>
      </c>
    </row>
    <row r="19" spans="1:5" ht="15">
      <c r="A19" s="300"/>
      <c r="B19" s="299"/>
      <c r="C19" s="305"/>
      <c r="D19" s="217"/>
      <c r="E19" s="218">
        <f t="shared" si="0"/>
        <v>0</v>
      </c>
    </row>
    <row r="20" spans="1:5" ht="15">
      <c r="A20" s="300"/>
      <c r="B20" s="299"/>
      <c r="C20" s="305"/>
      <c r="D20" s="217"/>
      <c r="E20" s="218">
        <f t="shared" si="0"/>
        <v>0</v>
      </c>
    </row>
    <row r="21" spans="1:5" ht="15">
      <c r="A21" s="300"/>
      <c r="B21" s="299"/>
      <c r="C21" s="305"/>
      <c r="D21" s="217"/>
      <c r="E21" s="218">
        <f t="shared" si="0"/>
        <v>0</v>
      </c>
    </row>
    <row r="22" spans="1:5" ht="15">
      <c r="A22" s="300"/>
      <c r="B22" s="299"/>
      <c r="C22" s="305"/>
      <c r="D22" s="217"/>
      <c r="E22" s="218">
        <f t="shared" si="0"/>
        <v>0</v>
      </c>
    </row>
    <row r="23" spans="1:5" ht="15">
      <c r="A23" s="300"/>
      <c r="B23" s="299"/>
      <c r="C23" s="305"/>
      <c r="D23" s="217"/>
      <c r="E23" s="218">
        <f t="shared" si="0"/>
        <v>0</v>
      </c>
    </row>
    <row r="24" spans="1:5" ht="15">
      <c r="A24" s="300"/>
      <c r="B24" s="299"/>
      <c r="C24" s="305"/>
      <c r="D24" s="217"/>
      <c r="E24" s="218"/>
    </row>
    <row r="25" spans="1:5" ht="15">
      <c r="A25" s="300"/>
      <c r="B25" s="216"/>
      <c r="C25" s="305"/>
      <c r="D25" s="217"/>
      <c r="E25" s="218"/>
    </row>
    <row r="26" spans="1:5" ht="15">
      <c r="A26" s="300"/>
      <c r="B26" s="216"/>
      <c r="C26" s="219"/>
      <c r="D26" s="217"/>
      <c r="E26" s="218"/>
    </row>
    <row r="27" spans="1:5" ht="15">
      <c r="A27" s="300"/>
      <c r="B27" s="216"/>
      <c r="C27" s="219"/>
      <c r="D27" s="219"/>
      <c r="E27" s="220"/>
    </row>
    <row r="28" spans="1:5" ht="15">
      <c r="A28" s="300"/>
      <c r="B28" s="216"/>
      <c r="C28" s="219"/>
      <c r="D28" s="217"/>
      <c r="E28" s="218"/>
    </row>
    <row r="29" spans="1:5" ht="15">
      <c r="A29" s="300"/>
      <c r="B29" s="216"/>
      <c r="C29" s="219"/>
      <c r="D29" s="217"/>
      <c r="E29" s="218"/>
    </row>
    <row r="30" spans="1:5" ht="15">
      <c r="A30" s="300"/>
      <c r="B30" s="216"/>
      <c r="C30" s="219"/>
      <c r="D30" s="217"/>
      <c r="E30" s="218"/>
    </row>
    <row r="31" spans="1:5" ht="15">
      <c r="A31" s="300"/>
      <c r="B31" s="216"/>
      <c r="C31" s="219"/>
      <c r="D31" s="217"/>
      <c r="E31" s="218"/>
    </row>
    <row r="32" spans="1:5" ht="15">
      <c r="A32" s="300"/>
      <c r="B32" s="216"/>
      <c r="C32" s="219"/>
      <c r="D32" s="217"/>
      <c r="E32" s="218"/>
    </row>
    <row r="33" spans="1:5" ht="15">
      <c r="A33" s="300"/>
      <c r="B33" s="216"/>
      <c r="C33" s="219"/>
      <c r="D33" s="217"/>
      <c r="E33" s="218"/>
    </row>
    <row r="34" spans="1:5" ht="12.75" customHeight="1">
      <c r="A34" s="300"/>
      <c r="B34" s="216"/>
      <c r="C34" s="219"/>
      <c r="D34" s="304"/>
      <c r="E34" s="221"/>
    </row>
    <row r="35" spans="1:5" ht="12.75" customHeight="1">
      <c r="A35" s="300"/>
      <c r="B35" s="216"/>
      <c r="C35" s="219"/>
      <c r="D35" s="217"/>
      <c r="E35" s="218"/>
    </row>
    <row r="36" spans="1:5" ht="12.75" customHeight="1">
      <c r="A36" s="300"/>
      <c r="B36" s="216"/>
      <c r="C36" s="219"/>
      <c r="D36" s="217"/>
      <c r="E36" s="218"/>
    </row>
    <row r="37" spans="1:5" ht="12.75" customHeight="1">
      <c r="A37" s="300"/>
      <c r="B37" s="216"/>
      <c r="C37" s="219"/>
      <c r="D37" s="219"/>
      <c r="E37" s="220"/>
    </row>
    <row r="38" spans="1:5" ht="12.75" customHeight="1">
      <c r="A38" s="300"/>
      <c r="B38" s="216"/>
      <c r="C38" s="219"/>
      <c r="D38" s="219"/>
      <c r="E38" s="220"/>
    </row>
    <row r="39" spans="1:5" ht="12.75" customHeight="1">
      <c r="A39" s="300"/>
      <c r="B39" s="216"/>
      <c r="C39" s="219"/>
      <c r="D39" s="219"/>
      <c r="E39" s="220"/>
    </row>
    <row r="40" spans="1:5" ht="12.75" customHeight="1">
      <c r="A40" s="300"/>
      <c r="B40" s="216"/>
      <c r="C40" s="219"/>
      <c r="D40" s="217"/>
      <c r="E40" s="218"/>
    </row>
    <row r="41" spans="1:5" ht="15">
      <c r="A41" s="300"/>
      <c r="B41" s="216"/>
      <c r="C41" s="219"/>
      <c r="D41" s="217"/>
      <c r="E41" s="218"/>
    </row>
    <row r="42" spans="1:5" ht="15">
      <c r="A42" s="300"/>
      <c r="B42" s="216"/>
      <c r="C42" s="219"/>
      <c r="D42" s="217"/>
      <c r="E42" s="218"/>
    </row>
    <row r="43" spans="1:5" ht="15">
      <c r="A43" s="300"/>
      <c r="B43" s="216"/>
      <c r="C43" s="219"/>
      <c r="D43" s="219"/>
      <c r="E43" s="220"/>
    </row>
    <row r="44" spans="1:5" ht="15">
      <c r="A44" s="300"/>
      <c r="B44" s="216"/>
      <c r="C44" s="219"/>
      <c r="D44" s="219"/>
      <c r="E44" s="220"/>
    </row>
    <row r="45" spans="1:5" ht="15">
      <c r="A45" s="300"/>
      <c r="B45" s="216"/>
      <c r="C45" s="219"/>
      <c r="D45" s="219"/>
      <c r="E45" s="220"/>
    </row>
    <row r="46" spans="1:5" ht="15">
      <c r="A46" s="300"/>
      <c r="B46" s="216"/>
      <c r="C46" s="219"/>
      <c r="D46" s="219"/>
      <c r="E46" s="220"/>
    </row>
    <row r="47" spans="1:5" ht="15">
      <c r="A47" s="300"/>
      <c r="B47" s="216"/>
      <c r="C47" s="219"/>
      <c r="D47" s="219"/>
      <c r="E47" s="220"/>
    </row>
    <row r="48" spans="1:5" ht="15">
      <c r="A48" s="300"/>
      <c r="B48" s="216"/>
      <c r="C48" s="219"/>
      <c r="D48" s="219"/>
      <c r="E48" s="220"/>
    </row>
    <row r="49" spans="1:5" ht="15">
      <c r="A49" s="300"/>
      <c r="B49" s="216"/>
      <c r="C49" s="219"/>
      <c r="D49" s="217"/>
      <c r="E49" s="218"/>
    </row>
    <row r="50" spans="1:5" ht="15">
      <c r="A50" s="300"/>
      <c r="B50" s="216"/>
      <c r="C50" s="219"/>
      <c r="D50" s="219"/>
      <c r="E50" s="220"/>
    </row>
    <row r="51" spans="1:5" ht="15">
      <c r="A51" s="300"/>
      <c r="B51" s="216"/>
      <c r="C51" s="219"/>
      <c r="D51" s="217"/>
      <c r="E51" s="218"/>
    </row>
    <row r="52" spans="1:5" ht="15">
      <c r="A52" s="300"/>
      <c r="B52" s="216"/>
      <c r="C52" s="219"/>
      <c r="D52" s="219"/>
      <c r="E52" s="220"/>
    </row>
    <row r="53" spans="1:5" ht="15">
      <c r="A53" s="300"/>
      <c r="B53" s="216"/>
      <c r="C53" s="219"/>
      <c r="D53" s="217"/>
      <c r="E53" s="218"/>
    </row>
    <row r="54" spans="1:5" ht="15">
      <c r="A54" s="300"/>
      <c r="B54" s="216"/>
      <c r="C54" s="219"/>
      <c r="D54" s="217"/>
      <c r="E54" s="218"/>
    </row>
    <row r="55" spans="1:5" ht="15">
      <c r="A55" s="300"/>
      <c r="B55" s="216"/>
      <c r="C55" s="219"/>
      <c r="D55" s="217"/>
      <c r="E55" s="218"/>
    </row>
    <row r="56" spans="1:5" ht="15">
      <c r="A56" s="300"/>
      <c r="B56" s="216"/>
      <c r="C56" s="219"/>
      <c r="D56" s="217"/>
      <c r="E56" s="218"/>
    </row>
    <row r="57" spans="1:5" ht="15">
      <c r="A57" s="300"/>
      <c r="B57" s="216"/>
      <c r="C57" s="219"/>
      <c r="D57" s="217"/>
      <c r="E57" s="218"/>
    </row>
    <row r="58" spans="1:5" ht="15">
      <c r="A58" s="300"/>
      <c r="B58" s="216"/>
      <c r="C58" s="219"/>
      <c r="D58" s="219"/>
      <c r="E58" s="220"/>
    </row>
    <row r="59" spans="1:5" ht="15">
      <c r="A59" s="300"/>
      <c r="B59" s="216"/>
      <c r="C59" s="219"/>
      <c r="D59" s="217"/>
      <c r="E59" s="218"/>
    </row>
    <row r="60" spans="1:5" ht="15">
      <c r="A60" s="300"/>
      <c r="B60" s="216"/>
      <c r="C60" s="219"/>
      <c r="D60" s="217"/>
      <c r="E60" s="218"/>
    </row>
    <row r="61" spans="1:5" ht="15">
      <c r="A61" s="300"/>
      <c r="B61" s="216"/>
      <c r="C61" s="219"/>
      <c r="D61" s="217"/>
      <c r="E61" s="218"/>
    </row>
    <row r="62" spans="1:5" ht="15">
      <c r="A62" s="300"/>
      <c r="B62" s="216"/>
      <c r="C62" s="219"/>
      <c r="D62" s="217"/>
      <c r="E62" s="218"/>
    </row>
    <row r="63" spans="1:5" ht="15">
      <c r="A63" s="300"/>
      <c r="B63" s="216"/>
      <c r="C63" s="219"/>
      <c r="D63" s="217"/>
      <c r="E63" s="218"/>
    </row>
    <row r="64" spans="1:5" ht="15">
      <c r="A64" s="300"/>
      <c r="B64" s="216"/>
      <c r="C64" s="219"/>
      <c r="D64" s="217"/>
      <c r="E64" s="218"/>
    </row>
    <row r="65" spans="1:5" ht="15">
      <c r="A65" s="300"/>
      <c r="B65" s="216"/>
      <c r="C65" s="219"/>
      <c r="D65" s="219"/>
      <c r="E65" s="220"/>
    </row>
    <row r="66" spans="1:5" ht="15">
      <c r="A66" s="300"/>
      <c r="B66" s="216"/>
      <c r="C66" s="219"/>
      <c r="D66" s="217"/>
      <c r="E66" s="218"/>
    </row>
    <row r="67" spans="1:5" ht="15">
      <c r="A67" s="300"/>
      <c r="B67" s="216"/>
      <c r="C67" s="219"/>
      <c r="D67" s="217"/>
      <c r="E67" s="218"/>
    </row>
    <row r="68" spans="1:5" ht="15">
      <c r="A68" s="300"/>
      <c r="B68" s="216"/>
      <c r="C68" s="219"/>
      <c r="D68" s="217"/>
      <c r="E68" s="218"/>
    </row>
    <row r="69" spans="1:5" ht="15">
      <c r="A69" s="300"/>
      <c r="B69" s="216"/>
      <c r="C69" s="219"/>
      <c r="D69" s="217"/>
      <c r="E69" s="218"/>
    </row>
    <row r="70" spans="1:5" ht="15">
      <c r="A70" s="300"/>
      <c r="B70" s="216"/>
      <c r="C70" s="219"/>
      <c r="D70" s="217"/>
      <c r="E70" s="218"/>
    </row>
    <row r="71" spans="1:5" ht="15">
      <c r="A71" s="300"/>
      <c r="B71" s="216"/>
      <c r="C71" s="219"/>
      <c r="D71" s="219"/>
      <c r="E71" s="220"/>
    </row>
    <row r="72" spans="1:5" ht="15">
      <c r="A72" s="300"/>
      <c r="B72" s="216"/>
      <c r="C72" s="219"/>
      <c r="D72" s="217"/>
      <c r="E72" s="218"/>
    </row>
    <row r="73" spans="1:5" ht="15">
      <c r="A73" s="300"/>
      <c r="B73" s="216"/>
      <c r="C73" s="219"/>
      <c r="D73" s="217"/>
      <c r="E73" s="218"/>
    </row>
    <row r="74" spans="1:5" ht="15">
      <c r="A74" s="300"/>
      <c r="B74" s="216"/>
      <c r="C74" s="219"/>
      <c r="D74" s="217"/>
      <c r="E74" s="218"/>
    </row>
    <row r="75" spans="1:5" ht="15">
      <c r="A75" s="300"/>
      <c r="B75" s="216"/>
      <c r="C75" s="219"/>
      <c r="D75" s="217"/>
      <c r="E75" s="218"/>
    </row>
    <row r="76" spans="1:5" ht="15">
      <c r="A76" s="300"/>
      <c r="B76" s="216"/>
      <c r="C76" s="219"/>
      <c r="D76" s="217"/>
      <c r="E76" s="218"/>
    </row>
    <row r="77" spans="1:5" ht="15">
      <c r="A77" s="300"/>
      <c r="B77" s="216"/>
      <c r="C77" s="219"/>
      <c r="D77" s="217"/>
      <c r="E77" s="218"/>
    </row>
    <row r="78" spans="1:5" ht="15">
      <c r="A78" s="300"/>
      <c r="B78" s="216"/>
      <c r="C78" s="219"/>
      <c r="D78" s="217"/>
      <c r="E78" s="218"/>
    </row>
    <row r="79" spans="1:5" ht="15">
      <c r="A79" s="300"/>
      <c r="B79" s="216"/>
      <c r="C79" s="219"/>
      <c r="D79" s="217"/>
      <c r="E79" s="218"/>
    </row>
    <row r="80" spans="1:5" ht="15">
      <c r="A80" s="300"/>
      <c r="B80" s="216"/>
      <c r="C80" s="219"/>
      <c r="D80" s="217"/>
      <c r="E80" s="218"/>
    </row>
    <row r="81" spans="2:5">
      <c r="B81" s="277"/>
      <c r="C81"/>
      <c r="D81"/>
      <c r="E81"/>
    </row>
    <row r="82" spans="2:5">
      <c r="B82" s="277"/>
      <c r="C82"/>
      <c r="D82"/>
      <c r="E82"/>
    </row>
    <row r="83" spans="2:5">
      <c r="B83" s="277"/>
      <c r="C83"/>
      <c r="D83"/>
      <c r="E83"/>
    </row>
    <row r="84" spans="2:5">
      <c r="B84" s="277"/>
      <c r="C84"/>
      <c r="D84"/>
      <c r="E84"/>
    </row>
    <row r="85" spans="2:5">
      <c r="B85" s="277"/>
      <c r="C85" s="278"/>
      <c r="D85" s="278"/>
      <c r="E85" s="279"/>
    </row>
    <row r="86" spans="2:5">
      <c r="B86" s="277"/>
      <c r="C86" s="278"/>
      <c r="D86" s="278"/>
      <c r="E86" s="279"/>
    </row>
    <row r="87" spans="2:5">
      <c r="B87" s="277"/>
      <c r="C87" s="278"/>
      <c r="D87" s="278"/>
      <c r="E87" s="279"/>
    </row>
    <row r="88" spans="2:5">
      <c r="B88" s="277"/>
      <c r="C88" s="278"/>
      <c r="D88" s="278"/>
      <c r="E88" s="279"/>
    </row>
    <row r="89" spans="2:5">
      <c r="B89" s="277"/>
      <c r="C89" s="278"/>
      <c r="D89" s="278"/>
      <c r="E89" s="279"/>
    </row>
    <row r="90" spans="2:5">
      <c r="B90" s="277"/>
      <c r="C90" s="278"/>
      <c r="D90" s="278"/>
      <c r="E90" s="279"/>
    </row>
    <row r="91" spans="2:5">
      <c r="B91" s="277"/>
      <c r="C91" s="278"/>
      <c r="D91" s="278"/>
      <c r="E91" s="279"/>
    </row>
    <row r="93" spans="2:5" ht="13.5">
      <c r="B93" s="281" t="s">
        <v>45</v>
      </c>
      <c r="C93" s="223"/>
      <c r="D93" s="223"/>
      <c r="E93" s="281"/>
    </row>
    <row r="94" spans="2:5" ht="13.5">
      <c r="B94" s="513" t="s">
        <v>46</v>
      </c>
      <c r="C94" s="513"/>
      <c r="D94" s="513"/>
      <c r="E94" s="513"/>
    </row>
    <row r="95" spans="2:5" ht="13.5">
      <c r="B95" s="514" t="s">
        <v>47</v>
      </c>
      <c r="C95" s="514"/>
      <c r="D95" s="281"/>
      <c r="E95" s="281"/>
    </row>
    <row r="96" spans="2:5" ht="15.75">
      <c r="B96" s="154"/>
      <c r="C96" s="224"/>
      <c r="D96" s="224"/>
      <c r="E96" s="225"/>
    </row>
    <row r="97" spans="2:5" ht="15.75">
      <c r="B97" s="154"/>
      <c r="C97" s="224"/>
      <c r="D97" s="224"/>
      <c r="E97" s="225"/>
    </row>
    <row r="98" spans="2:5" ht="15.75">
      <c r="B98" s="154"/>
      <c r="C98" s="224"/>
      <c r="D98" s="224"/>
      <c r="E98" s="225"/>
    </row>
    <row r="99" spans="2:5" ht="15.75">
      <c r="B99" s="154"/>
      <c r="C99" s="224"/>
      <c r="D99" s="224"/>
      <c r="E99" s="225"/>
    </row>
    <row r="100" spans="2:5" ht="15.75">
      <c r="B100" s="154"/>
      <c r="C100" s="224"/>
      <c r="D100" s="224"/>
      <c r="E100" s="225"/>
    </row>
    <row r="101" spans="2:5" ht="15.75">
      <c r="B101" s="154"/>
      <c r="C101" s="224"/>
      <c r="D101" s="224"/>
      <c r="E101" s="225"/>
    </row>
  </sheetData>
  <mergeCells count="3">
    <mergeCell ref="B2:E2"/>
    <mergeCell ref="B94:E94"/>
    <mergeCell ref="B95:C95"/>
  </mergeCells>
  <pageMargins left="0.75" right="0.75" top="1" bottom="1" header="0" footer="0"/>
  <pageSetup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8">
    <pageSetUpPr fitToPage="1"/>
  </sheetPr>
  <dimension ref="A1:P111"/>
  <sheetViews>
    <sheetView showGridLines="0" view="pageBreakPreview" zoomScaleNormal="100" zoomScaleSheetLayoutView="100" workbookViewId="0">
      <selection activeCell="K38" sqref="K38"/>
    </sheetView>
  </sheetViews>
  <sheetFormatPr baseColWidth="10" defaultRowHeight="12.75"/>
  <cols>
    <col min="1" max="1" width="3.140625" style="113" customWidth="1"/>
    <col min="2" max="10" width="11.42578125" style="113"/>
    <col min="11" max="11" width="11.7109375" style="113" bestFit="1" customWidth="1"/>
    <col min="12" max="13" width="11.42578125" style="113"/>
    <col min="14" max="14" width="13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 ht="12.75" customHeight="1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5.75" customHeight="1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2.75" customHeight="1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 ht="12.75" customHeight="1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2.75" customHeight="1">
      <c r="B32" s="248" t="s">
        <v>6</v>
      </c>
      <c r="C32" s="570" t="s">
        <v>125</v>
      </c>
      <c r="D32" s="571"/>
      <c r="E32" s="571"/>
      <c r="F32" s="571"/>
      <c r="G32" s="571"/>
      <c r="H32" s="571"/>
      <c r="I32" s="571"/>
      <c r="J32" s="571"/>
      <c r="K32" s="572"/>
      <c r="L32" s="564" t="s">
        <v>16</v>
      </c>
      <c r="M32" s="565"/>
      <c r="N32" s="248" t="s">
        <v>101</v>
      </c>
    </row>
    <row r="33" spans="1:14" ht="12.75" customHeight="1" thickBot="1">
      <c r="B33" s="249" t="e">
        <f>+'PRESUPUESTO OFICIAL'!#REF!</f>
        <v>#REF!</v>
      </c>
      <c r="C33" s="566" t="e">
        <f>+'PRESUPUESTO OFICIAL'!#REF!</f>
        <v>#REF!</v>
      </c>
      <c r="D33" s="573"/>
      <c r="E33" s="573"/>
      <c r="F33" s="573"/>
      <c r="G33" s="573"/>
      <c r="H33" s="573"/>
      <c r="I33" s="573"/>
      <c r="J33" s="573"/>
      <c r="K33" s="567"/>
      <c r="L33" s="566" t="e">
        <f>+'PRESUPUESTO OFICIAL'!#REF!</f>
        <v>#REF!</v>
      </c>
      <c r="M33" s="567"/>
      <c r="N33" s="250" t="e">
        <f>+'PRESUPUESTO OFICIAL'!#REF!</f>
        <v>#REF!</v>
      </c>
    </row>
    <row r="34" spans="1:14" ht="12.75" customHeight="1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 ht="12.75" customHeight="1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customHeight="1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VLOOKUP(A38,Equipo!$A$4:$D$79,2,0)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02">
        <f>VLOOKUP(A38,Equipo!$A$4:$D$79,4,0)</f>
        <v>20339</v>
      </c>
      <c r="L38" s="542">
        <v>3</v>
      </c>
      <c r="M38" s="543"/>
      <c r="N38" s="297">
        <f>+K38/L38</f>
        <v>6779.666666666667</v>
      </c>
    </row>
    <row r="39" spans="1:14">
      <c r="A39" s="113" t="s">
        <v>366</v>
      </c>
      <c r="B39" s="550" t="str">
        <f>VLOOKUP(A39,Equipo!$A$4:$D$79,2,0)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02">
        <f>VLOOKUP(A39,Equipo!$A$4:$D$79,4,0)</f>
        <v>20339</v>
      </c>
      <c r="L39" s="542">
        <v>3</v>
      </c>
      <c r="M39" s="543"/>
      <c r="N39" s="297">
        <f t="shared" ref="N39:N44" si="0">+K39/L39</f>
        <v>6779.666666666667</v>
      </c>
    </row>
    <row r="40" spans="1:14">
      <c r="A40" s="113" t="s">
        <v>367</v>
      </c>
      <c r="B40" s="550" t="str">
        <f>VLOOKUP(A40,Equipo!$A$4:$D$79,2,0)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02">
        <f>VLOOKUP(A40,Equipo!$A$4:$D$79,4,0)</f>
        <v>16271</v>
      </c>
      <c r="L40" s="542">
        <v>3</v>
      </c>
      <c r="M40" s="543"/>
      <c r="N40" s="297">
        <f t="shared" si="0"/>
        <v>5423.666666666667</v>
      </c>
    </row>
    <row r="41" spans="1:14">
      <c r="A41" s="113" t="s">
        <v>368</v>
      </c>
      <c r="B41" s="550" t="str">
        <f>VLOOKUP(A41,Equipo!$A$4:$D$79,2,0)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02">
        <f>VLOOKUP(A41,Equipo!$A$4:$D$79,4,0)</f>
        <v>20339</v>
      </c>
      <c r="L41" s="542">
        <v>3</v>
      </c>
      <c r="M41" s="543"/>
      <c r="N41" s="297">
        <f t="shared" si="0"/>
        <v>6779.666666666667</v>
      </c>
    </row>
    <row r="42" spans="1:14">
      <c r="A42" s="113" t="s">
        <v>369</v>
      </c>
      <c r="B42" s="550" t="str">
        <f>VLOOKUP(A42,Equipo!$A$4:$D$79,2,0)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02">
        <f>VLOOKUP(A42,Equipo!$A$4:$D$79,4,0)</f>
        <v>13574</v>
      </c>
      <c r="L42" s="542">
        <v>2</v>
      </c>
      <c r="M42" s="543"/>
      <c r="N42" s="297">
        <f t="shared" si="0"/>
        <v>6787</v>
      </c>
    </row>
    <row r="43" spans="1:14">
      <c r="A43" s="113" t="s">
        <v>370</v>
      </c>
      <c r="B43" s="550" t="str">
        <f>VLOOKUP(A43,Equipo!$A$4:$D$79,2,0)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02">
        <f>VLOOKUP(A43,Equipo!$A$4:$D$79,4,0)</f>
        <v>8003</v>
      </c>
      <c r="L43" s="542">
        <v>2</v>
      </c>
      <c r="M43" s="543"/>
      <c r="N43" s="297">
        <f t="shared" si="0"/>
        <v>4001.5</v>
      </c>
    </row>
    <row r="44" spans="1:14">
      <c r="A44" s="113" t="s">
        <v>371</v>
      </c>
      <c r="B44" s="550" t="str">
        <f>VLOOKUP(A44,Equipo!$A$4:$D$79,2,0)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02">
        <f>VLOOKUP(A44,Equipo!$A$4:$D$79,4,0)</f>
        <v>2715</v>
      </c>
      <c r="L44" s="542">
        <v>3</v>
      </c>
      <c r="M44" s="543"/>
      <c r="N44" s="297">
        <f t="shared" si="0"/>
        <v>905</v>
      </c>
    </row>
    <row r="45" spans="1:14" ht="13.5" thickBot="1">
      <c r="A45" s="113" t="s">
        <v>466</v>
      </c>
      <c r="B45" s="550" t="str">
        <f>VLOOKUP(A45,Equipo!$A$4:$D$80,2,0)</f>
        <v>HERRAMIENTA MENOR</v>
      </c>
      <c r="C45" s="551"/>
      <c r="D45" s="551"/>
      <c r="E45" s="551"/>
      <c r="F45" s="551"/>
      <c r="G45" s="551"/>
      <c r="H45" s="552"/>
      <c r="I45" s="622"/>
      <c r="J45" s="623"/>
      <c r="K45" s="302"/>
      <c r="L45" s="542"/>
      <c r="M45" s="543"/>
      <c r="N45" s="297">
        <v>2790.67</v>
      </c>
    </row>
    <row r="46" spans="1:14" ht="14.25" thickBot="1">
      <c r="B46" s="524" t="s">
        <v>137</v>
      </c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164">
        <f>SUM(N38:N45)</f>
        <v>40246.83666666667</v>
      </c>
    </row>
    <row r="47" spans="1:14" ht="13.5" customHeight="1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>
      <c r="B48" s="577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6" ht="13.5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6" ht="13.5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6">
      <c r="A51" s="113" t="s">
        <v>344</v>
      </c>
      <c r="B51" s="540" t="str">
        <f>VLOOKUP(A51,Materiales!$A$4:$D$141,2,0)</f>
        <v>LAMINA GALV. CALIBRE 16</v>
      </c>
      <c r="C51" s="541"/>
      <c r="D51" s="541"/>
      <c r="E51" s="541"/>
      <c r="F51" s="541"/>
      <c r="G51" s="541"/>
      <c r="H51" s="541"/>
      <c r="I51" s="621"/>
      <c r="J51" s="284" t="str">
        <f>VLOOKUP(A51,Materiales!$A$4:$D$141,3,0)</f>
        <v>M2</v>
      </c>
      <c r="K51" s="332">
        <v>0.39600000000000002</v>
      </c>
      <c r="L51" s="553">
        <f>VLOOKUP(A51,Materiales!$A$4:$D$141,4,0)</f>
        <v>49580</v>
      </c>
      <c r="M51" s="554"/>
      <c r="N51" s="297">
        <f>+K51*L51</f>
        <v>19633.68</v>
      </c>
      <c r="O51" s="331">
        <f>0.6*0.6</f>
        <v>0.36</v>
      </c>
      <c r="P51" s="113">
        <f>+O51*1.05</f>
        <v>0.378</v>
      </c>
    </row>
    <row r="52" spans="1:16">
      <c r="A52" s="113" t="s">
        <v>345</v>
      </c>
      <c r="B52" s="550" t="str">
        <f>VLOOKUP(A52,Materiales!$A$4:$D$141,2,0)</f>
        <v>PAPEL REFLECTIVO TIPO III</v>
      </c>
      <c r="C52" s="551"/>
      <c r="D52" s="551"/>
      <c r="E52" s="551"/>
      <c r="F52" s="551"/>
      <c r="G52" s="551"/>
      <c r="H52" s="551"/>
      <c r="I52" s="552"/>
      <c r="J52" s="284" t="str">
        <f>VLOOKUP(A52,Materiales!$A$4:$D$141,3,0)</f>
        <v>M2</v>
      </c>
      <c r="K52" s="169">
        <v>0.378</v>
      </c>
      <c r="L52" s="553">
        <f>VLOOKUP(A52,Materiales!$A$4:$D$141,4,0)</f>
        <v>48400</v>
      </c>
      <c r="M52" s="554"/>
      <c r="N52" s="297">
        <f t="shared" ref="N52:N59" si="1">+K52*L52</f>
        <v>18295.2</v>
      </c>
      <c r="O52" s="113">
        <f>0.75*0.75</f>
        <v>0.5625</v>
      </c>
      <c r="P52" s="330">
        <f>+O52*1.03</f>
        <v>0.57937499999999997</v>
      </c>
    </row>
    <row r="53" spans="1:16">
      <c r="A53" s="113" t="s">
        <v>346</v>
      </c>
      <c r="B53" s="550" t="str">
        <f>VLOOKUP(A53,Materiales!$A$4:$D$141,2,0)</f>
        <v>ANGULO DE 2" X 1/4"</v>
      </c>
      <c r="C53" s="551"/>
      <c r="D53" s="551"/>
      <c r="E53" s="551"/>
      <c r="F53" s="551"/>
      <c r="G53" s="551"/>
      <c r="H53" s="551"/>
      <c r="I53" s="552"/>
      <c r="J53" s="284" t="str">
        <f>VLOOKUP(A53,Materiales!$A$4:$D$141,3,0)</f>
        <v>ML</v>
      </c>
      <c r="K53" s="169">
        <v>3.2</v>
      </c>
      <c r="L53" s="553">
        <f>VLOOKUP(A53,Materiales!$A$4:$D$141,4,0)</f>
        <v>17710</v>
      </c>
      <c r="M53" s="554"/>
      <c r="N53" s="297">
        <f t="shared" si="1"/>
        <v>56672</v>
      </c>
      <c r="O53" s="113">
        <f>0.6+1.8+0.8</f>
        <v>3.2</v>
      </c>
    </row>
    <row r="54" spans="1:16">
      <c r="A54" s="113" t="s">
        <v>347</v>
      </c>
      <c r="B54" s="550" t="str">
        <f>VLOOKUP(A54,Materiales!$A$4:$D$141,2,0)</f>
        <v>ANGULO DE 2" X 1/8"</v>
      </c>
      <c r="C54" s="551"/>
      <c r="D54" s="551"/>
      <c r="E54" s="551"/>
      <c r="F54" s="551"/>
      <c r="G54" s="551"/>
      <c r="H54" s="551"/>
      <c r="I54" s="552"/>
      <c r="J54" s="284" t="str">
        <f>VLOOKUP(A54,Materiales!$A$4:$D$141,3,0)</f>
        <v>ML</v>
      </c>
      <c r="K54" s="169">
        <v>1.2</v>
      </c>
      <c r="L54" s="553">
        <f>VLOOKUP(A54,Materiales!$A$4:$D$141,4,0)</f>
        <v>9810</v>
      </c>
      <c r="M54" s="554"/>
      <c r="N54" s="297">
        <f t="shared" si="1"/>
        <v>11772</v>
      </c>
      <c r="O54" s="113">
        <f>0.6*2</f>
        <v>1.2</v>
      </c>
    </row>
    <row r="55" spans="1:16">
      <c r="A55" s="113" t="s">
        <v>348</v>
      </c>
      <c r="B55" s="550" t="str">
        <f>VLOOKUP(A55,Materiales!$A$4:$D$141,2,0)</f>
        <v>TORNILLOS Y REMACHES</v>
      </c>
      <c r="C55" s="551"/>
      <c r="D55" s="551"/>
      <c r="E55" s="551"/>
      <c r="F55" s="551"/>
      <c r="G55" s="551"/>
      <c r="H55" s="551"/>
      <c r="I55" s="552"/>
      <c r="J55" s="284" t="str">
        <f>VLOOKUP(A55,Materiales!$A$4:$D$141,3,0)</f>
        <v>UND.</v>
      </c>
      <c r="K55" s="169">
        <v>4</v>
      </c>
      <c r="L55" s="553">
        <f>VLOOKUP(A55,Materiales!$A$4:$D$141,4,0)</f>
        <v>1004</v>
      </c>
      <c r="M55" s="554"/>
      <c r="N55" s="297">
        <f t="shared" si="1"/>
        <v>4016</v>
      </c>
    </row>
    <row r="56" spans="1:16">
      <c r="A56" s="113" t="s">
        <v>349</v>
      </c>
      <c r="B56" s="550" t="str">
        <f>VLOOKUP(A56,Materiales!$A$4:$D$141,2,0)</f>
        <v>PINTURA EN POLVO</v>
      </c>
      <c r="C56" s="551"/>
      <c r="D56" s="551"/>
      <c r="E56" s="551"/>
      <c r="F56" s="551"/>
      <c r="G56" s="551"/>
      <c r="H56" s="551"/>
      <c r="I56" s="552"/>
      <c r="J56" s="284" t="str">
        <f>VLOOKUP(A56,Materiales!$A$4:$D$141,3,0)</f>
        <v>GALON</v>
      </c>
      <c r="K56" s="169">
        <v>0.05</v>
      </c>
      <c r="L56" s="553">
        <f>VLOOKUP(A56,Materiales!$A$4:$D$141,4,0)</f>
        <v>170330</v>
      </c>
      <c r="M56" s="554"/>
      <c r="N56" s="297">
        <f t="shared" si="1"/>
        <v>8516.5</v>
      </c>
    </row>
    <row r="57" spans="1:16">
      <c r="A57" s="113" t="s">
        <v>350</v>
      </c>
      <c r="B57" s="550" t="str">
        <f>VLOOKUP(A57,Materiales!$A$4:$D$141,2,0)</f>
        <v>PINTURA ESMALTE</v>
      </c>
      <c r="C57" s="551"/>
      <c r="D57" s="551"/>
      <c r="E57" s="551"/>
      <c r="F57" s="551"/>
      <c r="G57" s="551"/>
      <c r="H57" s="551"/>
      <c r="I57" s="552"/>
      <c r="J57" s="284" t="str">
        <f>VLOOKUP(A57,Materiales!$A$4:$D$141,3,0)</f>
        <v>GALON</v>
      </c>
      <c r="K57" s="169">
        <v>0.06</v>
      </c>
      <c r="L57" s="553">
        <f>VLOOKUP(A57,Materiales!$A$4:$D$141,4,0)</f>
        <v>59020</v>
      </c>
      <c r="M57" s="554"/>
      <c r="N57" s="297">
        <f t="shared" si="1"/>
        <v>3541.2</v>
      </c>
    </row>
    <row r="58" spans="1:16">
      <c r="A58" s="113" t="s">
        <v>351</v>
      </c>
      <c r="B58" s="550" t="str">
        <f>VLOOKUP(A58,Materiales!$A$4:$D$141,2,0)</f>
        <v>SOLDADURA</v>
      </c>
      <c r="C58" s="551"/>
      <c r="D58" s="551"/>
      <c r="E58" s="551"/>
      <c r="F58" s="551"/>
      <c r="G58" s="551"/>
      <c r="H58" s="551"/>
      <c r="I58" s="552"/>
      <c r="J58" s="284" t="str">
        <f>VLOOKUP(A58,Materiales!$A$4:$D$141,3,0)</f>
        <v>KG</v>
      </c>
      <c r="K58" s="271">
        <v>0.25</v>
      </c>
      <c r="L58" s="553">
        <f>VLOOKUP(A58,Materiales!$A$4:$D$141,4,0)</f>
        <v>7210</v>
      </c>
      <c r="M58" s="554"/>
      <c r="N58" s="297">
        <f t="shared" si="1"/>
        <v>1802.5</v>
      </c>
    </row>
    <row r="59" spans="1:16" ht="13.5" thickBot="1">
      <c r="A59" s="113" t="s">
        <v>352</v>
      </c>
      <c r="B59" s="550" t="str">
        <f>VLOOKUP(A59,Materiales!$A$4:$D$141,2,0)</f>
        <v>CONCRETO CLASE E</v>
      </c>
      <c r="C59" s="551"/>
      <c r="D59" s="551"/>
      <c r="E59" s="551"/>
      <c r="F59" s="551"/>
      <c r="G59" s="551"/>
      <c r="H59" s="551"/>
      <c r="I59" s="552"/>
      <c r="J59" s="284" t="str">
        <f>VLOOKUP(A59,Materiales!$A$4:$D$141,3,0)</f>
        <v>M3</v>
      </c>
      <c r="K59" s="170">
        <v>0.05</v>
      </c>
      <c r="L59" s="553">
        <f>VLOOKUP(A59,Materiales!$A$4:$D$141,4,0)</f>
        <v>463800</v>
      </c>
      <c r="M59" s="554"/>
      <c r="N59" s="297">
        <f t="shared" si="1"/>
        <v>23190</v>
      </c>
    </row>
    <row r="60" spans="1:16" ht="14.25" thickBot="1">
      <c r="B60" s="524" t="s">
        <v>137</v>
      </c>
      <c r="C60" s="525"/>
      <c r="D60" s="525"/>
      <c r="E60" s="525"/>
      <c r="F60" s="525"/>
      <c r="G60" s="525"/>
      <c r="H60" s="525"/>
      <c r="I60" s="525"/>
      <c r="J60" s="525"/>
      <c r="K60" s="525"/>
      <c r="L60" s="525"/>
      <c r="M60" s="526"/>
      <c r="N60" s="171">
        <f>SUM(N51:N59)</f>
        <v>147439.08000000002</v>
      </c>
    </row>
    <row r="61" spans="1:16">
      <c r="B61" s="574" t="s">
        <v>89</v>
      </c>
      <c r="C61" s="575"/>
      <c r="D61" s="575"/>
      <c r="E61" s="575"/>
      <c r="F61" s="575"/>
      <c r="G61" s="575"/>
      <c r="H61" s="575"/>
      <c r="I61" s="575"/>
      <c r="J61" s="575"/>
      <c r="K61" s="575"/>
      <c r="L61" s="575"/>
      <c r="M61" s="575"/>
      <c r="N61" s="576"/>
    </row>
    <row r="62" spans="1:16">
      <c r="B62" s="577"/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9"/>
    </row>
    <row r="63" spans="1:16" ht="13.5" thickBot="1">
      <c r="B63" s="580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2"/>
    </row>
    <row r="64" spans="1:16" ht="13.5">
      <c r="B64" s="536" t="s">
        <v>141</v>
      </c>
      <c r="C64" s="537"/>
      <c r="D64" s="537"/>
      <c r="E64" s="537"/>
      <c r="F64" s="537"/>
      <c r="G64" s="537"/>
      <c r="H64" s="537"/>
      <c r="I64" s="237" t="s">
        <v>142</v>
      </c>
      <c r="J64" s="240" t="s">
        <v>143</v>
      </c>
      <c r="K64" s="241" t="s">
        <v>248</v>
      </c>
      <c r="L64" s="538" t="s">
        <v>17</v>
      </c>
      <c r="M64" s="539"/>
      <c r="N64" s="238" t="s">
        <v>140</v>
      </c>
    </row>
    <row r="65" spans="1:14">
      <c r="B65" s="540" t="s">
        <v>467</v>
      </c>
      <c r="C65" s="541"/>
      <c r="D65" s="541"/>
      <c r="E65" s="541"/>
      <c r="F65" s="541"/>
      <c r="G65" s="541"/>
      <c r="H65" s="541"/>
      <c r="I65" s="172"/>
      <c r="J65" s="166"/>
      <c r="K65" s="172"/>
      <c r="L65" s="542"/>
      <c r="M65" s="543"/>
      <c r="N65" s="297">
        <v>22680</v>
      </c>
    </row>
    <row r="66" spans="1:14" ht="13.5" thickBot="1">
      <c r="B66" s="624"/>
      <c r="C66" s="625"/>
      <c r="D66" s="625"/>
      <c r="E66" s="625"/>
      <c r="F66" s="625"/>
      <c r="G66" s="625"/>
      <c r="H66" s="625"/>
      <c r="I66" s="173"/>
      <c r="J66" s="161"/>
      <c r="K66" s="173"/>
      <c r="L66" s="534"/>
      <c r="M66" s="535"/>
      <c r="N66" s="174"/>
    </row>
    <row r="67" spans="1:14" ht="14.25" thickBot="1">
      <c r="B67" s="524" t="s">
        <v>137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6"/>
      <c r="N67" s="204">
        <f>SUM(N65:N66)</f>
        <v>22680</v>
      </c>
    </row>
    <row r="68" spans="1:14">
      <c r="B68" s="574" t="s">
        <v>90</v>
      </c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6"/>
    </row>
    <row r="69" spans="1:14">
      <c r="B69" s="577"/>
      <c r="C69" s="578"/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9"/>
    </row>
    <row r="70" spans="1:14" ht="13.5" thickBot="1">
      <c r="B70" s="580"/>
      <c r="C70" s="581"/>
      <c r="D70" s="581"/>
      <c r="E70" s="581"/>
      <c r="F70" s="581"/>
      <c r="G70" s="581"/>
      <c r="H70" s="581"/>
      <c r="I70" s="581"/>
      <c r="J70" s="581"/>
      <c r="K70" s="581"/>
      <c r="L70" s="581"/>
      <c r="M70" s="581"/>
      <c r="N70" s="582"/>
    </row>
    <row r="71" spans="1:14" ht="13.5">
      <c r="B71" s="303" t="s">
        <v>144</v>
      </c>
      <c r="C71" s="310"/>
      <c r="D71" s="310"/>
      <c r="E71" s="310"/>
      <c r="F71" s="310"/>
      <c r="G71" s="310"/>
      <c r="H71" s="243" t="s">
        <v>101</v>
      </c>
      <c r="I71" s="237" t="s">
        <v>145</v>
      </c>
      <c r="J71" s="242" t="s">
        <v>84</v>
      </c>
      <c r="K71" s="243" t="s">
        <v>146</v>
      </c>
      <c r="L71" s="527" t="s">
        <v>136</v>
      </c>
      <c r="M71" s="528"/>
      <c r="N71" s="244" t="s">
        <v>140</v>
      </c>
    </row>
    <row r="72" spans="1:14">
      <c r="A72" s="113" t="s">
        <v>441</v>
      </c>
      <c r="B72" s="365" t="str">
        <f>VLOOKUP(A72,'Mano de Obra'!$A$4:$E$80,2,0)</f>
        <v>CORTADOR</v>
      </c>
      <c r="C72" s="286"/>
      <c r="D72" s="286"/>
      <c r="E72" s="286"/>
      <c r="F72" s="286"/>
      <c r="G72" s="286"/>
      <c r="H72" s="208">
        <v>1</v>
      </c>
      <c r="I72" s="302">
        <f>VLOOKUP(A72,'Mano de Obra'!$A$4:$E$80,3,0)</f>
        <v>72000</v>
      </c>
      <c r="J72" s="177">
        <f>VLOOKUP(A72,'Mano de Obra'!$A$4:$E$80,4,0)</f>
        <v>1.85</v>
      </c>
      <c r="K72" s="307">
        <f>+H72*I72*J72</f>
        <v>133200</v>
      </c>
      <c r="L72" s="529">
        <v>35</v>
      </c>
      <c r="M72" s="530"/>
      <c r="N72" s="326">
        <f>+K72/L72</f>
        <v>3805.7142857142858</v>
      </c>
    </row>
    <row r="73" spans="1:14">
      <c r="A73" s="113" t="s">
        <v>442</v>
      </c>
      <c r="B73" s="285" t="str">
        <f>VLOOKUP(A73,'Mano de Obra'!$A$4:$E$80,2,0)</f>
        <v>SOLDADOR</v>
      </c>
      <c r="C73" s="286"/>
      <c r="D73" s="286"/>
      <c r="E73" s="286"/>
      <c r="F73" s="286"/>
      <c r="G73" s="286"/>
      <c r="H73" s="208">
        <v>1</v>
      </c>
      <c r="I73" s="302">
        <f>VLOOKUP(A73,'Mano de Obra'!$A$4:$E$80,3,0)</f>
        <v>88000</v>
      </c>
      <c r="J73" s="177">
        <f>VLOOKUP(A73,'Mano de Obra'!$A$4:$E$80,4,0)</f>
        <v>1.85</v>
      </c>
      <c r="K73" s="307">
        <f t="shared" ref="K73:K78" si="2">+H73*I73*J73</f>
        <v>162800</v>
      </c>
      <c r="L73" s="529">
        <v>35</v>
      </c>
      <c r="M73" s="530"/>
      <c r="N73" s="326">
        <f t="shared" ref="N73:N78" si="3">+K73/L73</f>
        <v>4651.4285714285716</v>
      </c>
    </row>
    <row r="74" spans="1:14">
      <c r="A74" s="113" t="s">
        <v>443</v>
      </c>
      <c r="B74" s="285" t="str">
        <f>VLOOKUP(A74,'Mano de Obra'!$A$4:$E$80,2,0)</f>
        <v>PINTOR</v>
      </c>
      <c r="C74" s="286"/>
      <c r="D74" s="286"/>
      <c r="E74" s="286"/>
      <c r="F74" s="286"/>
      <c r="G74" s="286"/>
      <c r="H74" s="208">
        <v>1</v>
      </c>
      <c r="I74" s="302">
        <f>VLOOKUP(A74,'Mano de Obra'!$A$4:$E$80,3,0)</f>
        <v>72000</v>
      </c>
      <c r="J74" s="177">
        <f>VLOOKUP(A74,'Mano de Obra'!$A$4:$E$80,4,0)</f>
        <v>1.85</v>
      </c>
      <c r="K74" s="307">
        <f t="shared" si="2"/>
        <v>133200</v>
      </c>
      <c r="L74" s="529">
        <v>35</v>
      </c>
      <c r="M74" s="530"/>
      <c r="N74" s="326">
        <f t="shared" si="3"/>
        <v>3805.7142857142858</v>
      </c>
    </row>
    <row r="75" spans="1:14">
      <c r="A75" s="113" t="s">
        <v>444</v>
      </c>
      <c r="B75" s="285" t="str">
        <f>VLOOKUP(A75,'Mano de Obra'!$A$4:$E$80,2,0)</f>
        <v>LAMINADOR</v>
      </c>
      <c r="C75" s="175"/>
      <c r="D75" s="175"/>
      <c r="E75" s="175"/>
      <c r="F75" s="175"/>
      <c r="G75" s="175"/>
      <c r="H75" s="208">
        <v>1</v>
      </c>
      <c r="I75" s="302">
        <f>VLOOKUP(A75,'Mano de Obra'!$A$4:$E$80,3,0)</f>
        <v>72000</v>
      </c>
      <c r="J75" s="177">
        <f>VLOOKUP(A75,'Mano de Obra'!$A$4:$E$80,4,0)</f>
        <v>1.85</v>
      </c>
      <c r="K75" s="307">
        <f t="shared" si="2"/>
        <v>133200</v>
      </c>
      <c r="L75" s="529">
        <v>35</v>
      </c>
      <c r="M75" s="530"/>
      <c r="N75" s="326">
        <f t="shared" si="3"/>
        <v>3805.7142857142858</v>
      </c>
    </row>
    <row r="76" spans="1:14">
      <c r="A76" s="113" t="s">
        <v>445</v>
      </c>
      <c r="B76" s="285" t="str">
        <f>VLOOKUP(A76,'Mano de Obra'!$A$4:$E$80,2,0)</f>
        <v>SERIGRAFISTA</v>
      </c>
      <c r="C76" s="175"/>
      <c r="D76" s="175"/>
      <c r="E76" s="175"/>
      <c r="F76" s="175"/>
      <c r="G76" s="175"/>
      <c r="H76" s="208">
        <v>1</v>
      </c>
      <c r="I76" s="302">
        <f>VLOOKUP(A76,'Mano de Obra'!$A$4:$E$80,3,0)</f>
        <v>72000</v>
      </c>
      <c r="J76" s="177">
        <f>VLOOKUP(A76,'Mano de Obra'!$A$4:$E$80,4,0)</f>
        <v>1.85</v>
      </c>
      <c r="K76" s="307">
        <f t="shared" si="2"/>
        <v>133200</v>
      </c>
      <c r="L76" s="529">
        <v>35</v>
      </c>
      <c r="M76" s="530"/>
      <c r="N76" s="326">
        <f t="shared" si="3"/>
        <v>3805.7142857142858</v>
      </c>
    </row>
    <row r="77" spans="1:14">
      <c r="A77" s="113" t="s">
        <v>446</v>
      </c>
      <c r="B77" s="285" t="str">
        <f>VLOOKUP(A77,'Mano de Obra'!$A$4:$E$80,2,0)</f>
        <v>AYUDANTE</v>
      </c>
      <c r="C77" s="175"/>
      <c r="D77" s="175"/>
      <c r="E77" s="175"/>
      <c r="F77" s="175"/>
      <c r="G77" s="175"/>
      <c r="H77" s="208">
        <v>2</v>
      </c>
      <c r="I77" s="302">
        <f>VLOOKUP(A77,'Mano de Obra'!$A$4:$E$80,3,0)</f>
        <v>28000</v>
      </c>
      <c r="J77" s="177">
        <f>VLOOKUP(A77,'Mano de Obra'!$A$4:$E$80,4,0)</f>
        <v>1.85</v>
      </c>
      <c r="K77" s="307">
        <f t="shared" si="2"/>
        <v>103600</v>
      </c>
      <c r="L77" s="529">
        <v>35</v>
      </c>
      <c r="M77" s="530"/>
      <c r="N77" s="326">
        <f t="shared" si="3"/>
        <v>2960</v>
      </c>
    </row>
    <row r="78" spans="1:14">
      <c r="A78" s="113" t="s">
        <v>447</v>
      </c>
      <c r="B78" s="285" t="str">
        <f>VLOOKUP(A78,'Mano de Obra'!$A$4:$E$80,2,0)</f>
        <v>CUADRILLA DE INSTALÑACIÓN (3)</v>
      </c>
      <c r="C78" s="207"/>
      <c r="D78" s="207"/>
      <c r="E78" s="207"/>
      <c r="F78" s="207"/>
      <c r="G78" s="207"/>
      <c r="H78" s="206">
        <v>1</v>
      </c>
      <c r="I78" s="302">
        <f>VLOOKUP(A78,'Mano de Obra'!$A$4:$E$80,3,0)</f>
        <v>83000</v>
      </c>
      <c r="J78" s="177">
        <f>VLOOKUP(A78,'Mano de Obra'!$A$4:$E$80,4,0)</f>
        <v>1.85</v>
      </c>
      <c r="K78" s="307">
        <f t="shared" si="2"/>
        <v>153550</v>
      </c>
      <c r="L78" s="529">
        <v>35</v>
      </c>
      <c r="M78" s="530"/>
      <c r="N78" s="326">
        <f t="shared" si="3"/>
        <v>4387.1428571428569</v>
      </c>
    </row>
    <row r="79" spans="1:14" ht="13.5" thickBot="1">
      <c r="B79" s="282"/>
      <c r="C79" s="283"/>
      <c r="D79" s="283"/>
      <c r="E79" s="283"/>
      <c r="F79" s="283"/>
      <c r="G79" s="283"/>
      <c r="H79" s="311"/>
      <c r="I79" s="309"/>
      <c r="J79" s="170"/>
      <c r="K79" s="308"/>
      <c r="L79" s="534"/>
      <c r="M79" s="535"/>
      <c r="N79" s="179"/>
    </row>
    <row r="80" spans="1:14" ht="14.25" thickBot="1">
      <c r="B80" s="524" t="s">
        <v>137</v>
      </c>
      <c r="C80" s="525"/>
      <c r="D80" s="525"/>
      <c r="E80" s="525"/>
      <c r="F80" s="525"/>
      <c r="G80" s="525"/>
      <c r="H80" s="525"/>
      <c r="I80" s="525"/>
      <c r="J80" s="525"/>
      <c r="K80" s="525"/>
      <c r="L80" s="525"/>
      <c r="M80" s="526"/>
      <c r="N80" s="319">
        <f>SUM(N72:N79)</f>
        <v>27221.428571428572</v>
      </c>
    </row>
    <row r="81" spans="2:14" ht="13.5" thickBot="1">
      <c r="B81" s="159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7"/>
    </row>
    <row r="82" spans="2:14" ht="13.5" thickBot="1">
      <c r="B82" s="531" t="s">
        <v>147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3"/>
      <c r="N82" s="245">
        <f>+N80+N67+N60+N46</f>
        <v>237587.34523809527</v>
      </c>
    </row>
    <row r="83" spans="2:14">
      <c r="B83" s="574" t="s">
        <v>91</v>
      </c>
      <c r="C83" s="575"/>
      <c r="D83" s="575"/>
      <c r="E83" s="575"/>
      <c r="F83" s="575"/>
      <c r="G83" s="575"/>
      <c r="H83" s="575"/>
      <c r="I83" s="575"/>
      <c r="J83" s="575"/>
      <c r="K83" s="575"/>
      <c r="L83" s="575"/>
      <c r="M83" s="575"/>
      <c r="N83" s="576"/>
    </row>
    <row r="84" spans="2:14">
      <c r="B84" s="577"/>
      <c r="C84" s="578"/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9"/>
    </row>
    <row r="85" spans="2:14" ht="13.5" thickBot="1">
      <c r="B85" s="580"/>
      <c r="C85" s="581"/>
      <c r="D85" s="581"/>
      <c r="E85" s="581"/>
      <c r="F85" s="581"/>
      <c r="G85" s="581"/>
      <c r="H85" s="581"/>
      <c r="I85" s="581"/>
      <c r="J85" s="581"/>
      <c r="K85" s="581"/>
      <c r="L85" s="581"/>
      <c r="M85" s="581"/>
      <c r="N85" s="582"/>
    </row>
    <row r="86" spans="2:14" ht="13.5">
      <c r="B86" s="536" t="s">
        <v>88</v>
      </c>
      <c r="C86" s="537"/>
      <c r="D86" s="537"/>
      <c r="E86" s="537"/>
      <c r="F86" s="537"/>
      <c r="G86" s="537"/>
      <c r="H86" s="537"/>
      <c r="I86" s="240"/>
      <c r="J86" s="246"/>
      <c r="K86" s="243" t="s">
        <v>92</v>
      </c>
      <c r="L86" s="527" t="s">
        <v>93</v>
      </c>
      <c r="M86" s="528"/>
      <c r="N86" s="244"/>
    </row>
    <row r="87" spans="2:14">
      <c r="B87" s="540" t="s">
        <v>82</v>
      </c>
      <c r="C87" s="541"/>
      <c r="D87" s="541"/>
      <c r="E87" s="541"/>
      <c r="F87" s="541"/>
      <c r="G87" s="541"/>
      <c r="H87" s="541"/>
      <c r="I87" s="182"/>
      <c r="J87" s="183"/>
      <c r="K87" s="301">
        <v>0.2</v>
      </c>
      <c r="L87" s="522">
        <f>+$N$82*K87</f>
        <v>47517.469047619059</v>
      </c>
      <c r="M87" s="523"/>
      <c r="N87" s="184"/>
    </row>
    <row r="88" spans="2:14">
      <c r="B88" s="185" t="s">
        <v>94</v>
      </c>
      <c r="C88" s="186"/>
      <c r="D88" s="186"/>
      <c r="E88" s="186"/>
      <c r="F88" s="186"/>
      <c r="G88" s="186"/>
      <c r="H88" s="186"/>
      <c r="I88" s="182"/>
      <c r="J88" s="183"/>
      <c r="K88" s="301">
        <v>0.05</v>
      </c>
      <c r="L88" s="522">
        <f t="shared" ref="L88:L89" si="4">+$N$82*K88</f>
        <v>11879.367261904765</v>
      </c>
      <c r="M88" s="523"/>
      <c r="N88" s="184"/>
    </row>
    <row r="89" spans="2:14" ht="13.5" thickBot="1">
      <c r="B89" s="187" t="s">
        <v>83</v>
      </c>
      <c r="C89" s="188"/>
      <c r="D89" s="188"/>
      <c r="E89" s="188"/>
      <c r="F89" s="188"/>
      <c r="G89" s="188"/>
      <c r="H89" s="188"/>
      <c r="I89" s="189"/>
      <c r="J89" s="190"/>
      <c r="K89" s="301">
        <v>0.05</v>
      </c>
      <c r="L89" s="522">
        <f t="shared" si="4"/>
        <v>11879.367261904765</v>
      </c>
      <c r="M89" s="523"/>
      <c r="N89" s="184"/>
    </row>
    <row r="90" spans="2:14" ht="14.25" thickBot="1">
      <c r="B90" s="524" t="s">
        <v>469</v>
      </c>
      <c r="C90" s="525"/>
      <c r="D90" s="525"/>
      <c r="E90" s="525"/>
      <c r="F90" s="525"/>
      <c r="G90" s="525"/>
      <c r="H90" s="525"/>
      <c r="I90" s="525"/>
      <c r="J90" s="525"/>
      <c r="K90" s="525"/>
      <c r="L90" s="525"/>
      <c r="M90" s="526"/>
      <c r="N90" s="204">
        <f>SUM(L87:M89)</f>
        <v>71276.203571428588</v>
      </c>
    </row>
    <row r="91" spans="2:14" ht="13.5" thickBot="1">
      <c r="B91" s="159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7"/>
    </row>
    <row r="92" spans="2:14" ht="13.5" thickBot="1">
      <c r="B92" s="531" t="s">
        <v>148</v>
      </c>
      <c r="C92" s="532"/>
      <c r="D92" s="532"/>
      <c r="E92" s="532"/>
      <c r="F92" s="532"/>
      <c r="G92" s="532"/>
      <c r="H92" s="532"/>
      <c r="I92" s="532"/>
      <c r="J92" s="532"/>
      <c r="K92" s="532"/>
      <c r="L92" s="532"/>
      <c r="M92" s="533"/>
      <c r="N92" s="247">
        <f>ROUND(N82+N90,0)</f>
        <v>308864</v>
      </c>
    </row>
    <row r="93" spans="2:14">
      <c r="B93" s="138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41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2:14">
      <c r="B96" s="159"/>
      <c r="C96" s="140"/>
      <c r="D96" s="140"/>
      <c r="E96" s="140"/>
      <c r="F96" s="140"/>
      <c r="G96" s="145" t="s">
        <v>202</v>
      </c>
      <c r="H96" s="145"/>
      <c r="I96" s="145"/>
      <c r="J96" s="145"/>
      <c r="K96" s="140"/>
      <c r="L96" s="140"/>
      <c r="M96" s="140"/>
      <c r="N96" s="147"/>
    </row>
    <row r="97" spans="2:14" ht="13.5">
      <c r="B97" s="192"/>
      <c r="C97" s="193"/>
      <c r="D97" s="193"/>
      <c r="E97" s="193"/>
      <c r="F97" s="193"/>
      <c r="G97" s="140" t="s">
        <v>203</v>
      </c>
      <c r="H97" s="193"/>
      <c r="I97" s="193"/>
      <c r="J97" s="193"/>
      <c r="K97" s="193"/>
      <c r="L97" s="193"/>
      <c r="M97" s="193"/>
      <c r="N97" s="194"/>
    </row>
    <row r="98" spans="2:14" ht="13.5">
      <c r="B98" s="192"/>
      <c r="C98" s="193"/>
      <c r="D98" s="193"/>
      <c r="E98" s="193"/>
      <c r="F98" s="193"/>
      <c r="G98" s="145" t="s">
        <v>204</v>
      </c>
      <c r="J98" s="193"/>
      <c r="K98" s="193"/>
      <c r="L98" s="193"/>
      <c r="M98" s="193"/>
      <c r="N98" s="194"/>
    </row>
    <row r="99" spans="2:14">
      <c r="B99" s="123"/>
      <c r="C99" s="155"/>
      <c r="D99" s="155"/>
      <c r="E99" s="155"/>
      <c r="F99" s="155"/>
      <c r="G99" s="140" t="s">
        <v>205</v>
      </c>
      <c r="H99" s="155"/>
      <c r="I99" s="155"/>
      <c r="J99" s="155"/>
      <c r="K99" s="155"/>
      <c r="L99" s="155"/>
      <c r="M99" s="155"/>
      <c r="N99" s="153"/>
    </row>
    <row r="100" spans="2:14">
      <c r="B100" s="159"/>
      <c r="C100" s="140"/>
      <c r="D100" s="140"/>
      <c r="E100" s="140"/>
      <c r="F100" s="140"/>
      <c r="G100" s="140" t="s">
        <v>206</v>
      </c>
      <c r="H100" s="140"/>
      <c r="I100" s="140"/>
      <c r="J100" s="140"/>
      <c r="K100" s="140"/>
      <c r="L100" s="140"/>
      <c r="M100" s="140"/>
      <c r="N100" s="147"/>
    </row>
    <row r="101" spans="2:14" ht="13.5">
      <c r="B101" s="165" t="s">
        <v>207</v>
      </c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7"/>
    </row>
    <row r="102" spans="2:14">
      <c r="B102" s="544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6"/>
    </row>
    <row r="103" spans="2:14">
      <c r="B103" s="547"/>
      <c r="C103" s="548"/>
      <c r="D103" s="548"/>
      <c r="E103" s="548"/>
      <c r="F103" s="548"/>
      <c r="G103" s="548"/>
      <c r="H103" s="548"/>
      <c r="I103" s="548"/>
      <c r="J103" s="548"/>
      <c r="K103" s="548"/>
      <c r="L103" s="548"/>
      <c r="M103" s="548"/>
      <c r="N103" s="549"/>
    </row>
    <row r="104" spans="2:14">
      <c r="B104" s="123"/>
      <c r="C104" s="155"/>
      <c r="D104" s="155"/>
      <c r="E104" s="155"/>
      <c r="F104" s="155"/>
      <c r="G104" s="155"/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0" t="s">
        <v>202</v>
      </c>
      <c r="H105" s="140"/>
      <c r="I105" s="140"/>
      <c r="J105" s="14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60" t="s">
        <v>203</v>
      </c>
      <c r="H106" s="160"/>
      <c r="I106" s="160"/>
      <c r="J106" s="160"/>
      <c r="K106" s="140"/>
      <c r="L106" s="140"/>
      <c r="M106" s="140"/>
      <c r="N106" s="147"/>
    </row>
    <row r="107" spans="2:14">
      <c r="B107" s="159"/>
      <c r="C107" s="140"/>
      <c r="D107" s="140"/>
      <c r="E107" s="140"/>
      <c r="F107" s="140"/>
      <c r="G107" s="154" t="s">
        <v>208</v>
      </c>
      <c r="H107" s="154"/>
      <c r="I107" s="154"/>
      <c r="J107" s="154"/>
      <c r="M107" s="140"/>
      <c r="N107" s="147"/>
    </row>
    <row r="108" spans="2:14">
      <c r="B108" s="196"/>
      <c r="C108" s="155"/>
      <c r="D108" s="155"/>
      <c r="E108" s="155"/>
      <c r="F108" s="155"/>
      <c r="G108" s="140" t="s">
        <v>205</v>
      </c>
      <c r="K108" s="155"/>
      <c r="L108" s="155"/>
      <c r="M108" s="155"/>
      <c r="N108" s="153"/>
    </row>
    <row r="109" spans="2:14" ht="13.5">
      <c r="B109" s="128" t="s">
        <v>209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3.5">
      <c r="B110" s="128" t="s">
        <v>210</v>
      </c>
      <c r="C110" s="197"/>
      <c r="D110" s="197"/>
      <c r="E110" s="140"/>
      <c r="F110" s="140"/>
      <c r="G110" s="140"/>
      <c r="H110" s="140"/>
      <c r="I110" s="140"/>
      <c r="J110" s="515"/>
      <c r="K110" s="515"/>
      <c r="L110" s="515"/>
      <c r="M110" s="515"/>
      <c r="N110" s="516"/>
    </row>
    <row r="111" spans="2:14" ht="13.5" thickBot="1">
      <c r="B111" s="519"/>
      <c r="C111" s="520"/>
      <c r="D111" s="520"/>
      <c r="E111" s="161"/>
      <c r="F111" s="161"/>
      <c r="G111" s="161"/>
      <c r="H111" s="161"/>
      <c r="I111" s="161"/>
      <c r="J111" s="517"/>
      <c r="K111" s="517"/>
      <c r="L111" s="517"/>
      <c r="M111" s="517"/>
      <c r="N111" s="518"/>
    </row>
  </sheetData>
  <mergeCells count="113">
    <mergeCell ref="B45:H45"/>
    <mergeCell ref="L72:M72"/>
    <mergeCell ref="L73:M73"/>
    <mergeCell ref="L74:M74"/>
    <mergeCell ref="L78:M78"/>
    <mergeCell ref="B37:H37"/>
    <mergeCell ref="B38:H38"/>
    <mergeCell ref="B39:H39"/>
    <mergeCell ref="B40:H40"/>
    <mergeCell ref="B41:H41"/>
    <mergeCell ref="L55:M55"/>
    <mergeCell ref="L56:M56"/>
    <mergeCell ref="L58:M58"/>
    <mergeCell ref="I44:J44"/>
    <mergeCell ref="L39:M39"/>
    <mergeCell ref="L40:M40"/>
    <mergeCell ref="L41:M41"/>
    <mergeCell ref="L42:M42"/>
    <mergeCell ref="L43:M43"/>
    <mergeCell ref="L44:M44"/>
    <mergeCell ref="I39:J39"/>
    <mergeCell ref="I40:J40"/>
    <mergeCell ref="I41:J41"/>
    <mergeCell ref="I42:J42"/>
    <mergeCell ref="I43:J43"/>
    <mergeCell ref="B42:H42"/>
    <mergeCell ref="B43:H43"/>
    <mergeCell ref="B44:H44"/>
    <mergeCell ref="B47:N49"/>
    <mergeCell ref="B61:N63"/>
    <mergeCell ref="B68:N70"/>
    <mergeCell ref="B83:N85"/>
    <mergeCell ref="I38:J38"/>
    <mergeCell ref="L38:M38"/>
    <mergeCell ref="I45:J45"/>
    <mergeCell ref="L45:M45"/>
    <mergeCell ref="B66:H66"/>
    <mergeCell ref="L66:M66"/>
    <mergeCell ref="B46:M46"/>
    <mergeCell ref="B50:I50"/>
    <mergeCell ref="L50:M50"/>
    <mergeCell ref="B57:I57"/>
    <mergeCell ref="L57:M57"/>
    <mergeCell ref="B59:I59"/>
    <mergeCell ref="L59:M59"/>
    <mergeCell ref="B51:I51"/>
    <mergeCell ref="B52:I52"/>
    <mergeCell ref="B53:I53"/>
    <mergeCell ref="C6:J7"/>
    <mergeCell ref="H18:M18"/>
    <mergeCell ref="D22:M2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I37:J37"/>
    <mergeCell ref="L37:M37"/>
    <mergeCell ref="E26:M26"/>
    <mergeCell ref="G28:M28"/>
    <mergeCell ref="L13:N13"/>
    <mergeCell ref="B30:N30"/>
    <mergeCell ref="L32:M32"/>
    <mergeCell ref="L33:M33"/>
    <mergeCell ref="D19:M20"/>
    <mergeCell ref="D24:M24"/>
    <mergeCell ref="C32:K32"/>
    <mergeCell ref="C33:K33"/>
    <mergeCell ref="B34:N36"/>
    <mergeCell ref="B87:H87"/>
    <mergeCell ref="L87:M87"/>
    <mergeCell ref="B54:I54"/>
    <mergeCell ref="B55:I55"/>
    <mergeCell ref="B56:I56"/>
    <mergeCell ref="B58:I58"/>
    <mergeCell ref="L51:M51"/>
    <mergeCell ref="L52:M52"/>
    <mergeCell ref="L53:M53"/>
    <mergeCell ref="L54:M54"/>
    <mergeCell ref="B60:M60"/>
    <mergeCell ref="J109:N111"/>
    <mergeCell ref="B111:D111"/>
    <mergeCell ref="D12:G12"/>
    <mergeCell ref="J12:M12"/>
    <mergeCell ref="L88:M88"/>
    <mergeCell ref="L89:M89"/>
    <mergeCell ref="B90:M90"/>
    <mergeCell ref="B67:M67"/>
    <mergeCell ref="L71:M71"/>
    <mergeCell ref="L77:M77"/>
    <mergeCell ref="L76:M76"/>
    <mergeCell ref="B92:M92"/>
    <mergeCell ref="L79:M79"/>
    <mergeCell ref="L75:M75"/>
    <mergeCell ref="B64:H64"/>
    <mergeCell ref="L64:M64"/>
    <mergeCell ref="B65:H65"/>
    <mergeCell ref="L65:M65"/>
    <mergeCell ref="B102:N102"/>
    <mergeCell ref="B103:N103"/>
    <mergeCell ref="B80:M80"/>
    <mergeCell ref="B82:M82"/>
    <mergeCell ref="B86:H86"/>
    <mergeCell ref="L86:M86"/>
  </mergeCells>
  <phoneticPr fontId="0" type="noConversion"/>
  <printOptions horizontalCentered="1" verticalCentered="1"/>
  <pageMargins left="0.25" right="0.25" top="0.19685039370078741" bottom="0.25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>
    <tabColor rgb="FFFF0000"/>
  </sheetPr>
  <dimension ref="A1:Q116"/>
  <sheetViews>
    <sheetView showGridLines="0" view="pageBreakPreview" topLeftCell="A34" zoomScaleNormal="70" zoomScaleSheetLayoutView="100" workbookViewId="0">
      <selection activeCell="K52" sqref="K52:M52"/>
    </sheetView>
  </sheetViews>
  <sheetFormatPr baseColWidth="10" defaultRowHeight="12.75"/>
  <cols>
    <col min="1" max="1" width="3.140625" style="212" customWidth="1"/>
    <col min="2" max="9" width="11.42578125" style="212"/>
    <col min="10" max="10" width="11.7109375" style="212" customWidth="1"/>
    <col min="11" max="11" width="15" style="212" customWidth="1"/>
    <col min="12" max="12" width="11.7109375" style="212" bestFit="1" customWidth="1"/>
    <col min="13" max="13" width="11.42578125" style="212"/>
    <col min="14" max="14" width="13.140625" style="212" customWidth="1"/>
    <col min="15" max="16384" width="11.42578125" style="212"/>
  </cols>
  <sheetData>
    <row r="1" spans="2:14" ht="13.5" thickBot="1"/>
    <row r="2" spans="2:14" s="113" customFormat="1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s="113" customFormat="1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s="113" customFormat="1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 s="113" customFormat="1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 s="113" customFormat="1" ht="12.75" customHeight="1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 s="113" customFormat="1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 s="113" customFormat="1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s="113" customFormat="1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s="211" customFormat="1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s="211" customFormat="1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s="211" customFormat="1" ht="12.75" customHeight="1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s="211" customFormat="1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s="211" customFormat="1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s="211" customFormat="1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s="211" customFormat="1" ht="14.2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 s="211" customFormat="1" ht="13.5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s="211" customFormat="1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 s="211" customFormat="1" ht="12.75" customHeight="1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 s="211" customFormat="1" ht="13.5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 s="211" customFormat="1" ht="12.75" customHeight="1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 s="211" customFormat="1" ht="13.5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 s="211" customFormat="1" ht="13.5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 s="211" customFormat="1" ht="13.5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 s="211" customFormat="1" ht="13.5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 s="211" customFormat="1" ht="13.5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 s="211" customFormat="1" ht="13.5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 s="211" customFormat="1" ht="13.5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s="211" customFormat="1" ht="14.2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s="211" customFormat="1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s="211" customFormat="1" ht="14.2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s="211" customFormat="1" ht="13.5" customHeight="1">
      <c r="B32" s="248" t="s">
        <v>6</v>
      </c>
      <c r="C32" s="570" t="s">
        <v>125</v>
      </c>
      <c r="D32" s="571"/>
      <c r="E32" s="571"/>
      <c r="F32" s="571"/>
      <c r="G32" s="571"/>
      <c r="H32" s="571"/>
      <c r="I32" s="571"/>
      <c r="J32" s="571"/>
      <c r="K32" s="572"/>
      <c r="L32" s="564" t="s">
        <v>16</v>
      </c>
      <c r="M32" s="565"/>
      <c r="N32" s="248" t="s">
        <v>101</v>
      </c>
    </row>
    <row r="33" spans="1:14" s="211" customFormat="1" ht="13.5" thickBot="1">
      <c r="B33" s="249" t="str">
        <f>'PRESUPUESTO OFICIAL'!D15</f>
        <v>SV-02</v>
      </c>
      <c r="C33" s="566" t="str">
        <f>'PRESUPUESTO OFICIAL'!G15</f>
        <v>SUMINISTRO E INSTALACIÓN DE SEÑAL VERTICAL SP, SR Y SI 75 CM X 75 CM</v>
      </c>
      <c r="D33" s="573"/>
      <c r="E33" s="573"/>
      <c r="F33" s="573"/>
      <c r="G33" s="573"/>
      <c r="H33" s="573"/>
      <c r="I33" s="573"/>
      <c r="J33" s="573"/>
      <c r="K33" s="567"/>
      <c r="L33" s="566" t="str">
        <f>'PRESUPUESTO OFICIAL'!H15</f>
        <v>UNIDAD</v>
      </c>
      <c r="M33" s="567"/>
      <c r="N33" s="258">
        <f>'PRESUPUESTO OFICIAL'!I15</f>
        <v>54</v>
      </c>
    </row>
    <row r="34" spans="1:14" s="211" customFormat="1" ht="13.5" customHeight="1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 s="211" customFormat="1" ht="13.5" customHeight="1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s="211" customFormat="1" ht="14.25" customHeight="1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s="211" customFormat="1" ht="13.5" customHeight="1">
      <c r="B37" s="634" t="s">
        <v>125</v>
      </c>
      <c r="C37" s="635"/>
      <c r="D37" s="635"/>
      <c r="E37" s="635"/>
      <c r="F37" s="635"/>
      <c r="G37" s="635"/>
      <c r="H37" s="636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 s="211" customFormat="1" ht="13.5" customHeight="1">
      <c r="A38" s="113" t="s">
        <v>365</v>
      </c>
      <c r="B38" s="631" t="str">
        <f>VLOOKUP(A38,Equipo!$A$4:$D$80,2,0)</f>
        <v>CORTADORA DE LÁMINA</v>
      </c>
      <c r="C38" s="632"/>
      <c r="D38" s="632"/>
      <c r="E38" s="632"/>
      <c r="F38" s="632"/>
      <c r="G38" s="632"/>
      <c r="H38" s="633"/>
      <c r="I38" s="620"/>
      <c r="J38" s="621"/>
      <c r="K38" s="315">
        <f>VLOOKUP(A38,Equipo!$A$4:$D$80,4,0)</f>
        <v>20339</v>
      </c>
      <c r="L38" s="542">
        <v>4</v>
      </c>
      <c r="M38" s="543"/>
      <c r="N38" s="297">
        <f t="shared" ref="N38:N43" si="0">+K38/L38</f>
        <v>5084.75</v>
      </c>
    </row>
    <row r="39" spans="1:14" s="211" customFormat="1" ht="13.5" customHeight="1">
      <c r="A39" s="113" t="s">
        <v>366</v>
      </c>
      <c r="B39" s="631" t="str">
        <f>VLOOKUP(A39,Equipo!$A$4:$D$80,2,0)</f>
        <v>CORTADORA DE ANGULO</v>
      </c>
      <c r="C39" s="632"/>
      <c r="D39" s="632"/>
      <c r="E39" s="632"/>
      <c r="F39" s="632"/>
      <c r="G39" s="632"/>
      <c r="H39" s="633"/>
      <c r="I39" s="203"/>
      <c r="J39" s="202"/>
      <c r="K39" s="315">
        <f>VLOOKUP(A39,Equipo!$A$4:$D$80,4,0)</f>
        <v>20339</v>
      </c>
      <c r="L39" s="542">
        <v>4</v>
      </c>
      <c r="M39" s="543"/>
      <c r="N39" s="297">
        <f t="shared" si="0"/>
        <v>5084.75</v>
      </c>
    </row>
    <row r="40" spans="1:14" s="211" customFormat="1" ht="13.5" customHeight="1">
      <c r="A40" s="113" t="s">
        <v>367</v>
      </c>
      <c r="B40" s="631" t="str">
        <f>VLOOKUP(A40,Equipo!$A$4:$D$80,2,0)</f>
        <v>EQUIPO DE SOLDADURA</v>
      </c>
      <c r="C40" s="632"/>
      <c r="D40" s="632"/>
      <c r="E40" s="632"/>
      <c r="F40" s="632"/>
      <c r="G40" s="632"/>
      <c r="H40" s="633"/>
      <c r="I40" s="203"/>
      <c r="J40" s="202"/>
      <c r="K40" s="315">
        <f>VLOOKUP(A40,Equipo!$A$4:$D$80,4,0)</f>
        <v>16271</v>
      </c>
      <c r="L40" s="542">
        <v>4</v>
      </c>
      <c r="M40" s="543"/>
      <c r="N40" s="297">
        <f t="shared" si="0"/>
        <v>4067.75</v>
      </c>
    </row>
    <row r="41" spans="1:14" s="211" customFormat="1" ht="13.5" customHeight="1">
      <c r="A41" s="113" t="s">
        <v>368</v>
      </c>
      <c r="B41" s="631" t="str">
        <f>VLOOKUP(A41,Equipo!$A$4:$D$80,2,0)</f>
        <v>EQUIPO DE PINTURA</v>
      </c>
      <c r="C41" s="632"/>
      <c r="D41" s="632"/>
      <c r="E41" s="632"/>
      <c r="F41" s="632"/>
      <c r="G41" s="632"/>
      <c r="H41" s="633"/>
      <c r="I41" s="203"/>
      <c r="J41" s="202"/>
      <c r="K41" s="315">
        <f>VLOOKUP(A41,Equipo!$A$4:$D$80,4,0)</f>
        <v>20339</v>
      </c>
      <c r="L41" s="542">
        <v>4</v>
      </c>
      <c r="M41" s="543"/>
      <c r="N41" s="297">
        <f t="shared" si="0"/>
        <v>5084.75</v>
      </c>
    </row>
    <row r="42" spans="1:14" s="211" customFormat="1" ht="13.5" customHeight="1">
      <c r="A42" s="113" t="s">
        <v>369</v>
      </c>
      <c r="B42" s="631" t="str">
        <f>VLOOKUP(A42,Equipo!$A$4:$D$80,2,0)</f>
        <v>EQUIPO DE SERIGRAFÍA</v>
      </c>
      <c r="C42" s="632"/>
      <c r="D42" s="632"/>
      <c r="E42" s="632"/>
      <c r="F42" s="632"/>
      <c r="G42" s="632"/>
      <c r="H42" s="633"/>
      <c r="I42" s="203"/>
      <c r="J42" s="202"/>
      <c r="K42" s="315">
        <f>VLOOKUP(A42,Equipo!$A$4:$D$80,4,0)</f>
        <v>13574</v>
      </c>
      <c r="L42" s="542">
        <v>3</v>
      </c>
      <c r="M42" s="543"/>
      <c r="N42" s="297">
        <f t="shared" si="0"/>
        <v>4524.666666666667</v>
      </c>
    </row>
    <row r="43" spans="1:14" s="211" customFormat="1" ht="13.5" customHeight="1">
      <c r="A43" s="113" t="s">
        <v>370</v>
      </c>
      <c r="B43" s="631" t="str">
        <f>VLOOKUP(A43,Equipo!$A$4:$D$80,2,0)</f>
        <v>EQUIPO DE LAMINACIÓN</v>
      </c>
      <c r="C43" s="632"/>
      <c r="D43" s="632"/>
      <c r="E43" s="632"/>
      <c r="F43" s="632"/>
      <c r="G43" s="632"/>
      <c r="H43" s="633"/>
      <c r="I43" s="203"/>
      <c r="J43" s="202"/>
      <c r="K43" s="315">
        <f>VLOOKUP(A43,Equipo!$A$4:$D$80,4,0)</f>
        <v>8003</v>
      </c>
      <c r="L43" s="542">
        <v>3</v>
      </c>
      <c r="M43" s="543"/>
      <c r="N43" s="297">
        <f t="shared" si="0"/>
        <v>2667.6666666666665</v>
      </c>
    </row>
    <row r="44" spans="1:14" s="211" customFormat="1" ht="13.5">
      <c r="A44" s="113" t="s">
        <v>371</v>
      </c>
      <c r="B44" s="631" t="str">
        <f>VLOOKUP(A44,Equipo!$A$4:$D$80,2,0)</f>
        <v>TALADRO</v>
      </c>
      <c r="C44" s="632"/>
      <c r="D44" s="632"/>
      <c r="E44" s="632"/>
      <c r="F44" s="632"/>
      <c r="G44" s="632"/>
      <c r="H44" s="633"/>
      <c r="I44" s="203"/>
      <c r="J44" s="202"/>
      <c r="K44" s="315">
        <f>VLOOKUP(A44,Equipo!$A$4:$D$80,4,0)</f>
        <v>2715</v>
      </c>
      <c r="L44" s="542">
        <v>4</v>
      </c>
      <c r="M44" s="543"/>
      <c r="N44" s="297">
        <f>+K44/L44</f>
        <v>678.75</v>
      </c>
    </row>
    <row r="45" spans="1:14" s="211" customFormat="1" ht="14.25" customHeight="1" thickBot="1">
      <c r="A45" s="113" t="s">
        <v>372</v>
      </c>
      <c r="B45" s="631" t="str">
        <f>VLOOKUP(A45,Equipo!$A$4:$D$80,2,0)</f>
        <v>Camioneta D-300</v>
      </c>
      <c r="C45" s="632"/>
      <c r="D45" s="632"/>
      <c r="E45" s="632"/>
      <c r="F45" s="632"/>
      <c r="G45" s="632"/>
      <c r="H45" s="633"/>
      <c r="I45" s="622"/>
      <c r="J45" s="623"/>
      <c r="K45" s="315">
        <f>VLOOKUP(A45,Equipo!$A$4:$D$80,4,0)</f>
        <v>39346</v>
      </c>
      <c r="L45" s="542">
        <v>4</v>
      </c>
      <c r="M45" s="543"/>
      <c r="N45" s="297">
        <f>+K45/L45</f>
        <v>9836.5</v>
      </c>
    </row>
    <row r="46" spans="1:14" s="211" customFormat="1" ht="14.25" thickBot="1">
      <c r="B46" s="524"/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164">
        <f>SUM(N38:N45)</f>
        <v>37029.583333333336</v>
      </c>
    </row>
    <row r="47" spans="1:14" s="211" customFormat="1" ht="15" customHeight="1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 s="211" customFormat="1" ht="13.5" customHeight="1">
      <c r="B48" s="577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7" s="211" customFormat="1" ht="14.25" customHeight="1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7" s="211" customFormat="1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7" s="211" customFormat="1" ht="13.5">
      <c r="A51" s="113" t="s">
        <v>344</v>
      </c>
      <c r="B51" s="540" t="str">
        <f>VLOOKUP(A51,Materiales!$A$4:$D$141,2,0)</f>
        <v>LAMINA GALV. CALIBRE 16</v>
      </c>
      <c r="C51" s="541"/>
      <c r="D51" s="541"/>
      <c r="E51" s="541"/>
      <c r="F51" s="541"/>
      <c r="G51" s="541"/>
      <c r="H51" s="541"/>
      <c r="I51" s="621"/>
      <c r="J51" s="168" t="str">
        <f>VLOOKUP(A51,Materiales!$A$4:$D$141,3,0)</f>
        <v>M2</v>
      </c>
      <c r="K51" s="169">
        <v>0.63046000000000002</v>
      </c>
      <c r="L51" s="522">
        <f>VLOOKUP(A51,Materiales!A4:D141,4,0)</f>
        <v>49580</v>
      </c>
      <c r="M51" s="523"/>
      <c r="N51" s="297">
        <f>+K51*L51</f>
        <v>31258.2068</v>
      </c>
      <c r="Q51" s="211">
        <f>0.75*0.75</f>
        <v>0.5625</v>
      </c>
    </row>
    <row r="52" spans="1:17" s="211" customFormat="1" ht="13.5">
      <c r="A52" s="113" t="s">
        <v>345</v>
      </c>
      <c r="B52" s="540" t="str">
        <f>VLOOKUP(A52,Materiales!$A$4:$D$141,2,0)</f>
        <v>PAPEL REFLECTIVO TIPO III</v>
      </c>
      <c r="C52" s="541"/>
      <c r="D52" s="541"/>
      <c r="E52" s="541"/>
      <c r="F52" s="541"/>
      <c r="G52" s="541"/>
      <c r="H52" s="541"/>
      <c r="I52" s="621"/>
      <c r="J52" s="288" t="s">
        <v>526</v>
      </c>
      <c r="K52" s="169">
        <v>1.7000000000000001E-2</v>
      </c>
      <c r="L52" s="522">
        <v>3522400</v>
      </c>
      <c r="M52" s="523"/>
      <c r="N52" s="297">
        <f t="shared" ref="N52:N59" si="1">+K52*L52</f>
        <v>59880.800000000003</v>
      </c>
    </row>
    <row r="53" spans="1:17" s="211" customFormat="1" ht="13.5">
      <c r="A53" s="113" t="s">
        <v>346</v>
      </c>
      <c r="B53" s="540" t="str">
        <f>VLOOKUP(A53,Materiales!$A$4:$D$141,2,0)</f>
        <v>ANGULO DE 2" X 1/4"</v>
      </c>
      <c r="C53" s="541"/>
      <c r="D53" s="541"/>
      <c r="E53" s="541"/>
      <c r="F53" s="541"/>
      <c r="G53" s="541"/>
      <c r="H53" s="541"/>
      <c r="I53" s="621"/>
      <c r="J53" s="288" t="str">
        <f>VLOOKUP(A53,Materiales!$A$4:$D$141,3,0)</f>
        <v>ML</v>
      </c>
      <c r="K53" s="169">
        <v>3.35</v>
      </c>
      <c r="L53" s="522">
        <f>VLOOKUP(A53,Materiales!A6:D143,4,0)</f>
        <v>17710</v>
      </c>
      <c r="M53" s="523"/>
      <c r="N53" s="297">
        <f t="shared" si="1"/>
        <v>59328.5</v>
      </c>
      <c r="O53" s="211">
        <f>0.75+1.8+0.8</f>
        <v>3.3499999999999996</v>
      </c>
    </row>
    <row r="54" spans="1:17" s="211" customFormat="1" ht="13.5">
      <c r="A54" s="113" t="s">
        <v>347</v>
      </c>
      <c r="B54" s="540" t="str">
        <f>VLOOKUP(A54,Materiales!$A$4:$D$141,2,0)</f>
        <v>ANGULO DE 2" X 1/8"</v>
      </c>
      <c r="C54" s="541"/>
      <c r="D54" s="541"/>
      <c r="E54" s="541"/>
      <c r="F54" s="541"/>
      <c r="G54" s="541"/>
      <c r="H54" s="541"/>
      <c r="I54" s="621"/>
      <c r="J54" s="288" t="str">
        <f>VLOOKUP(A54,Materiales!$A$4:$D$141,3,0)</f>
        <v>ML</v>
      </c>
      <c r="K54" s="169">
        <v>1.5</v>
      </c>
      <c r="L54" s="522">
        <f>VLOOKUP(A54,Materiales!A7:D144,4,0)</f>
        <v>9810</v>
      </c>
      <c r="M54" s="523"/>
      <c r="N54" s="297">
        <f t="shared" si="1"/>
        <v>14715</v>
      </c>
    </row>
    <row r="55" spans="1:17" s="211" customFormat="1" ht="13.5">
      <c r="A55" s="113" t="s">
        <v>348</v>
      </c>
      <c r="B55" s="540" t="str">
        <f>VLOOKUP(A55,Materiales!$A$4:$D$141,2,0)</f>
        <v>TORNILLOS Y REMACHES</v>
      </c>
      <c r="C55" s="541"/>
      <c r="D55" s="541"/>
      <c r="E55" s="541"/>
      <c r="F55" s="541"/>
      <c r="G55" s="541"/>
      <c r="H55" s="541"/>
      <c r="I55" s="621"/>
      <c r="J55" s="288" t="str">
        <f>VLOOKUP(A55,Materiales!$A$4:$D$141,3,0)</f>
        <v>UND.</v>
      </c>
      <c r="K55" s="169">
        <v>4</v>
      </c>
      <c r="L55" s="522">
        <f>VLOOKUP(A55,Materiales!A8:D145,4,0)</f>
        <v>1004</v>
      </c>
      <c r="M55" s="523"/>
      <c r="N55" s="297">
        <f t="shared" si="1"/>
        <v>4016</v>
      </c>
    </row>
    <row r="56" spans="1:17" s="211" customFormat="1" ht="13.5">
      <c r="A56" s="113" t="s">
        <v>349</v>
      </c>
      <c r="B56" s="540" t="str">
        <f>VLOOKUP(A56,Materiales!$A$4:$D$141,2,0)</f>
        <v>PINTURA EN POLVO</v>
      </c>
      <c r="C56" s="541"/>
      <c r="D56" s="541"/>
      <c r="E56" s="541"/>
      <c r="F56" s="541"/>
      <c r="G56" s="541"/>
      <c r="H56" s="541"/>
      <c r="I56" s="621"/>
      <c r="J56" s="288" t="str">
        <f>VLOOKUP(A56,Materiales!$A$4:$D$141,3,0)</f>
        <v>GALON</v>
      </c>
      <c r="K56" s="169">
        <v>0.05</v>
      </c>
      <c r="L56" s="522">
        <f>VLOOKUP(A56,Materiales!A9:D146,4,0)</f>
        <v>170330</v>
      </c>
      <c r="M56" s="523"/>
      <c r="N56" s="297">
        <f t="shared" si="1"/>
        <v>8516.5</v>
      </c>
    </row>
    <row r="57" spans="1:17" s="211" customFormat="1" ht="13.5">
      <c r="A57" s="113" t="s">
        <v>350</v>
      </c>
      <c r="B57" s="540" t="str">
        <f>VLOOKUP(A57,Materiales!$A$4:$D$141,2,0)</f>
        <v>PINTURA ESMALTE</v>
      </c>
      <c r="C57" s="541"/>
      <c r="D57" s="541"/>
      <c r="E57" s="541"/>
      <c r="F57" s="541"/>
      <c r="G57" s="541"/>
      <c r="H57" s="541"/>
      <c r="I57" s="621"/>
      <c r="J57" s="288" t="str">
        <f>VLOOKUP(A57,Materiales!$A$4:$D$141,3,0)</f>
        <v>GALON</v>
      </c>
      <c r="K57" s="169">
        <v>0.06</v>
      </c>
      <c r="L57" s="522">
        <f>VLOOKUP(A57,Materiales!A10:D147,4,0)</f>
        <v>59020</v>
      </c>
      <c r="M57" s="523"/>
      <c r="N57" s="297">
        <f t="shared" si="1"/>
        <v>3541.2</v>
      </c>
    </row>
    <row r="58" spans="1:17" s="211" customFormat="1" ht="13.5">
      <c r="A58" s="113" t="s">
        <v>351</v>
      </c>
      <c r="B58" s="540" t="str">
        <f>VLOOKUP(A58,Materiales!$A$4:$D$141,2,0)</f>
        <v>SOLDADURA</v>
      </c>
      <c r="C58" s="541"/>
      <c r="D58" s="541"/>
      <c r="E58" s="541"/>
      <c r="F58" s="541"/>
      <c r="G58" s="541"/>
      <c r="H58" s="541"/>
      <c r="I58" s="621"/>
      <c r="J58" s="288" t="str">
        <f>VLOOKUP(A58,Materiales!$A$4:$D$141,3,0)</f>
        <v>KG</v>
      </c>
      <c r="K58" s="271">
        <v>0.25</v>
      </c>
      <c r="L58" s="522">
        <f>VLOOKUP(A58,Materiales!A11:D148,4,0)</f>
        <v>7210</v>
      </c>
      <c r="M58" s="523"/>
      <c r="N58" s="297">
        <f t="shared" si="1"/>
        <v>1802.5</v>
      </c>
    </row>
    <row r="59" spans="1:17" s="211" customFormat="1" ht="14.25" thickBot="1">
      <c r="A59" s="113" t="s">
        <v>352</v>
      </c>
      <c r="B59" s="540" t="str">
        <f>VLOOKUP(A59,Materiales!$A$4:$D$141,2,0)</f>
        <v>CONCRETO CLASE E</v>
      </c>
      <c r="C59" s="541"/>
      <c r="D59" s="541"/>
      <c r="E59" s="541"/>
      <c r="F59" s="541"/>
      <c r="G59" s="541"/>
      <c r="H59" s="541"/>
      <c r="I59" s="621"/>
      <c r="J59" s="288" t="str">
        <f>VLOOKUP(A59,Materiales!$A$4:$D$141,3,0)</f>
        <v>M3</v>
      </c>
      <c r="K59" s="170">
        <v>0.05</v>
      </c>
      <c r="L59" s="522">
        <f>VLOOKUP(A59,Materiales!A12:D149,4,0)</f>
        <v>463800</v>
      </c>
      <c r="M59" s="523"/>
      <c r="N59" s="297">
        <f t="shared" si="1"/>
        <v>23190</v>
      </c>
    </row>
    <row r="60" spans="1:17" s="211" customFormat="1" ht="14.25" thickBot="1">
      <c r="B60" s="524" t="s">
        <v>469</v>
      </c>
      <c r="C60" s="525"/>
      <c r="D60" s="525"/>
      <c r="E60" s="525"/>
      <c r="F60" s="525"/>
      <c r="G60" s="525"/>
      <c r="H60" s="525"/>
      <c r="I60" s="525"/>
      <c r="J60" s="525"/>
      <c r="K60" s="525"/>
      <c r="L60" s="525"/>
      <c r="M60" s="526"/>
      <c r="N60" s="319">
        <f>SUM(N51:N59)</f>
        <v>206248.70680000001</v>
      </c>
    </row>
    <row r="61" spans="1:17" s="211" customFormat="1" ht="13.5" customHeight="1">
      <c r="B61" s="574" t="s">
        <v>89</v>
      </c>
      <c r="C61" s="575"/>
      <c r="D61" s="575"/>
      <c r="E61" s="575"/>
      <c r="F61" s="575"/>
      <c r="G61" s="575"/>
      <c r="H61" s="575"/>
      <c r="I61" s="575"/>
      <c r="J61" s="575"/>
      <c r="K61" s="575"/>
      <c r="L61" s="575"/>
      <c r="M61" s="575"/>
      <c r="N61" s="576"/>
    </row>
    <row r="62" spans="1:17" s="211" customFormat="1" ht="13.5" customHeight="1">
      <c r="B62" s="577"/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9"/>
    </row>
    <row r="63" spans="1:17" s="211" customFormat="1" ht="14.25" customHeight="1" thickBot="1">
      <c r="B63" s="580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2"/>
    </row>
    <row r="64" spans="1:17" s="211" customFormat="1">
      <c r="B64" s="536" t="s">
        <v>141</v>
      </c>
      <c r="C64" s="537"/>
      <c r="D64" s="537"/>
      <c r="E64" s="537"/>
      <c r="F64" s="537"/>
      <c r="G64" s="537"/>
      <c r="H64" s="537"/>
      <c r="I64" s="237" t="s">
        <v>142</v>
      </c>
      <c r="J64" s="240" t="s">
        <v>143</v>
      </c>
      <c r="K64" s="241" t="s">
        <v>248</v>
      </c>
      <c r="L64" s="538" t="s">
        <v>17</v>
      </c>
      <c r="M64" s="539"/>
      <c r="N64" s="238" t="s">
        <v>140</v>
      </c>
    </row>
    <row r="65" spans="1:14" s="211" customFormat="1" ht="13.5">
      <c r="B65" s="540" t="s">
        <v>467</v>
      </c>
      <c r="C65" s="541"/>
      <c r="D65" s="541"/>
      <c r="E65" s="541"/>
      <c r="F65" s="541"/>
      <c r="G65" s="541"/>
      <c r="H65" s="541"/>
      <c r="I65" s="172"/>
      <c r="J65" s="166"/>
      <c r="K65" s="172"/>
      <c r="L65" s="542"/>
      <c r="M65" s="543"/>
      <c r="N65" s="297">
        <v>22680</v>
      </c>
    </row>
    <row r="66" spans="1:14" s="211" customFormat="1" ht="14.25" thickBot="1">
      <c r="B66" s="624"/>
      <c r="C66" s="625"/>
      <c r="D66" s="625"/>
      <c r="E66" s="625"/>
      <c r="F66" s="625"/>
      <c r="G66" s="625"/>
      <c r="H66" s="625"/>
      <c r="I66" s="173"/>
      <c r="J66" s="161"/>
      <c r="K66" s="173"/>
      <c r="L66" s="534"/>
      <c r="M66" s="535"/>
      <c r="N66" s="210"/>
    </row>
    <row r="67" spans="1:14" s="211" customFormat="1" ht="14.25" thickBot="1">
      <c r="B67" s="524" t="s">
        <v>137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6"/>
      <c r="N67" s="164">
        <f>SUM(N65:N66)</f>
        <v>22680</v>
      </c>
    </row>
    <row r="68" spans="1:14" s="211" customFormat="1" ht="13.5" customHeight="1">
      <c r="B68" s="574" t="s">
        <v>90</v>
      </c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6"/>
    </row>
    <row r="69" spans="1:14" s="211" customFormat="1" ht="13.5" customHeight="1">
      <c r="B69" s="577"/>
      <c r="C69" s="578"/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9"/>
    </row>
    <row r="70" spans="1:14" s="211" customFormat="1" ht="14.25" customHeight="1" thickBot="1">
      <c r="B70" s="580"/>
      <c r="C70" s="581"/>
      <c r="D70" s="581"/>
      <c r="E70" s="581"/>
      <c r="F70" s="581"/>
      <c r="G70" s="581"/>
      <c r="H70" s="581"/>
      <c r="I70" s="581"/>
      <c r="J70" s="581"/>
      <c r="K70" s="581"/>
      <c r="L70" s="581"/>
      <c r="M70" s="581"/>
      <c r="N70" s="582"/>
    </row>
    <row r="71" spans="1:14" s="320" customFormat="1">
      <c r="B71" s="564" t="s">
        <v>144</v>
      </c>
      <c r="C71" s="626"/>
      <c r="D71" s="626"/>
      <c r="E71" s="626"/>
      <c r="F71" s="626"/>
      <c r="G71" s="626"/>
      <c r="H71" s="322" t="s">
        <v>101</v>
      </c>
      <c r="I71" s="322" t="s">
        <v>145</v>
      </c>
      <c r="J71" s="289" t="s">
        <v>84</v>
      </c>
      <c r="K71" s="323" t="s">
        <v>146</v>
      </c>
      <c r="L71" s="629" t="s">
        <v>136</v>
      </c>
      <c r="M71" s="630"/>
      <c r="N71" s="324" t="s">
        <v>140</v>
      </c>
    </row>
    <row r="72" spans="1:14" s="211" customFormat="1" ht="13.5">
      <c r="A72" s="113" t="s">
        <v>441</v>
      </c>
      <c r="B72" s="550" t="str">
        <f>VLOOKUP(A72,'Mano de Obra'!$A$4:$E$80,2,0)</f>
        <v>CORTADOR</v>
      </c>
      <c r="C72" s="551"/>
      <c r="D72" s="551"/>
      <c r="E72" s="551"/>
      <c r="F72" s="551"/>
      <c r="G72" s="551"/>
      <c r="H72" s="208">
        <v>1</v>
      </c>
      <c r="I72" s="176">
        <f>VLOOKUP(A72,'Mano de Obra'!$A$4:$E$79,3,0)</f>
        <v>72000</v>
      </c>
      <c r="J72" s="177">
        <f>VLOOKUP(A72,'Mano de Obra'!$A$4:$E$80,4,0)</f>
        <v>1.85</v>
      </c>
      <c r="K72" s="178">
        <f>+H72*I72*J72</f>
        <v>133200</v>
      </c>
      <c r="L72" s="529">
        <v>35</v>
      </c>
      <c r="M72" s="530"/>
      <c r="N72" s="179">
        <f>+K72/L72</f>
        <v>3805.7142857142858</v>
      </c>
    </row>
    <row r="73" spans="1:14" s="211" customFormat="1" ht="13.5">
      <c r="A73" s="113" t="s">
        <v>442</v>
      </c>
      <c r="B73" s="550" t="str">
        <f>VLOOKUP(A73,'Mano de Obra'!$A$4:$E$80,2,0)</f>
        <v>SOLDADOR</v>
      </c>
      <c r="C73" s="551"/>
      <c r="D73" s="551"/>
      <c r="E73" s="551"/>
      <c r="F73" s="551"/>
      <c r="G73" s="551"/>
      <c r="H73" s="208">
        <v>1</v>
      </c>
      <c r="I73" s="176">
        <f>VLOOKUP(A73,'Mano de Obra'!$A$4:$E$79,3,0)</f>
        <v>88000</v>
      </c>
      <c r="J73" s="177">
        <f>VLOOKUP(A73,'Mano de Obra'!$A$4:$E$80,4,0)</f>
        <v>1.85</v>
      </c>
      <c r="K73" s="178">
        <f t="shared" ref="K73:K78" si="2">+H73*I73*J73</f>
        <v>162800</v>
      </c>
      <c r="L73" s="529">
        <v>35</v>
      </c>
      <c r="M73" s="530"/>
      <c r="N73" s="179">
        <f t="shared" ref="N73:N78" si="3">+K73/L73</f>
        <v>4651.4285714285716</v>
      </c>
    </row>
    <row r="74" spans="1:14" s="211" customFormat="1" ht="13.5">
      <c r="A74" s="113" t="s">
        <v>443</v>
      </c>
      <c r="B74" s="550" t="str">
        <f>VLOOKUP(A74,'Mano de Obra'!$A$4:$E$80,2,0)</f>
        <v>PINTOR</v>
      </c>
      <c r="C74" s="551"/>
      <c r="D74" s="551"/>
      <c r="E74" s="551"/>
      <c r="F74" s="551"/>
      <c r="G74" s="551"/>
      <c r="H74" s="208">
        <v>1</v>
      </c>
      <c r="I74" s="176">
        <f>VLOOKUP(A74,'Mano de Obra'!$A$4:$E$79,3,0)</f>
        <v>72000</v>
      </c>
      <c r="J74" s="177">
        <f>VLOOKUP(A74,'Mano de Obra'!$A$4:$E$80,4,0)</f>
        <v>1.85</v>
      </c>
      <c r="K74" s="178">
        <f t="shared" si="2"/>
        <v>133200</v>
      </c>
      <c r="L74" s="529">
        <v>35</v>
      </c>
      <c r="M74" s="530"/>
      <c r="N74" s="179">
        <f t="shared" si="3"/>
        <v>3805.7142857142858</v>
      </c>
    </row>
    <row r="75" spans="1:14" s="211" customFormat="1" ht="13.5">
      <c r="A75" s="113" t="s">
        <v>444</v>
      </c>
      <c r="B75" s="550" t="str">
        <f>VLOOKUP(A75,'Mano de Obra'!$A$4:$E$80,2,0)</f>
        <v>LAMINADOR</v>
      </c>
      <c r="C75" s="551"/>
      <c r="D75" s="551"/>
      <c r="E75" s="551"/>
      <c r="F75" s="551"/>
      <c r="G75" s="551"/>
      <c r="H75" s="208">
        <v>1</v>
      </c>
      <c r="I75" s="176">
        <f>VLOOKUP(A75,'Mano de Obra'!$A$4:$E$79,3,0)</f>
        <v>72000</v>
      </c>
      <c r="J75" s="177">
        <f>VLOOKUP(A75,'Mano de Obra'!$A$4:$E$80,4,0)</f>
        <v>1.85</v>
      </c>
      <c r="K75" s="178">
        <f t="shared" si="2"/>
        <v>133200</v>
      </c>
      <c r="L75" s="529">
        <v>35</v>
      </c>
      <c r="M75" s="530"/>
      <c r="N75" s="179">
        <f t="shared" si="3"/>
        <v>3805.7142857142858</v>
      </c>
    </row>
    <row r="76" spans="1:14" s="211" customFormat="1" ht="13.5">
      <c r="A76" s="113" t="s">
        <v>445</v>
      </c>
      <c r="B76" s="550" t="str">
        <f>VLOOKUP(A76,'Mano de Obra'!$A$4:$E$80,2,0)</f>
        <v>SERIGRAFISTA</v>
      </c>
      <c r="C76" s="551"/>
      <c r="D76" s="551"/>
      <c r="E76" s="551"/>
      <c r="F76" s="551"/>
      <c r="G76" s="551"/>
      <c r="H76" s="208">
        <v>1</v>
      </c>
      <c r="I76" s="176">
        <f>VLOOKUP(A76,'Mano de Obra'!$A$4:$E$79,3,0)</f>
        <v>72000</v>
      </c>
      <c r="J76" s="177">
        <f>VLOOKUP(A76,'Mano de Obra'!$A$4:$E$80,4,0)</f>
        <v>1.85</v>
      </c>
      <c r="K76" s="178">
        <f t="shared" si="2"/>
        <v>133200</v>
      </c>
      <c r="L76" s="529">
        <v>35</v>
      </c>
      <c r="M76" s="530"/>
      <c r="N76" s="179">
        <f t="shared" si="3"/>
        <v>3805.7142857142858</v>
      </c>
    </row>
    <row r="77" spans="1:14" s="211" customFormat="1" ht="13.5">
      <c r="A77" s="113" t="s">
        <v>446</v>
      </c>
      <c r="B77" s="550" t="str">
        <f>VLOOKUP(A77,'Mano de Obra'!$A$4:$E$80,2,0)</f>
        <v>AYUDANTE</v>
      </c>
      <c r="C77" s="551"/>
      <c r="D77" s="551"/>
      <c r="E77" s="551"/>
      <c r="F77" s="551"/>
      <c r="G77" s="551"/>
      <c r="H77" s="208">
        <v>2</v>
      </c>
      <c r="I77" s="176">
        <f>VLOOKUP(A77,'Mano de Obra'!$A$4:$E$79,3,0)</f>
        <v>28000</v>
      </c>
      <c r="J77" s="177">
        <f>VLOOKUP(A77,'Mano de Obra'!$A$4:$E$80,4,0)</f>
        <v>1.85</v>
      </c>
      <c r="K77" s="178">
        <f t="shared" si="2"/>
        <v>103600</v>
      </c>
      <c r="L77" s="529">
        <v>35</v>
      </c>
      <c r="M77" s="530"/>
      <c r="N77" s="179">
        <f t="shared" si="3"/>
        <v>2960</v>
      </c>
    </row>
    <row r="78" spans="1:14" s="211" customFormat="1" ht="13.5">
      <c r="A78" s="113" t="s">
        <v>447</v>
      </c>
      <c r="B78" s="550" t="str">
        <f>VLOOKUP(A78,'Mano de Obra'!$A$4:$E$80,2,0)</f>
        <v>CUADRILLA DE INSTALÑACIÓN (3)</v>
      </c>
      <c r="C78" s="551"/>
      <c r="D78" s="551"/>
      <c r="E78" s="551"/>
      <c r="F78" s="551"/>
      <c r="G78" s="551"/>
      <c r="H78" s="206">
        <v>1</v>
      </c>
      <c r="I78" s="176">
        <f>VLOOKUP(A78,'Mano de Obra'!$A$4:$E$79,3,0)</f>
        <v>83000</v>
      </c>
      <c r="J78" s="177">
        <f>VLOOKUP(A78,'Mano de Obra'!$A$4:$E$80,4,0)</f>
        <v>1.85</v>
      </c>
      <c r="K78" s="178">
        <f t="shared" si="2"/>
        <v>153550</v>
      </c>
      <c r="L78" s="529">
        <v>35</v>
      </c>
      <c r="M78" s="530"/>
      <c r="N78" s="179">
        <f t="shared" si="3"/>
        <v>4387.1428571428569</v>
      </c>
    </row>
    <row r="79" spans="1:14" ht="13.5" thickBot="1">
      <c r="B79" s="550"/>
      <c r="C79" s="551"/>
      <c r="D79" s="551"/>
      <c r="E79" s="551"/>
      <c r="F79" s="551"/>
      <c r="G79" s="551"/>
      <c r="H79" s="325"/>
      <c r="I79" s="173"/>
      <c r="J79" s="161"/>
      <c r="K79" s="173"/>
      <c r="L79" s="534"/>
      <c r="M79" s="535"/>
      <c r="N79" s="180"/>
    </row>
    <row r="80" spans="1:14" ht="14.25" thickBot="1">
      <c r="B80" s="524" t="s">
        <v>137</v>
      </c>
      <c r="C80" s="525"/>
      <c r="D80" s="525"/>
      <c r="E80" s="525"/>
      <c r="F80" s="525"/>
      <c r="G80" s="525"/>
      <c r="H80" s="525"/>
      <c r="I80" s="525"/>
      <c r="J80" s="525"/>
      <c r="K80" s="525"/>
      <c r="L80" s="525"/>
      <c r="M80" s="526"/>
      <c r="N80" s="181">
        <f>SUM(N72:N79)</f>
        <v>27221.428571428572</v>
      </c>
    </row>
    <row r="81" spans="2:14" ht="13.5" thickBot="1">
      <c r="B81" s="159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7"/>
    </row>
    <row r="82" spans="2:14" ht="13.5" thickBot="1">
      <c r="B82" s="531" t="s">
        <v>147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3"/>
      <c r="N82" s="245">
        <f>+N80+N67+N60+N46</f>
        <v>293179.71870476194</v>
      </c>
    </row>
    <row r="83" spans="2:14">
      <c r="B83" s="574" t="s">
        <v>91</v>
      </c>
      <c r="C83" s="575"/>
      <c r="D83" s="575"/>
      <c r="E83" s="575"/>
      <c r="F83" s="575"/>
      <c r="G83" s="575"/>
      <c r="H83" s="575"/>
      <c r="I83" s="575"/>
      <c r="J83" s="575"/>
      <c r="K83" s="575"/>
      <c r="L83" s="575"/>
      <c r="M83" s="575"/>
      <c r="N83" s="576"/>
    </row>
    <row r="84" spans="2:14">
      <c r="B84" s="577"/>
      <c r="C84" s="578"/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9"/>
    </row>
    <row r="85" spans="2:14" ht="13.5" thickBot="1">
      <c r="B85" s="580"/>
      <c r="C85" s="581"/>
      <c r="D85" s="581"/>
      <c r="E85" s="581"/>
      <c r="F85" s="581"/>
      <c r="G85" s="581"/>
      <c r="H85" s="581"/>
      <c r="I85" s="581"/>
      <c r="J85" s="581"/>
      <c r="K85" s="581"/>
      <c r="L85" s="581"/>
      <c r="M85" s="581"/>
      <c r="N85" s="582"/>
    </row>
    <row r="86" spans="2:14" ht="13.5">
      <c r="B86" s="536" t="s">
        <v>88</v>
      </c>
      <c r="C86" s="537"/>
      <c r="D86" s="537"/>
      <c r="E86" s="537"/>
      <c r="F86" s="537"/>
      <c r="G86" s="537"/>
      <c r="H86" s="537"/>
      <c r="I86" s="240"/>
      <c r="J86" s="246"/>
      <c r="K86" s="243" t="s">
        <v>92</v>
      </c>
      <c r="L86" s="527" t="s">
        <v>93</v>
      </c>
      <c r="M86" s="528"/>
      <c r="N86" s="244"/>
    </row>
    <row r="87" spans="2:14">
      <c r="B87" s="540" t="s">
        <v>82</v>
      </c>
      <c r="C87" s="541"/>
      <c r="D87" s="541"/>
      <c r="E87" s="541"/>
      <c r="F87" s="541"/>
      <c r="G87" s="541"/>
      <c r="H87" s="541"/>
      <c r="I87" s="182"/>
      <c r="J87" s="183"/>
      <c r="K87" s="301">
        <v>0.2</v>
      </c>
      <c r="L87" s="522">
        <f>+N82*K87</f>
        <v>58635.943740952389</v>
      </c>
      <c r="M87" s="523"/>
      <c r="N87" s="184"/>
    </row>
    <row r="88" spans="2:14">
      <c r="B88" s="185" t="s">
        <v>94</v>
      </c>
      <c r="C88" s="186"/>
      <c r="D88" s="186"/>
      <c r="E88" s="186"/>
      <c r="F88" s="186"/>
      <c r="G88" s="186"/>
      <c r="H88" s="186"/>
      <c r="I88" s="182"/>
      <c r="J88" s="183"/>
      <c r="K88" s="301">
        <v>0.05</v>
      </c>
      <c r="L88" s="522">
        <f>+N82*K88</f>
        <v>14658.985935238097</v>
      </c>
      <c r="M88" s="523"/>
      <c r="N88" s="184"/>
    </row>
    <row r="89" spans="2:14" ht="13.5" thickBot="1">
      <c r="B89" s="187" t="s">
        <v>83</v>
      </c>
      <c r="C89" s="188"/>
      <c r="D89" s="188"/>
      <c r="E89" s="188"/>
      <c r="F89" s="188"/>
      <c r="G89" s="188"/>
      <c r="H89" s="188"/>
      <c r="I89" s="189"/>
      <c r="J89" s="190"/>
      <c r="K89" s="301">
        <v>0.05</v>
      </c>
      <c r="L89" s="627">
        <f>+N82*K89</f>
        <v>14658.985935238097</v>
      </c>
      <c r="M89" s="628"/>
      <c r="N89" s="184"/>
    </row>
    <row r="90" spans="2:14" ht="14.25" thickBot="1">
      <c r="B90" s="524" t="s">
        <v>469</v>
      </c>
      <c r="C90" s="525"/>
      <c r="D90" s="525"/>
      <c r="E90" s="525"/>
      <c r="F90" s="525"/>
      <c r="G90" s="525"/>
      <c r="H90" s="525"/>
      <c r="I90" s="525"/>
      <c r="J90" s="525"/>
      <c r="K90" s="525"/>
      <c r="L90" s="525"/>
      <c r="M90" s="526"/>
      <c r="N90" s="204">
        <f>SUM(L87:M89)</f>
        <v>87953.915611428587</v>
      </c>
    </row>
    <row r="91" spans="2:14" ht="13.5" thickBot="1">
      <c r="B91" s="159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7"/>
    </row>
    <row r="92" spans="2:14" ht="13.5" thickBot="1">
      <c r="B92" s="531" t="s">
        <v>471</v>
      </c>
      <c r="C92" s="532"/>
      <c r="D92" s="532"/>
      <c r="E92" s="532"/>
      <c r="F92" s="532"/>
      <c r="G92" s="532"/>
      <c r="H92" s="532"/>
      <c r="I92" s="532"/>
      <c r="J92" s="532"/>
      <c r="K92" s="532"/>
      <c r="L92" s="532"/>
      <c r="M92" s="533"/>
      <c r="N92" s="328">
        <f>ROUND(N82+N90,0)</f>
        <v>381134</v>
      </c>
    </row>
    <row r="93" spans="2:14">
      <c r="B93" s="138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41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2:14">
      <c r="B96" s="159"/>
      <c r="C96" s="140"/>
      <c r="D96" s="140"/>
      <c r="E96" s="140"/>
      <c r="F96" s="140"/>
      <c r="G96" s="145" t="s">
        <v>202</v>
      </c>
      <c r="H96" s="145"/>
      <c r="I96" s="145"/>
      <c r="J96" s="145"/>
      <c r="K96" s="140"/>
      <c r="L96" s="140"/>
      <c r="M96" s="140"/>
      <c r="N96" s="147"/>
    </row>
    <row r="97" spans="2:14" ht="13.5">
      <c r="B97" s="192"/>
      <c r="C97" s="193"/>
      <c r="D97" s="193"/>
      <c r="E97" s="193"/>
      <c r="F97" s="193"/>
      <c r="G97" s="145" t="s">
        <v>203</v>
      </c>
      <c r="H97" s="193"/>
      <c r="I97" s="193"/>
      <c r="J97" s="193"/>
      <c r="K97" s="193"/>
      <c r="L97" s="193"/>
      <c r="M97" s="193"/>
      <c r="N97" s="194"/>
    </row>
    <row r="98" spans="2:14" ht="13.5">
      <c r="B98" s="192"/>
      <c r="C98" s="193"/>
      <c r="D98" s="193"/>
      <c r="E98" s="193"/>
      <c r="F98" s="193"/>
      <c r="G98" s="145" t="s">
        <v>204</v>
      </c>
      <c r="H98" s="113"/>
      <c r="I98" s="113"/>
      <c r="J98" s="193"/>
      <c r="K98" s="193"/>
      <c r="L98" s="193"/>
      <c r="M98" s="193"/>
      <c r="N98" s="194"/>
    </row>
    <row r="99" spans="2:14">
      <c r="B99" s="123"/>
      <c r="C99" s="155"/>
      <c r="D99" s="155"/>
      <c r="E99" s="155"/>
      <c r="F99" s="155"/>
      <c r="G99" s="145" t="s">
        <v>205</v>
      </c>
      <c r="H99" s="155"/>
      <c r="I99" s="155"/>
      <c r="J99" s="155"/>
      <c r="K99" s="155"/>
      <c r="L99" s="155"/>
      <c r="M99" s="155"/>
      <c r="N99" s="153"/>
    </row>
    <row r="100" spans="2:14">
      <c r="B100" s="159"/>
      <c r="C100" s="140"/>
      <c r="D100" s="140"/>
      <c r="E100" s="140"/>
      <c r="F100" s="140"/>
      <c r="G100" s="140" t="s">
        <v>206</v>
      </c>
      <c r="H100" s="140"/>
      <c r="I100" s="140"/>
      <c r="J100" s="140"/>
      <c r="K100" s="140"/>
      <c r="L100" s="140"/>
      <c r="M100" s="140"/>
      <c r="N100" s="147"/>
    </row>
    <row r="101" spans="2:14" ht="13.5">
      <c r="B101" s="165" t="s">
        <v>207</v>
      </c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7"/>
    </row>
    <row r="102" spans="2:14">
      <c r="B102" s="544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6"/>
    </row>
    <row r="103" spans="2:14">
      <c r="B103" s="547"/>
      <c r="C103" s="548"/>
      <c r="D103" s="548"/>
      <c r="E103" s="548"/>
      <c r="F103" s="548"/>
      <c r="G103" s="548"/>
      <c r="H103" s="548"/>
      <c r="I103" s="548"/>
      <c r="J103" s="548"/>
      <c r="K103" s="548"/>
      <c r="L103" s="548"/>
      <c r="M103" s="548"/>
      <c r="N103" s="549"/>
    </row>
    <row r="104" spans="2:14">
      <c r="B104" s="123"/>
      <c r="C104" s="155"/>
      <c r="D104" s="155"/>
      <c r="E104" s="155"/>
      <c r="F104" s="155"/>
      <c r="G104" s="155"/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5" t="s">
        <v>202</v>
      </c>
      <c r="H105" s="140"/>
      <c r="I105" s="140"/>
      <c r="J105" s="14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40" t="s">
        <v>203</v>
      </c>
      <c r="H106" s="160"/>
      <c r="I106" s="160"/>
      <c r="J106" s="160"/>
      <c r="K106" s="140"/>
      <c r="L106" s="140"/>
      <c r="M106" s="140"/>
      <c r="N106" s="147"/>
    </row>
    <row r="107" spans="2:14">
      <c r="B107" s="159"/>
      <c r="C107" s="140"/>
      <c r="D107" s="140"/>
      <c r="E107" s="140"/>
      <c r="F107" s="140"/>
      <c r="G107" s="140" t="s">
        <v>208</v>
      </c>
      <c r="H107" s="154"/>
      <c r="I107" s="154"/>
      <c r="J107" s="154"/>
      <c r="K107" s="113"/>
      <c r="L107" s="113"/>
      <c r="M107" s="140"/>
      <c r="N107" s="147"/>
    </row>
    <row r="108" spans="2:14">
      <c r="B108" s="196"/>
      <c r="C108" s="155"/>
      <c r="D108" s="155"/>
      <c r="E108" s="155"/>
      <c r="F108" s="155"/>
      <c r="G108" s="140" t="s">
        <v>205</v>
      </c>
      <c r="H108" s="113"/>
      <c r="I108" s="113"/>
      <c r="J108" s="113"/>
      <c r="K108" s="155"/>
      <c r="L108" s="155"/>
      <c r="M108" s="155"/>
      <c r="N108" s="153"/>
    </row>
    <row r="109" spans="2:14" ht="12.75" customHeight="1">
      <c r="B109" s="199" t="s">
        <v>209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2.75" customHeight="1">
      <c r="B110" s="199" t="s">
        <v>210</v>
      </c>
      <c r="C110" s="197"/>
      <c r="D110" s="197"/>
      <c r="E110" s="140"/>
      <c r="F110" s="140"/>
      <c r="G110" s="140"/>
      <c r="H110" s="140"/>
      <c r="I110" s="140"/>
      <c r="J110" s="515"/>
      <c r="K110" s="515"/>
      <c r="L110" s="515"/>
      <c r="M110" s="515"/>
      <c r="N110" s="516"/>
    </row>
    <row r="111" spans="2:14" ht="13.5" customHeight="1" thickBot="1">
      <c r="B111" s="519"/>
      <c r="C111" s="520"/>
      <c r="D111" s="520"/>
      <c r="E111" s="161"/>
      <c r="F111" s="161"/>
      <c r="G111" s="161"/>
      <c r="H111" s="161"/>
      <c r="I111" s="161"/>
      <c r="J111" s="517"/>
      <c r="K111" s="517"/>
      <c r="L111" s="517"/>
      <c r="M111" s="517"/>
      <c r="N111" s="518"/>
    </row>
    <row r="115" spans="12:12">
      <c r="L115" s="329"/>
    </row>
    <row r="116" spans="12:12">
      <c r="L116" s="329"/>
    </row>
  </sheetData>
  <mergeCells count="116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D19:M20"/>
    <mergeCell ref="D24:M24"/>
    <mergeCell ref="E26:M26"/>
    <mergeCell ref="G28:M28"/>
    <mergeCell ref="H18:M18"/>
    <mergeCell ref="D22:M22"/>
    <mergeCell ref="C32:K32"/>
    <mergeCell ref="I38:J38"/>
    <mergeCell ref="L38:M38"/>
    <mergeCell ref="I45:J45"/>
    <mergeCell ref="L45:M45"/>
    <mergeCell ref="L33:M33"/>
    <mergeCell ref="I37:J37"/>
    <mergeCell ref="L37:M37"/>
    <mergeCell ref="C33:K33"/>
    <mergeCell ref="B34:N36"/>
    <mergeCell ref="B38:H38"/>
    <mergeCell ref="B37:H37"/>
    <mergeCell ref="B39:H39"/>
    <mergeCell ref="B40:H40"/>
    <mergeCell ref="B41:H41"/>
    <mergeCell ref="B42:H42"/>
    <mergeCell ref="B43:H43"/>
    <mergeCell ref="L39:M39"/>
    <mergeCell ref="L40:M40"/>
    <mergeCell ref="L41:M41"/>
    <mergeCell ref="L42:M42"/>
    <mergeCell ref="L43:M43"/>
    <mergeCell ref="B83:N85"/>
    <mergeCell ref="B66:H66"/>
    <mergeCell ref="L66:M66"/>
    <mergeCell ref="B46:M46"/>
    <mergeCell ref="B50:I50"/>
    <mergeCell ref="L50:M50"/>
    <mergeCell ref="B51:I51"/>
    <mergeCell ref="L51:M51"/>
    <mergeCell ref="B59:I59"/>
    <mergeCell ref="L59:M59"/>
    <mergeCell ref="B60:M60"/>
    <mergeCell ref="B64:H64"/>
    <mergeCell ref="L64:M64"/>
    <mergeCell ref="B65:H65"/>
    <mergeCell ref="L65:M65"/>
    <mergeCell ref="B47:N49"/>
    <mergeCell ref="B61:N63"/>
    <mergeCell ref="B58:I58"/>
    <mergeCell ref="B54:I54"/>
    <mergeCell ref="B55:I55"/>
    <mergeCell ref="B52:I52"/>
    <mergeCell ref="L52:M52"/>
    <mergeCell ref="L53:M53"/>
    <mergeCell ref="L54:M54"/>
    <mergeCell ref="B102:N102"/>
    <mergeCell ref="B103:N103"/>
    <mergeCell ref="J109:N111"/>
    <mergeCell ref="B111:D111"/>
    <mergeCell ref="L44:M44"/>
    <mergeCell ref="B87:H87"/>
    <mergeCell ref="L87:M87"/>
    <mergeCell ref="L88:M88"/>
    <mergeCell ref="L89:M89"/>
    <mergeCell ref="B90:M90"/>
    <mergeCell ref="B92:M92"/>
    <mergeCell ref="L79:M79"/>
    <mergeCell ref="B80:M80"/>
    <mergeCell ref="B82:M82"/>
    <mergeCell ref="B86:H86"/>
    <mergeCell ref="L86:M86"/>
    <mergeCell ref="B67:M67"/>
    <mergeCell ref="L71:M71"/>
    <mergeCell ref="L72:M72"/>
    <mergeCell ref="L77:M77"/>
    <mergeCell ref="L57:M57"/>
    <mergeCell ref="L58:M58"/>
    <mergeCell ref="B44:H44"/>
    <mergeCell ref="B45:H45"/>
    <mergeCell ref="L55:M55"/>
    <mergeCell ref="L56:M56"/>
    <mergeCell ref="B53:I53"/>
    <mergeCell ref="B56:I56"/>
    <mergeCell ref="B57:I57"/>
    <mergeCell ref="B76:G76"/>
    <mergeCell ref="B77:G77"/>
    <mergeCell ref="B78:G78"/>
    <mergeCell ref="B68:N70"/>
    <mergeCell ref="B79:G79"/>
    <mergeCell ref="L73:M73"/>
    <mergeCell ref="L74:M74"/>
    <mergeCell ref="L75:M75"/>
    <mergeCell ref="L76:M76"/>
    <mergeCell ref="B71:G71"/>
    <mergeCell ref="B72:G72"/>
    <mergeCell ref="B73:G73"/>
    <mergeCell ref="B74:G74"/>
    <mergeCell ref="B75:G75"/>
    <mergeCell ref="L78:M78"/>
  </mergeCells>
  <printOptions horizontalCentered="1" verticalCentered="1"/>
  <pageMargins left="0.23622047244094491" right="0.23622047244094491" top="0.35433070866141736" bottom="0.23622047244094491" header="0.31496062992125984" footer="0.31496062992125984"/>
  <pageSetup scale="51" fitToWidth="0" fitToHeight="0" orientation="portrait" r:id="rId1"/>
  <rowBreaks count="1" manualBreakCount="1">
    <brk id="111" max="1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/>
  <dimension ref="A1:O115"/>
  <sheetViews>
    <sheetView showGridLines="0" view="pageBreakPreview" topLeftCell="A13" zoomScaleNormal="100" zoomScaleSheetLayoutView="100" workbookViewId="0">
      <selection activeCell="L74" sqref="L74:M74"/>
    </sheetView>
  </sheetViews>
  <sheetFormatPr baseColWidth="10" defaultRowHeight="12.75"/>
  <cols>
    <col min="1" max="1" width="3.140625" style="113" customWidth="1"/>
    <col min="2" max="2" width="12.5703125" style="113" customWidth="1"/>
    <col min="3" max="10" width="11.42578125" style="113"/>
    <col min="11" max="11" width="12.85546875" style="113" customWidth="1"/>
    <col min="12" max="13" width="11.42578125" style="113"/>
    <col min="14" max="14" width="13" style="113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>
      <c r="B32" s="248" t="s">
        <v>6</v>
      </c>
      <c r="C32" s="570" t="s">
        <v>125</v>
      </c>
      <c r="D32" s="571"/>
      <c r="E32" s="571"/>
      <c r="F32" s="571"/>
      <c r="G32" s="571"/>
      <c r="H32" s="571"/>
      <c r="I32" s="571"/>
      <c r="J32" s="571"/>
      <c r="K32" s="572"/>
      <c r="L32" s="564" t="s">
        <v>16</v>
      </c>
      <c r="M32" s="565"/>
      <c r="N32" s="248" t="s">
        <v>101</v>
      </c>
    </row>
    <row r="33" spans="1:14" ht="13.5" thickBot="1">
      <c r="B33" s="249" t="e">
        <f>+'PRESUPUESTO OFICIAL'!#REF!</f>
        <v>#REF!</v>
      </c>
      <c r="C33" s="566" t="e">
        <f>+'PRESUPUESTO OFICIAL'!#REF!</f>
        <v>#REF!</v>
      </c>
      <c r="D33" s="573"/>
      <c r="E33" s="573"/>
      <c r="F33" s="573"/>
      <c r="G33" s="573"/>
      <c r="H33" s="573"/>
      <c r="I33" s="573"/>
      <c r="J33" s="573"/>
      <c r="K33" s="567"/>
      <c r="L33" s="566" t="e">
        <f>+'PRESUPUESTO OFICIAL'!#REF!</f>
        <v>#REF!</v>
      </c>
      <c r="M33" s="567"/>
      <c r="N33" s="250" t="e">
        <f>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643" t="s">
        <v>125</v>
      </c>
      <c r="C37" s="644"/>
      <c r="D37" s="644"/>
      <c r="E37" s="644"/>
      <c r="F37" s="644"/>
      <c r="G37" s="644"/>
      <c r="H37" s="528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542">
        <v>4</v>
      </c>
      <c r="M38" s="543"/>
      <c r="N38" s="297">
        <f>+K38/L38</f>
        <v>5084.75</v>
      </c>
    </row>
    <row r="39" spans="1:14">
      <c r="A39" s="113" t="s">
        <v>366</v>
      </c>
      <c r="B39" s="550" t="str">
        <f>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542">
        <v>4</v>
      </c>
      <c r="M39" s="543"/>
      <c r="N39" s="297">
        <f t="shared" ref="N39:N44" si="0">+K39/L39</f>
        <v>5084.75</v>
      </c>
    </row>
    <row r="40" spans="1:14">
      <c r="A40" s="113" t="s">
        <v>367</v>
      </c>
      <c r="B40" s="550" t="str">
        <f>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VLOOKUP(A40,Equipo!$A$4:$D$80,4,0)</f>
        <v>16271</v>
      </c>
      <c r="L40" s="542">
        <v>4</v>
      </c>
      <c r="M40" s="543"/>
      <c r="N40" s="297">
        <f t="shared" si="0"/>
        <v>4067.75</v>
      </c>
    </row>
    <row r="41" spans="1:14">
      <c r="A41" s="113" t="s">
        <v>368</v>
      </c>
      <c r="B41" s="550" t="str">
        <f>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542">
        <v>4</v>
      </c>
      <c r="M41" s="543"/>
      <c r="N41" s="297">
        <f t="shared" si="0"/>
        <v>5084.75</v>
      </c>
    </row>
    <row r="42" spans="1:14">
      <c r="A42" s="113" t="s">
        <v>369</v>
      </c>
      <c r="B42" s="550" t="str">
        <f>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542">
        <v>3</v>
      </c>
      <c r="M42" s="543"/>
      <c r="N42" s="297">
        <f t="shared" si="0"/>
        <v>4524.666666666667</v>
      </c>
    </row>
    <row r="43" spans="1:14">
      <c r="A43" s="113" t="s">
        <v>370</v>
      </c>
      <c r="B43" s="550" t="str">
        <f>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VLOOKUP(A43,Equipo!$A$4:$D$80,4,0)</f>
        <v>8003</v>
      </c>
      <c r="L43" s="542">
        <v>3</v>
      </c>
      <c r="M43" s="543"/>
      <c r="N43" s="297">
        <f t="shared" si="0"/>
        <v>2667.6666666666665</v>
      </c>
    </row>
    <row r="44" spans="1:14">
      <c r="A44" s="113" t="s">
        <v>371</v>
      </c>
      <c r="B44" s="550" t="str">
        <f>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542">
        <v>4</v>
      </c>
      <c r="M44" s="543"/>
      <c r="N44" s="297">
        <f t="shared" si="0"/>
        <v>678.75</v>
      </c>
    </row>
    <row r="45" spans="1:14" ht="13.5" thickBot="1">
      <c r="B45" s="550"/>
      <c r="C45" s="551"/>
      <c r="D45" s="551"/>
      <c r="E45" s="551"/>
      <c r="F45" s="551"/>
      <c r="G45" s="551"/>
      <c r="H45" s="552"/>
      <c r="I45" s="620"/>
      <c r="J45" s="621"/>
      <c r="K45" s="316"/>
      <c r="L45" s="542"/>
      <c r="M45" s="543"/>
      <c r="N45" s="297"/>
    </row>
    <row r="46" spans="1:14" ht="14.25" thickBot="1">
      <c r="B46" s="524" t="s">
        <v>469</v>
      </c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164">
        <f>SUM(N38:N45)</f>
        <v>27193.083333333336</v>
      </c>
    </row>
    <row r="47" spans="1:14" ht="13.5" customHeight="1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>
      <c r="B48" s="577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5" ht="13.5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5" ht="13.5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5">
      <c r="A51" s="113" t="s">
        <v>344</v>
      </c>
      <c r="B51" s="540" t="str">
        <f>VLOOKUP(A51,Materiales!$A$4:$D$141,2,0)</f>
        <v>LAMINA GALV. CALIBRE 16</v>
      </c>
      <c r="C51" s="541"/>
      <c r="D51" s="541"/>
      <c r="E51" s="541"/>
      <c r="F51" s="541"/>
      <c r="G51" s="541"/>
      <c r="H51" s="541"/>
      <c r="I51" s="621"/>
      <c r="J51" s="168" t="str">
        <f>VLOOKUP(A51,Materiales!$A$4:$D$141,3,0)</f>
        <v>M2</v>
      </c>
      <c r="K51" s="169">
        <v>0.89100000000000013</v>
      </c>
      <c r="L51" s="522">
        <f>VLOOKUP(A51,Materiales!$A$4:$D$141,4,0)</f>
        <v>49580</v>
      </c>
      <c r="M51" s="523"/>
      <c r="N51" s="297">
        <f>+K51*L51</f>
        <v>44175.780000000006</v>
      </c>
      <c r="O51" s="113">
        <f>0.9*0.9*1.1</f>
        <v>0.89100000000000013</v>
      </c>
    </row>
    <row r="52" spans="1:15">
      <c r="A52" s="113" t="s">
        <v>345</v>
      </c>
      <c r="B52" s="540" t="str">
        <f>VLOOKUP(A52,Materiales!$A$4:$D$141,2,0)</f>
        <v>PAPEL REFLECTIVO TIPO III</v>
      </c>
      <c r="C52" s="541"/>
      <c r="D52" s="541"/>
      <c r="E52" s="541"/>
      <c r="F52" s="541"/>
      <c r="G52" s="541"/>
      <c r="H52" s="541"/>
      <c r="I52" s="621"/>
      <c r="J52" s="288" t="str">
        <f>VLOOKUP(A52,Materiales!$A$4:$D$141,3,0)</f>
        <v>M2</v>
      </c>
      <c r="K52" s="169">
        <f>0.9*0.9*1.02</f>
        <v>0.82620000000000005</v>
      </c>
      <c r="L52" s="522">
        <f>VLOOKUP(A52,Materiales!$A$4:$D$141,4,0)</f>
        <v>48400</v>
      </c>
      <c r="M52" s="523"/>
      <c r="N52" s="297">
        <f t="shared" ref="N52:N59" si="1">+K52*L52</f>
        <v>39988.080000000002</v>
      </c>
    </row>
    <row r="53" spans="1:15">
      <c r="A53" s="113" t="s">
        <v>346</v>
      </c>
      <c r="B53" s="540" t="str">
        <f>VLOOKUP(A53,Materiales!$A$4:$D$141,2,0)</f>
        <v>ANGULO DE 2" X 1/4"</v>
      </c>
      <c r="C53" s="541"/>
      <c r="D53" s="541"/>
      <c r="E53" s="541"/>
      <c r="F53" s="541"/>
      <c r="G53" s="541"/>
      <c r="H53" s="541"/>
      <c r="I53" s="621"/>
      <c r="J53" s="288" t="str">
        <f>VLOOKUP(A53,Materiales!$A$4:$D$141,3,0)</f>
        <v>ML</v>
      </c>
      <c r="K53" s="169">
        <v>3.5</v>
      </c>
      <c r="L53" s="522">
        <f>VLOOKUP(A53,Materiales!$A$4:$D$141,4,0)</f>
        <v>17710</v>
      </c>
      <c r="M53" s="523"/>
      <c r="N53" s="297">
        <f t="shared" si="1"/>
        <v>61985</v>
      </c>
      <c r="O53" s="113">
        <f>0.9+1.8+0.8</f>
        <v>3.5</v>
      </c>
    </row>
    <row r="54" spans="1:15">
      <c r="A54" s="113" t="s">
        <v>347</v>
      </c>
      <c r="B54" s="540" t="str">
        <f>VLOOKUP(A54,Materiales!$A$4:$D$141,2,0)</f>
        <v>ANGULO DE 2" X 1/8"</v>
      </c>
      <c r="C54" s="541"/>
      <c r="D54" s="541"/>
      <c r="E54" s="541"/>
      <c r="F54" s="541"/>
      <c r="G54" s="541"/>
      <c r="H54" s="541"/>
      <c r="I54" s="621"/>
      <c r="J54" s="288" t="str">
        <f>VLOOKUP(A54,Materiales!$A$4:$D$141,3,0)</f>
        <v>ML</v>
      </c>
      <c r="K54" s="169">
        <v>1.8</v>
      </c>
      <c r="L54" s="522">
        <f>VLOOKUP(A54,Materiales!$A$4:$D$141,4,0)</f>
        <v>9810</v>
      </c>
      <c r="M54" s="523"/>
      <c r="N54" s="297">
        <f t="shared" si="1"/>
        <v>17658</v>
      </c>
      <c r="O54" s="113">
        <f>0.9*2</f>
        <v>1.8</v>
      </c>
    </row>
    <row r="55" spans="1:15">
      <c r="A55" s="113" t="s">
        <v>348</v>
      </c>
      <c r="B55" s="540" t="str">
        <f>VLOOKUP(A55,Materiales!$A$4:$D$141,2,0)</f>
        <v>TORNILLOS Y REMACHES</v>
      </c>
      <c r="C55" s="541"/>
      <c r="D55" s="541"/>
      <c r="E55" s="541"/>
      <c r="F55" s="541"/>
      <c r="G55" s="541"/>
      <c r="H55" s="541"/>
      <c r="I55" s="621"/>
      <c r="J55" s="288" t="str">
        <f>VLOOKUP(A55,Materiales!$A$4:$D$141,3,0)</f>
        <v>UND.</v>
      </c>
      <c r="K55" s="169">
        <v>4</v>
      </c>
      <c r="L55" s="522">
        <f>VLOOKUP(A55,Materiales!$A$4:$D$141,4,0)</f>
        <v>1004</v>
      </c>
      <c r="M55" s="523"/>
      <c r="N55" s="297">
        <f t="shared" si="1"/>
        <v>4016</v>
      </c>
    </row>
    <row r="56" spans="1:15">
      <c r="A56" s="113" t="s">
        <v>349</v>
      </c>
      <c r="B56" s="540" t="str">
        <f>VLOOKUP(A56,Materiales!$A$4:$D$141,2,0)</f>
        <v>PINTURA EN POLVO</v>
      </c>
      <c r="C56" s="541"/>
      <c r="D56" s="541"/>
      <c r="E56" s="541"/>
      <c r="F56" s="541"/>
      <c r="G56" s="541"/>
      <c r="H56" s="541"/>
      <c r="I56" s="621"/>
      <c r="J56" s="288" t="str">
        <f>VLOOKUP(A56,Materiales!$A$4:$D$141,3,0)</f>
        <v>GALON</v>
      </c>
      <c r="K56" s="169">
        <v>0.05</v>
      </c>
      <c r="L56" s="522">
        <f>VLOOKUP(A56,Materiales!$A$4:$D$141,4,0)</f>
        <v>170330</v>
      </c>
      <c r="M56" s="523"/>
      <c r="N56" s="297">
        <f t="shared" si="1"/>
        <v>8516.5</v>
      </c>
    </row>
    <row r="57" spans="1:15">
      <c r="A57" s="113" t="s">
        <v>350</v>
      </c>
      <c r="B57" s="540" t="str">
        <f>VLOOKUP(A57,Materiales!$A$4:$D$141,2,0)</f>
        <v>PINTURA ESMALTE</v>
      </c>
      <c r="C57" s="541"/>
      <c r="D57" s="541"/>
      <c r="E57" s="541"/>
      <c r="F57" s="541"/>
      <c r="G57" s="541"/>
      <c r="H57" s="541"/>
      <c r="I57" s="621"/>
      <c r="J57" s="288" t="str">
        <f>VLOOKUP(A57,Materiales!$A$4:$D$141,3,0)</f>
        <v>GALON</v>
      </c>
      <c r="K57" s="169">
        <v>0.06</v>
      </c>
      <c r="L57" s="522">
        <f>VLOOKUP(A57,Materiales!$A$4:$D$141,4,0)</f>
        <v>59020</v>
      </c>
      <c r="M57" s="523"/>
      <c r="N57" s="297">
        <f t="shared" si="1"/>
        <v>3541.2</v>
      </c>
    </row>
    <row r="58" spans="1:15">
      <c r="A58" s="113" t="s">
        <v>351</v>
      </c>
      <c r="B58" s="540" t="str">
        <f>VLOOKUP(A58,Materiales!$A$4:$D$141,2,0)</f>
        <v>SOLDADURA</v>
      </c>
      <c r="C58" s="541"/>
      <c r="D58" s="541"/>
      <c r="E58" s="541"/>
      <c r="F58" s="541"/>
      <c r="G58" s="541"/>
      <c r="H58" s="541"/>
      <c r="I58" s="621"/>
      <c r="J58" s="288" t="str">
        <f>VLOOKUP(A58,Materiales!$A$4:$D$141,3,0)</f>
        <v>KG</v>
      </c>
      <c r="K58" s="271">
        <v>0.25</v>
      </c>
      <c r="L58" s="522">
        <f>VLOOKUP(A58,Materiales!$A$4:$D$141,4,0)</f>
        <v>7210</v>
      </c>
      <c r="M58" s="523"/>
      <c r="N58" s="297">
        <f t="shared" si="1"/>
        <v>1802.5</v>
      </c>
    </row>
    <row r="59" spans="1:15">
      <c r="A59" s="113" t="s">
        <v>352</v>
      </c>
      <c r="B59" s="540" t="str">
        <f>VLOOKUP(A59,Materiales!$A$4:$D$141,2,0)</f>
        <v>CONCRETO CLASE E</v>
      </c>
      <c r="C59" s="541"/>
      <c r="D59" s="541"/>
      <c r="E59" s="541"/>
      <c r="F59" s="541"/>
      <c r="G59" s="541"/>
      <c r="H59" s="541"/>
      <c r="I59" s="621"/>
      <c r="J59" s="288" t="str">
        <f>VLOOKUP(A59,Materiales!$A$4:$D$141,3,0)</f>
        <v>M3</v>
      </c>
      <c r="K59" s="334">
        <v>0.05</v>
      </c>
      <c r="L59" s="522">
        <f>VLOOKUP(A59,Materiales!$A$4:$D$141,4,0)</f>
        <v>463800</v>
      </c>
      <c r="M59" s="523"/>
      <c r="N59" s="297">
        <f t="shared" si="1"/>
        <v>23190</v>
      </c>
    </row>
    <row r="60" spans="1:15">
      <c r="B60" s="540"/>
      <c r="C60" s="541"/>
      <c r="D60" s="541"/>
      <c r="E60" s="541"/>
      <c r="F60" s="541"/>
      <c r="G60" s="541"/>
      <c r="H60" s="541"/>
      <c r="I60" s="621"/>
      <c r="J60" s="287"/>
      <c r="K60" s="333"/>
      <c r="L60" s="522"/>
      <c r="M60" s="523"/>
      <c r="N60" s="317"/>
    </row>
    <row r="61" spans="1:15" ht="13.5" thickBot="1">
      <c r="B61" s="540"/>
      <c r="C61" s="541"/>
      <c r="D61" s="541"/>
      <c r="E61" s="541"/>
      <c r="F61" s="541"/>
      <c r="G61" s="541"/>
      <c r="H61" s="541"/>
      <c r="I61" s="621"/>
      <c r="J61" s="160"/>
      <c r="K61" s="170"/>
      <c r="L61" s="522"/>
      <c r="M61" s="523"/>
      <c r="N61" s="318"/>
    </row>
    <row r="62" spans="1:15" ht="14.25" thickBot="1">
      <c r="B62" s="524" t="s">
        <v>469</v>
      </c>
      <c r="C62" s="525"/>
      <c r="D62" s="525"/>
      <c r="E62" s="525"/>
      <c r="F62" s="525"/>
      <c r="G62" s="525"/>
      <c r="H62" s="525"/>
      <c r="I62" s="525"/>
      <c r="J62" s="525"/>
      <c r="K62" s="525"/>
      <c r="L62" s="525"/>
      <c r="M62" s="526"/>
      <c r="N62" s="319">
        <f>SUM(N51:N61)</f>
        <v>204873.06000000003</v>
      </c>
    </row>
    <row r="63" spans="1:15">
      <c r="B63" s="574" t="s">
        <v>89</v>
      </c>
      <c r="C63" s="575"/>
      <c r="D63" s="575"/>
      <c r="E63" s="575"/>
      <c r="F63" s="575"/>
      <c r="G63" s="575"/>
      <c r="H63" s="575"/>
      <c r="I63" s="575"/>
      <c r="J63" s="575"/>
      <c r="K63" s="575"/>
      <c r="L63" s="575"/>
      <c r="M63" s="575"/>
      <c r="N63" s="576"/>
    </row>
    <row r="64" spans="1:15">
      <c r="B64" s="577"/>
      <c r="C64" s="578"/>
      <c r="D64" s="578"/>
      <c r="E64" s="578"/>
      <c r="F64" s="578"/>
      <c r="G64" s="578"/>
      <c r="H64" s="578"/>
      <c r="I64" s="578"/>
      <c r="J64" s="578"/>
      <c r="K64" s="578"/>
      <c r="L64" s="578"/>
      <c r="M64" s="578"/>
      <c r="N64" s="579"/>
    </row>
    <row r="65" spans="1:14" ht="13.5" thickBot="1">
      <c r="B65" s="580"/>
      <c r="C65" s="581"/>
      <c r="D65" s="581"/>
      <c r="E65" s="581"/>
      <c r="F65" s="581"/>
      <c r="G65" s="581"/>
      <c r="H65" s="581"/>
      <c r="I65" s="581"/>
      <c r="J65" s="581"/>
      <c r="K65" s="581"/>
      <c r="L65" s="581"/>
      <c r="M65" s="581"/>
      <c r="N65" s="582"/>
    </row>
    <row r="66" spans="1:14" ht="13.5">
      <c r="B66" s="536" t="s">
        <v>141</v>
      </c>
      <c r="C66" s="537"/>
      <c r="D66" s="537"/>
      <c r="E66" s="537"/>
      <c r="F66" s="537"/>
      <c r="G66" s="537"/>
      <c r="H66" s="537"/>
      <c r="I66" s="237" t="s">
        <v>142</v>
      </c>
      <c r="J66" s="240" t="s">
        <v>143</v>
      </c>
      <c r="K66" s="241" t="s">
        <v>248</v>
      </c>
      <c r="L66" s="538" t="s">
        <v>17</v>
      </c>
      <c r="M66" s="539"/>
      <c r="N66" s="238" t="s">
        <v>140</v>
      </c>
    </row>
    <row r="67" spans="1:14">
      <c r="B67" s="540" t="s">
        <v>467</v>
      </c>
      <c r="C67" s="541"/>
      <c r="D67" s="541"/>
      <c r="E67" s="541"/>
      <c r="F67" s="541"/>
      <c r="G67" s="541"/>
      <c r="H67" s="541"/>
      <c r="I67" s="172"/>
      <c r="J67" s="166"/>
      <c r="K67" s="172"/>
      <c r="L67" s="542"/>
      <c r="M67" s="543"/>
      <c r="N67" s="297">
        <v>22680</v>
      </c>
    </row>
    <row r="68" spans="1:14" ht="13.5" thickBot="1">
      <c r="B68" s="624"/>
      <c r="C68" s="625"/>
      <c r="D68" s="625"/>
      <c r="E68" s="625"/>
      <c r="F68" s="625"/>
      <c r="G68" s="625"/>
      <c r="H68" s="625"/>
      <c r="I68" s="173"/>
      <c r="J68" s="161"/>
      <c r="K68" s="173"/>
      <c r="L68" s="534"/>
      <c r="M68" s="535"/>
      <c r="N68" s="210"/>
    </row>
    <row r="69" spans="1:14" ht="14.25" thickBot="1">
      <c r="B69" s="524" t="s">
        <v>469</v>
      </c>
      <c r="C69" s="525"/>
      <c r="D69" s="525"/>
      <c r="E69" s="525"/>
      <c r="F69" s="525"/>
      <c r="G69" s="525"/>
      <c r="H69" s="525"/>
      <c r="I69" s="525"/>
      <c r="J69" s="525"/>
      <c r="K69" s="525"/>
      <c r="L69" s="525"/>
      <c r="M69" s="526"/>
      <c r="N69" s="204">
        <f>SUM(N67:N68)</f>
        <v>22680</v>
      </c>
    </row>
    <row r="70" spans="1:14">
      <c r="B70" s="574" t="s">
        <v>90</v>
      </c>
      <c r="C70" s="575"/>
      <c r="D70" s="575"/>
      <c r="E70" s="575"/>
      <c r="F70" s="575"/>
      <c r="G70" s="575"/>
      <c r="H70" s="575"/>
      <c r="I70" s="575"/>
      <c r="J70" s="575"/>
      <c r="K70" s="575"/>
      <c r="L70" s="575"/>
      <c r="M70" s="575"/>
      <c r="N70" s="576"/>
    </row>
    <row r="71" spans="1:14">
      <c r="B71" s="577"/>
      <c r="C71" s="578"/>
      <c r="D71" s="578"/>
      <c r="E71" s="578"/>
      <c r="F71" s="578"/>
      <c r="G71" s="578"/>
      <c r="H71" s="578"/>
      <c r="I71" s="578"/>
      <c r="J71" s="578"/>
      <c r="K71" s="578"/>
      <c r="L71" s="578"/>
      <c r="M71" s="578"/>
      <c r="N71" s="579"/>
    </row>
    <row r="72" spans="1:14" ht="13.5" thickBot="1">
      <c r="B72" s="580"/>
      <c r="C72" s="581"/>
      <c r="D72" s="581"/>
      <c r="E72" s="581"/>
      <c r="F72" s="581"/>
      <c r="G72" s="581"/>
      <c r="H72" s="581"/>
      <c r="I72" s="581"/>
      <c r="J72" s="581"/>
      <c r="K72" s="581"/>
      <c r="L72" s="581"/>
      <c r="M72" s="581"/>
      <c r="N72" s="582"/>
    </row>
    <row r="73" spans="1:14" ht="13.5">
      <c r="B73" s="536" t="s">
        <v>144</v>
      </c>
      <c r="C73" s="537"/>
      <c r="D73" s="537"/>
      <c r="E73" s="537"/>
      <c r="F73" s="537"/>
      <c r="G73" s="537"/>
      <c r="H73" s="237" t="s">
        <v>101</v>
      </c>
      <c r="I73" s="237" t="s">
        <v>145</v>
      </c>
      <c r="J73" s="242" t="s">
        <v>84</v>
      </c>
      <c r="K73" s="243" t="s">
        <v>146</v>
      </c>
      <c r="L73" s="527" t="s">
        <v>136</v>
      </c>
      <c r="M73" s="528"/>
      <c r="N73" s="244" t="s">
        <v>140</v>
      </c>
    </row>
    <row r="74" spans="1:14">
      <c r="A74" s="113" t="s">
        <v>441</v>
      </c>
      <c r="B74" s="550" t="str">
        <f>VLOOKUP(A74,'Mano de Obra'!$A$4:$E$80,2,0)</f>
        <v>CORTADOR</v>
      </c>
      <c r="C74" s="551"/>
      <c r="D74" s="551"/>
      <c r="E74" s="551"/>
      <c r="F74" s="551"/>
      <c r="G74" s="552"/>
      <c r="H74" s="208">
        <v>1</v>
      </c>
      <c r="I74" s="302">
        <f>VLOOKUP(A74,'Mano de Obra'!$A$4:$E$80,3,0)</f>
        <v>72000</v>
      </c>
      <c r="J74" s="335">
        <f>VLOOKUP(A74,'Mano de Obra'!$A$4:$E$80,4,0)</f>
        <v>1.85</v>
      </c>
      <c r="K74" s="302">
        <f>+H74*I74*J74</f>
        <v>133200</v>
      </c>
      <c r="L74" s="529">
        <v>35</v>
      </c>
      <c r="M74" s="530"/>
      <c r="N74" s="326">
        <f>+K74/L74</f>
        <v>3805.7142857142858</v>
      </c>
    </row>
    <row r="75" spans="1:14">
      <c r="A75" s="113" t="s">
        <v>442</v>
      </c>
      <c r="B75" s="550" t="str">
        <f>VLOOKUP(A75,'Mano de Obra'!$A$4:$E$80,2,0)</f>
        <v>SOLDADOR</v>
      </c>
      <c r="C75" s="551"/>
      <c r="D75" s="551"/>
      <c r="E75" s="551"/>
      <c r="F75" s="551"/>
      <c r="G75" s="552"/>
      <c r="H75" s="208">
        <v>1</v>
      </c>
      <c r="I75" s="302">
        <f>VLOOKUP(A75,'Mano de Obra'!$A$4:$E$80,3,0)</f>
        <v>88000</v>
      </c>
      <c r="J75" s="335">
        <f>VLOOKUP(A75,'Mano de Obra'!$A$4:$E$80,4,0)</f>
        <v>1.85</v>
      </c>
      <c r="K75" s="302">
        <f t="shared" ref="K75:K80" si="2">+H75*I75*J75</f>
        <v>162800</v>
      </c>
      <c r="L75" s="529">
        <v>35</v>
      </c>
      <c r="M75" s="530"/>
      <c r="N75" s="326">
        <f t="shared" ref="N75:N80" si="3">+K75/L75</f>
        <v>4651.4285714285716</v>
      </c>
    </row>
    <row r="76" spans="1:14">
      <c r="A76" s="113" t="s">
        <v>443</v>
      </c>
      <c r="B76" s="550" t="str">
        <f>VLOOKUP(A76,'Mano de Obra'!$A$4:$E$80,2,0)</f>
        <v>PINTOR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72000</v>
      </c>
      <c r="J76" s="335">
        <f>VLOOKUP(A76,'Mano de Obra'!$A$4:$E$80,4,0)</f>
        <v>1.85</v>
      </c>
      <c r="K76" s="302">
        <f t="shared" si="2"/>
        <v>133200</v>
      </c>
      <c r="L76" s="529">
        <v>35</v>
      </c>
      <c r="M76" s="530"/>
      <c r="N76" s="326">
        <f t="shared" si="3"/>
        <v>3805.7142857142858</v>
      </c>
    </row>
    <row r="77" spans="1:14">
      <c r="A77" s="113" t="s">
        <v>444</v>
      </c>
      <c r="B77" s="550" t="str">
        <f>VLOOKUP(A77,'Mano de Obra'!$A$4:$E$80,2,0)</f>
        <v>LAMINADOR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335">
        <f>VLOOKUP(A77,'Mano de Obra'!$A$4:$E$80,4,0)</f>
        <v>1.85</v>
      </c>
      <c r="K77" s="302">
        <f t="shared" si="2"/>
        <v>133200</v>
      </c>
      <c r="L77" s="529">
        <v>35</v>
      </c>
      <c r="M77" s="530"/>
      <c r="N77" s="326">
        <f t="shared" si="3"/>
        <v>3805.7142857142858</v>
      </c>
    </row>
    <row r="78" spans="1:14">
      <c r="A78" s="113" t="s">
        <v>445</v>
      </c>
      <c r="B78" s="550" t="str">
        <f>VLOOKUP(A78,'Mano de Obra'!$A$4:$E$80,2,0)</f>
        <v>SERIGRAFISTA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335">
        <f>VLOOKUP(A78,'Mano de Obra'!$A$4:$E$80,4,0)</f>
        <v>1.85</v>
      </c>
      <c r="K78" s="302">
        <f t="shared" si="2"/>
        <v>133200</v>
      </c>
      <c r="L78" s="529">
        <v>35</v>
      </c>
      <c r="M78" s="530"/>
      <c r="N78" s="326">
        <f t="shared" si="3"/>
        <v>3805.7142857142858</v>
      </c>
    </row>
    <row r="79" spans="1:14">
      <c r="A79" s="113" t="s">
        <v>446</v>
      </c>
      <c r="B79" s="550" t="str">
        <f>VLOOKUP(A79,'Mano de Obra'!$A$4:$E$80,2,0)</f>
        <v>AYUDANTE</v>
      </c>
      <c r="C79" s="551"/>
      <c r="D79" s="551"/>
      <c r="E79" s="551"/>
      <c r="F79" s="551"/>
      <c r="G79" s="552"/>
      <c r="H79" s="208">
        <v>2</v>
      </c>
      <c r="I79" s="302">
        <f>VLOOKUP(A79,'Mano de Obra'!$A$4:$E$80,3,0)</f>
        <v>28000</v>
      </c>
      <c r="J79" s="335">
        <f>VLOOKUP(A79,'Mano de Obra'!$A$4:$E$80,4,0)</f>
        <v>1.85</v>
      </c>
      <c r="K79" s="302">
        <f t="shared" si="2"/>
        <v>103600</v>
      </c>
      <c r="L79" s="529">
        <v>35</v>
      </c>
      <c r="M79" s="530"/>
      <c r="N79" s="326">
        <f t="shared" si="3"/>
        <v>2960</v>
      </c>
    </row>
    <row r="80" spans="1:14">
      <c r="A80" s="113" t="s">
        <v>447</v>
      </c>
      <c r="B80" s="550" t="str">
        <f>VLOOKUP(A80,'Mano de Obra'!$A$4:$E$80,2,0)</f>
        <v>CUADRILLA DE INSTALÑACIÓN (3)</v>
      </c>
      <c r="C80" s="551"/>
      <c r="D80" s="551"/>
      <c r="E80" s="551"/>
      <c r="F80" s="551"/>
      <c r="G80" s="552"/>
      <c r="H80" s="206">
        <v>1</v>
      </c>
      <c r="I80" s="302">
        <f>VLOOKUP(A80,'Mano de Obra'!$A$4:$E$80,3,0)</f>
        <v>83000</v>
      </c>
      <c r="J80" s="335">
        <f>VLOOKUP(A80,'Mano de Obra'!$A$4:$E$80,4,0)</f>
        <v>1.85</v>
      </c>
      <c r="K80" s="302">
        <f t="shared" si="2"/>
        <v>153550</v>
      </c>
      <c r="L80" s="529">
        <v>35</v>
      </c>
      <c r="M80" s="530"/>
      <c r="N80" s="326">
        <f t="shared" si="3"/>
        <v>4387.1428571428569</v>
      </c>
    </row>
    <row r="81" spans="2:14">
      <c r="B81" s="550"/>
      <c r="C81" s="551"/>
      <c r="D81" s="551"/>
      <c r="E81" s="551"/>
      <c r="F81" s="551"/>
      <c r="G81" s="552"/>
      <c r="H81" s="176"/>
      <c r="I81" s="302"/>
      <c r="J81" s="177"/>
      <c r="K81" s="302"/>
      <c r="L81" s="529"/>
      <c r="M81" s="530"/>
      <c r="N81" s="326"/>
    </row>
    <row r="82" spans="2:14">
      <c r="B82" s="550"/>
      <c r="C82" s="551"/>
      <c r="D82" s="551"/>
      <c r="E82" s="551"/>
      <c r="F82" s="551"/>
      <c r="G82" s="552"/>
      <c r="H82" s="176"/>
      <c r="I82" s="302"/>
      <c r="J82" s="177"/>
      <c r="K82" s="302"/>
      <c r="L82" s="637"/>
      <c r="M82" s="638"/>
      <c r="N82" s="326"/>
    </row>
    <row r="83" spans="2:14" ht="13.5" thickBot="1">
      <c r="B83" s="550"/>
      <c r="C83" s="551"/>
      <c r="D83" s="551"/>
      <c r="E83" s="551"/>
      <c r="F83" s="551"/>
      <c r="G83" s="552"/>
      <c r="H83" s="173"/>
      <c r="I83" s="309"/>
      <c r="J83" s="161"/>
      <c r="K83" s="309"/>
      <c r="L83" s="534"/>
      <c r="M83" s="535"/>
      <c r="N83" s="327"/>
    </row>
    <row r="84" spans="2:14" ht="14.25" thickBot="1">
      <c r="B84" s="524" t="s">
        <v>469</v>
      </c>
      <c r="C84" s="525"/>
      <c r="D84" s="525"/>
      <c r="E84" s="525"/>
      <c r="F84" s="525"/>
      <c r="G84" s="525"/>
      <c r="H84" s="525"/>
      <c r="I84" s="525"/>
      <c r="J84" s="525"/>
      <c r="K84" s="525"/>
      <c r="L84" s="525"/>
      <c r="M84" s="526"/>
      <c r="N84" s="319">
        <f>SUM(N74:N83)</f>
        <v>27221.428571428572</v>
      </c>
    </row>
    <row r="85" spans="2:14" ht="13.5" thickBot="1">
      <c r="B85" s="159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7"/>
    </row>
    <row r="86" spans="2:14" ht="13.5" thickBot="1">
      <c r="B86" s="531" t="s">
        <v>470</v>
      </c>
      <c r="C86" s="532"/>
      <c r="D86" s="532"/>
      <c r="E86" s="532"/>
      <c r="F86" s="532"/>
      <c r="G86" s="532"/>
      <c r="H86" s="532"/>
      <c r="I86" s="532"/>
      <c r="J86" s="532"/>
      <c r="K86" s="532"/>
      <c r="L86" s="532"/>
      <c r="M86" s="533"/>
      <c r="N86" s="245">
        <f>+N84+N69+N62+N46</f>
        <v>281967.57190476195</v>
      </c>
    </row>
    <row r="87" spans="2:14">
      <c r="B87" s="574" t="s">
        <v>91</v>
      </c>
      <c r="C87" s="575"/>
      <c r="D87" s="575"/>
      <c r="E87" s="575"/>
      <c r="F87" s="575"/>
      <c r="G87" s="575"/>
      <c r="H87" s="575"/>
      <c r="I87" s="575"/>
      <c r="J87" s="575"/>
      <c r="K87" s="575"/>
      <c r="L87" s="575"/>
      <c r="M87" s="575"/>
      <c r="N87" s="576"/>
    </row>
    <row r="88" spans="2:14">
      <c r="B88" s="577"/>
      <c r="C88" s="578"/>
      <c r="D88" s="578"/>
      <c r="E88" s="578"/>
      <c r="F88" s="578"/>
      <c r="G88" s="578"/>
      <c r="H88" s="578"/>
      <c r="I88" s="578"/>
      <c r="J88" s="578"/>
      <c r="K88" s="578"/>
      <c r="L88" s="578"/>
      <c r="M88" s="578"/>
      <c r="N88" s="579"/>
    </row>
    <row r="89" spans="2:14" ht="13.5" thickBot="1">
      <c r="B89" s="580"/>
      <c r="C89" s="581"/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2"/>
    </row>
    <row r="90" spans="2:14" ht="13.5">
      <c r="B90" s="536" t="s">
        <v>88</v>
      </c>
      <c r="C90" s="537"/>
      <c r="D90" s="537"/>
      <c r="E90" s="537"/>
      <c r="F90" s="537"/>
      <c r="G90" s="537"/>
      <c r="H90" s="537"/>
      <c r="I90" s="240"/>
      <c r="J90" s="246"/>
      <c r="K90" s="243" t="s">
        <v>92</v>
      </c>
      <c r="L90" s="527" t="s">
        <v>93</v>
      </c>
      <c r="M90" s="528"/>
      <c r="N90" s="244"/>
    </row>
    <row r="91" spans="2:14">
      <c r="B91" s="540" t="s">
        <v>82</v>
      </c>
      <c r="C91" s="541"/>
      <c r="D91" s="541"/>
      <c r="E91" s="541"/>
      <c r="F91" s="541"/>
      <c r="G91" s="541"/>
      <c r="H91" s="541"/>
      <c r="I91" s="182"/>
      <c r="J91" s="183"/>
      <c r="K91" s="251">
        <v>0.25</v>
      </c>
      <c r="L91" s="639">
        <f>+N86*K91</f>
        <v>70491.892976190487</v>
      </c>
      <c r="M91" s="640"/>
      <c r="N91" s="184"/>
    </row>
    <row r="92" spans="2:14">
      <c r="B92" s="185" t="s">
        <v>94</v>
      </c>
      <c r="C92" s="186"/>
      <c r="D92" s="186"/>
      <c r="E92" s="186"/>
      <c r="F92" s="186"/>
      <c r="G92" s="186"/>
      <c r="H92" s="186"/>
      <c r="I92" s="182"/>
      <c r="J92" s="183"/>
      <c r="K92" s="251">
        <v>0.05</v>
      </c>
      <c r="L92" s="639">
        <f>+N86*K92</f>
        <v>14098.378595238099</v>
      </c>
      <c r="M92" s="640"/>
      <c r="N92" s="184"/>
    </row>
    <row r="93" spans="2:14" ht="13.5" thickBot="1">
      <c r="B93" s="187" t="s">
        <v>83</v>
      </c>
      <c r="C93" s="188"/>
      <c r="D93" s="188"/>
      <c r="E93" s="188"/>
      <c r="F93" s="188"/>
      <c r="G93" s="188"/>
      <c r="H93" s="188"/>
      <c r="I93" s="189"/>
      <c r="J93" s="190"/>
      <c r="K93" s="251">
        <v>0.05</v>
      </c>
      <c r="L93" s="641">
        <f>+N86*K93</f>
        <v>14098.378595238099</v>
      </c>
      <c r="M93" s="642"/>
      <c r="N93" s="184"/>
    </row>
    <row r="94" spans="2:14" ht="14.25" thickBot="1">
      <c r="B94" s="524" t="s">
        <v>469</v>
      </c>
      <c r="C94" s="525"/>
      <c r="D94" s="525"/>
      <c r="E94" s="525"/>
      <c r="F94" s="525"/>
      <c r="G94" s="525"/>
      <c r="H94" s="525"/>
      <c r="I94" s="525"/>
      <c r="J94" s="525"/>
      <c r="K94" s="525"/>
      <c r="L94" s="525"/>
      <c r="M94" s="526"/>
      <c r="N94" s="191">
        <f>SUM(L91:M93)</f>
        <v>98688.650166666688</v>
      </c>
    </row>
    <row r="95" spans="2:14" ht="13.5" thickBot="1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2:14" ht="13.5" thickBot="1">
      <c r="B96" s="531" t="s">
        <v>471</v>
      </c>
      <c r="C96" s="532"/>
      <c r="D96" s="532"/>
      <c r="E96" s="532"/>
      <c r="F96" s="532"/>
      <c r="G96" s="532"/>
      <c r="H96" s="532"/>
      <c r="I96" s="532"/>
      <c r="J96" s="532"/>
      <c r="K96" s="532"/>
      <c r="L96" s="532"/>
      <c r="M96" s="533"/>
      <c r="N96" s="247">
        <f>ROUND(N86+N94,0)</f>
        <v>380656</v>
      </c>
    </row>
    <row r="97" spans="2:14">
      <c r="B97" s="138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41"/>
    </row>
    <row r="98" spans="2:14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>
      <c r="B99" s="159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5" t="s">
        <v>202</v>
      </c>
      <c r="H100" s="145"/>
      <c r="I100" s="145"/>
      <c r="J100" s="145"/>
      <c r="K100" s="140"/>
      <c r="L100" s="140"/>
      <c r="M100" s="140"/>
      <c r="N100" s="147"/>
    </row>
    <row r="101" spans="2:14" ht="13.5">
      <c r="B101" s="192"/>
      <c r="C101" s="193"/>
      <c r="D101" s="193"/>
      <c r="E101" s="193"/>
      <c r="F101" s="193"/>
      <c r="G101" s="145" t="s">
        <v>203</v>
      </c>
      <c r="H101" s="193"/>
      <c r="I101" s="193"/>
      <c r="J101" s="193"/>
      <c r="K101" s="193"/>
      <c r="L101" s="193"/>
      <c r="M101" s="193"/>
      <c r="N101" s="194"/>
    </row>
    <row r="102" spans="2:14" ht="13.5">
      <c r="B102" s="192"/>
      <c r="C102" s="193"/>
      <c r="D102" s="193"/>
      <c r="E102" s="193"/>
      <c r="F102" s="193"/>
      <c r="G102" s="145" t="s">
        <v>204</v>
      </c>
      <c r="J102" s="193"/>
      <c r="K102" s="193"/>
      <c r="L102" s="193"/>
      <c r="M102" s="193"/>
      <c r="N102" s="194"/>
    </row>
    <row r="103" spans="2:14">
      <c r="B103" s="123"/>
      <c r="C103" s="155"/>
      <c r="D103" s="155"/>
      <c r="E103" s="155"/>
      <c r="F103" s="155"/>
      <c r="G103" s="145" t="s">
        <v>205</v>
      </c>
      <c r="H103" s="155"/>
      <c r="I103" s="155"/>
      <c r="J103" s="155"/>
      <c r="K103" s="155"/>
      <c r="L103" s="155"/>
      <c r="M103" s="155"/>
      <c r="N103" s="153"/>
    </row>
    <row r="104" spans="2:14">
      <c r="B104" s="159"/>
      <c r="C104" s="140"/>
      <c r="D104" s="140"/>
      <c r="E104" s="140"/>
      <c r="F104" s="140"/>
      <c r="G104" s="140" t="s">
        <v>206</v>
      </c>
      <c r="H104" s="140"/>
      <c r="I104" s="140"/>
      <c r="J104" s="140"/>
      <c r="K104" s="140"/>
      <c r="L104" s="140"/>
      <c r="M104" s="140"/>
      <c r="N104" s="147"/>
    </row>
    <row r="105" spans="2:14" ht="13.5">
      <c r="B105" s="165" t="s">
        <v>207</v>
      </c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7"/>
    </row>
    <row r="106" spans="2:14">
      <c r="B106" s="544"/>
      <c r="C106" s="545"/>
      <c r="D106" s="545"/>
      <c r="E106" s="545"/>
      <c r="F106" s="545"/>
      <c r="G106" s="545"/>
      <c r="H106" s="545"/>
      <c r="I106" s="545"/>
      <c r="J106" s="545"/>
      <c r="K106" s="545"/>
      <c r="L106" s="545"/>
      <c r="M106" s="545"/>
      <c r="N106" s="546"/>
    </row>
    <row r="107" spans="2:14">
      <c r="B107" s="547"/>
      <c r="C107" s="548"/>
      <c r="D107" s="548"/>
      <c r="E107" s="548"/>
      <c r="F107" s="548"/>
      <c r="G107" s="548"/>
      <c r="H107" s="548"/>
      <c r="I107" s="548"/>
      <c r="J107" s="548"/>
      <c r="K107" s="548"/>
      <c r="L107" s="548"/>
      <c r="M107" s="548"/>
      <c r="N107" s="549"/>
    </row>
    <row r="108" spans="2:14">
      <c r="B108" s="123"/>
      <c r="C108" s="155"/>
      <c r="D108" s="155"/>
      <c r="E108" s="155"/>
      <c r="F108" s="155"/>
      <c r="G108" s="155"/>
      <c r="H108" s="155"/>
      <c r="I108" s="155"/>
      <c r="J108" s="155"/>
      <c r="K108" s="155"/>
      <c r="L108" s="155"/>
      <c r="M108" s="155"/>
      <c r="N108" s="153"/>
    </row>
    <row r="109" spans="2:14">
      <c r="B109" s="159"/>
      <c r="C109" s="140"/>
      <c r="D109" s="140"/>
      <c r="E109" s="140"/>
      <c r="F109" s="140"/>
      <c r="G109" s="145" t="s">
        <v>202</v>
      </c>
      <c r="H109" s="140"/>
      <c r="I109" s="140"/>
      <c r="J109" s="140"/>
      <c r="K109" s="140"/>
      <c r="L109" s="140"/>
      <c r="M109" s="140"/>
      <c r="N109" s="147"/>
    </row>
    <row r="110" spans="2:14">
      <c r="B110" s="159"/>
      <c r="C110" s="140"/>
      <c r="D110" s="140"/>
      <c r="E110" s="140"/>
      <c r="F110" s="140"/>
      <c r="G110" s="140" t="s">
        <v>203</v>
      </c>
      <c r="H110" s="160"/>
      <c r="I110" s="160"/>
      <c r="J110" s="160"/>
      <c r="K110" s="140"/>
      <c r="L110" s="140"/>
      <c r="M110" s="140"/>
      <c r="N110" s="147"/>
    </row>
    <row r="111" spans="2:14">
      <c r="B111" s="159"/>
      <c r="C111" s="140"/>
      <c r="D111" s="140"/>
      <c r="E111" s="140"/>
      <c r="F111" s="140"/>
      <c r="G111" s="140" t="s">
        <v>208</v>
      </c>
      <c r="H111" s="154"/>
      <c r="I111" s="154"/>
      <c r="J111" s="154"/>
      <c r="M111" s="140"/>
      <c r="N111" s="147"/>
    </row>
    <row r="112" spans="2:14">
      <c r="B112" s="196"/>
      <c r="C112" s="155"/>
      <c r="D112" s="155"/>
      <c r="E112" s="155"/>
      <c r="F112" s="155"/>
      <c r="G112" s="140" t="s">
        <v>205</v>
      </c>
      <c r="K112" s="155"/>
      <c r="L112" s="155"/>
      <c r="M112" s="155"/>
      <c r="N112" s="153"/>
    </row>
    <row r="113" spans="2:14" ht="12.75" customHeight="1">
      <c r="B113" s="199" t="s">
        <v>209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2.75" customHeight="1">
      <c r="B114" s="199" t="s">
        <v>210</v>
      </c>
      <c r="C114" s="197"/>
      <c r="D114" s="197"/>
      <c r="E114" s="140"/>
      <c r="F114" s="140"/>
      <c r="G114" s="140"/>
      <c r="H114" s="140"/>
      <c r="I114" s="140"/>
      <c r="J114" s="515"/>
      <c r="K114" s="515"/>
      <c r="L114" s="515"/>
      <c r="M114" s="515"/>
      <c r="N114" s="516"/>
    </row>
    <row r="115" spans="2:14" ht="13.5" customHeight="1" thickBot="1">
      <c r="B115" s="519"/>
      <c r="C115" s="520"/>
      <c r="D115" s="520"/>
      <c r="E115" s="161"/>
      <c r="F115" s="161"/>
      <c r="G115" s="161"/>
      <c r="H115" s="161"/>
      <c r="I115" s="161"/>
      <c r="J115" s="517"/>
      <c r="K115" s="517"/>
      <c r="L115" s="517"/>
      <c r="M115" s="517"/>
      <c r="N115" s="518"/>
    </row>
  </sheetData>
  <mergeCells count="130"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L33:M33"/>
    <mergeCell ref="I37:J37"/>
    <mergeCell ref="L37:M37"/>
    <mergeCell ref="C33:K33"/>
    <mergeCell ref="B34:N36"/>
    <mergeCell ref="B37:H37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B2:B8"/>
    <mergeCell ref="C2:J2"/>
    <mergeCell ref="K2:K3"/>
    <mergeCell ref="I38:J38"/>
    <mergeCell ref="L38:M38"/>
    <mergeCell ref="L44:M44"/>
    <mergeCell ref="I45:J45"/>
    <mergeCell ref="L45:M45"/>
    <mergeCell ref="B46:M46"/>
    <mergeCell ref="B50:I50"/>
    <mergeCell ref="L50:M50"/>
    <mergeCell ref="B51:I51"/>
    <mergeCell ref="L51:M51"/>
    <mergeCell ref="B47:N49"/>
    <mergeCell ref="L39:M39"/>
    <mergeCell ref="L40:M40"/>
    <mergeCell ref="L41:M41"/>
    <mergeCell ref="L42:M42"/>
    <mergeCell ref="L43:M43"/>
    <mergeCell ref="I39:J39"/>
    <mergeCell ref="I40:J40"/>
    <mergeCell ref="I41:J41"/>
    <mergeCell ref="I42:J42"/>
    <mergeCell ref="I43:J43"/>
    <mergeCell ref="B45:H45"/>
    <mergeCell ref="B38:H38"/>
    <mergeCell ref="B39:H39"/>
    <mergeCell ref="B73:G73"/>
    <mergeCell ref="B74:G74"/>
    <mergeCell ref="B75:G75"/>
    <mergeCell ref="B63:N65"/>
    <mergeCell ref="B70:N72"/>
    <mergeCell ref="B87:N89"/>
    <mergeCell ref="B81:G81"/>
    <mergeCell ref="B82:G82"/>
    <mergeCell ref="B61:I61"/>
    <mergeCell ref="L61:M61"/>
    <mergeCell ref="B83:G83"/>
    <mergeCell ref="L75:M75"/>
    <mergeCell ref="L76:M76"/>
    <mergeCell ref="L77:M77"/>
    <mergeCell ref="L78:M78"/>
    <mergeCell ref="L79:M79"/>
    <mergeCell ref="L80:M80"/>
    <mergeCell ref="B76:G76"/>
    <mergeCell ref="B77:G77"/>
    <mergeCell ref="B78:G78"/>
    <mergeCell ref="B79:G79"/>
    <mergeCell ref="B80:G80"/>
    <mergeCell ref="L83:M83"/>
    <mergeCell ref="L81:M81"/>
    <mergeCell ref="B107:N107"/>
    <mergeCell ref="J113:N115"/>
    <mergeCell ref="B115:D115"/>
    <mergeCell ref="B91:H91"/>
    <mergeCell ref="L91:M91"/>
    <mergeCell ref="L92:M92"/>
    <mergeCell ref="L93:M93"/>
    <mergeCell ref="B94:M94"/>
    <mergeCell ref="B96:M96"/>
    <mergeCell ref="B40:H40"/>
    <mergeCell ref="B41:H41"/>
    <mergeCell ref="B42:H42"/>
    <mergeCell ref="I44:J44"/>
    <mergeCell ref="B43:H43"/>
    <mergeCell ref="B44:H44"/>
    <mergeCell ref="B106:N106"/>
    <mergeCell ref="B84:M84"/>
    <mergeCell ref="B86:M86"/>
    <mergeCell ref="B90:H90"/>
    <mergeCell ref="L90:M90"/>
    <mergeCell ref="L82:M82"/>
    <mergeCell ref="B62:M62"/>
    <mergeCell ref="B66:H66"/>
    <mergeCell ref="L66:M66"/>
    <mergeCell ref="B67:H67"/>
    <mergeCell ref="L67:M67"/>
    <mergeCell ref="B68:H68"/>
    <mergeCell ref="L68:M68"/>
    <mergeCell ref="B69:M69"/>
    <mergeCell ref="L73:M73"/>
    <mergeCell ref="L74:M74"/>
    <mergeCell ref="B59:I59"/>
    <mergeCell ref="B60:I60"/>
    <mergeCell ref="L52:M52"/>
    <mergeCell ref="L56:M56"/>
    <mergeCell ref="L57:M57"/>
    <mergeCell ref="L58:M58"/>
    <mergeCell ref="L59:M59"/>
    <mergeCell ref="L60:M60"/>
    <mergeCell ref="B53:I53"/>
    <mergeCell ref="B54:I54"/>
    <mergeCell ref="B55:I55"/>
    <mergeCell ref="L53:M53"/>
    <mergeCell ref="L54:M54"/>
    <mergeCell ref="L55:M55"/>
    <mergeCell ref="B52:I52"/>
    <mergeCell ref="B56:I56"/>
    <mergeCell ref="B57:I57"/>
    <mergeCell ref="B58:I58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56" orientation="portrait" r:id="rId1"/>
  <headerFooter alignWithMargins="0"/>
  <ignoredErrors>
    <ignoredError sqref="D18:D19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1"/>
  <dimension ref="A1:O111"/>
  <sheetViews>
    <sheetView showGridLines="0" view="pageBreakPreview" zoomScaleNormal="100" zoomScaleSheetLayoutView="100" workbookViewId="0">
      <selection activeCell="D19" sqref="D19:M20"/>
    </sheetView>
  </sheetViews>
  <sheetFormatPr baseColWidth="10" defaultRowHeight="12.75"/>
  <cols>
    <col min="1" max="1" width="3.140625" style="113" customWidth="1"/>
    <col min="2" max="10" width="11.42578125" style="113"/>
    <col min="11" max="11" width="12.5703125" style="113" customWidth="1"/>
    <col min="12" max="13" width="11.42578125" style="113"/>
    <col min="14" max="14" width="12.85546875" style="113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>
      <c r="B32" s="248" t="s">
        <v>6</v>
      </c>
      <c r="C32" s="570" t="s">
        <v>125</v>
      </c>
      <c r="D32" s="571"/>
      <c r="E32" s="571"/>
      <c r="F32" s="571"/>
      <c r="G32" s="571"/>
      <c r="H32" s="571"/>
      <c r="I32" s="571"/>
      <c r="J32" s="571"/>
      <c r="K32" s="572"/>
      <c r="L32" s="564" t="s">
        <v>16</v>
      </c>
      <c r="M32" s="565"/>
      <c r="N32" s="248" t="s">
        <v>101</v>
      </c>
    </row>
    <row r="33" spans="1:14" ht="13.5" thickBot="1">
      <c r="B33" s="249" t="e">
        <f>+'PRESUPUESTO OFICIAL'!#REF!</f>
        <v>#REF!</v>
      </c>
      <c r="C33" s="566" t="e">
        <f>+'PRESUPUESTO OFICIAL'!#REF!</f>
        <v>#REF!</v>
      </c>
      <c r="D33" s="573"/>
      <c r="E33" s="573"/>
      <c r="F33" s="573"/>
      <c r="G33" s="573"/>
      <c r="H33" s="573"/>
      <c r="I33" s="573"/>
      <c r="J33" s="573"/>
      <c r="K33" s="567"/>
      <c r="L33" s="566" t="e">
        <f>+'PRESUPUESTO OFICIAL'!#REF!</f>
        <v>#REF!</v>
      </c>
      <c r="M33" s="567"/>
      <c r="N33" s="258" t="e">
        <f>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+VLOOKUP(A38,Equipo!$A$4:$D$80,4,0)</f>
        <v>20339</v>
      </c>
      <c r="L38" s="542">
        <v>4</v>
      </c>
      <c r="M38" s="543"/>
      <c r="N38" s="297">
        <f>+K38/L38</f>
        <v>5084.75</v>
      </c>
    </row>
    <row r="39" spans="1:14">
      <c r="A39" s="113" t="s">
        <v>366</v>
      </c>
      <c r="B39" s="550" t="str">
        <f>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+VLOOKUP(A39,Equipo!$A$4:$D$80,4,0)</f>
        <v>20339</v>
      </c>
      <c r="L39" s="542">
        <v>4</v>
      </c>
      <c r="M39" s="543"/>
      <c r="N39" s="297">
        <f t="shared" ref="N39:N44" si="0">+K39/L39</f>
        <v>5084.75</v>
      </c>
    </row>
    <row r="40" spans="1:14">
      <c r="A40" s="113" t="s">
        <v>367</v>
      </c>
      <c r="B40" s="550" t="str">
        <f>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+VLOOKUP(A40,Equipo!$A$4:$D$80,4,0)</f>
        <v>16271</v>
      </c>
      <c r="L40" s="542">
        <v>4</v>
      </c>
      <c r="M40" s="543"/>
      <c r="N40" s="297">
        <f t="shared" si="0"/>
        <v>4067.75</v>
      </c>
    </row>
    <row r="41" spans="1:14">
      <c r="A41" s="113" t="s">
        <v>368</v>
      </c>
      <c r="B41" s="550" t="str">
        <f>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+VLOOKUP(A41,Equipo!$A$4:$D$80,4,0)</f>
        <v>20339</v>
      </c>
      <c r="L41" s="542">
        <v>4</v>
      </c>
      <c r="M41" s="543"/>
      <c r="N41" s="297">
        <f t="shared" si="0"/>
        <v>5084.75</v>
      </c>
    </row>
    <row r="42" spans="1:14">
      <c r="A42" s="113" t="s">
        <v>369</v>
      </c>
      <c r="B42" s="550" t="str">
        <f>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+VLOOKUP(A42,Equipo!$A$4:$D$80,4,0)</f>
        <v>13574</v>
      </c>
      <c r="L42" s="542">
        <v>3</v>
      </c>
      <c r="M42" s="543"/>
      <c r="N42" s="297">
        <f t="shared" si="0"/>
        <v>4524.666666666667</v>
      </c>
    </row>
    <row r="43" spans="1:14">
      <c r="A43" s="113" t="s">
        <v>370</v>
      </c>
      <c r="B43" s="550" t="str">
        <f>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+VLOOKUP(A43,Equipo!$A$4:$D$80,4,0)</f>
        <v>8003</v>
      </c>
      <c r="L43" s="542">
        <v>3</v>
      </c>
      <c r="M43" s="543"/>
      <c r="N43" s="297">
        <f t="shared" si="0"/>
        <v>2667.6666666666665</v>
      </c>
    </row>
    <row r="44" spans="1:14">
      <c r="A44" s="113" t="s">
        <v>371</v>
      </c>
      <c r="B44" s="550" t="str">
        <f>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+VLOOKUP(A44,Equipo!$A$4:$D$80,4,0)</f>
        <v>2715</v>
      </c>
      <c r="L44" s="542">
        <v>4</v>
      </c>
      <c r="M44" s="543"/>
      <c r="N44" s="297">
        <f t="shared" si="0"/>
        <v>678.75</v>
      </c>
    </row>
    <row r="45" spans="1:14" ht="13.5" thickBot="1">
      <c r="B45" s="550"/>
      <c r="C45" s="551"/>
      <c r="D45" s="551"/>
      <c r="E45" s="551"/>
      <c r="F45" s="551"/>
      <c r="G45" s="551"/>
      <c r="H45" s="552"/>
      <c r="I45" s="620"/>
      <c r="J45" s="621"/>
      <c r="K45" s="316"/>
      <c r="L45" s="542"/>
      <c r="M45" s="543"/>
      <c r="N45" s="297"/>
    </row>
    <row r="46" spans="1:14" ht="14.25" thickBot="1">
      <c r="B46" s="524" t="s">
        <v>469</v>
      </c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204">
        <f>SUM(N38:N45)</f>
        <v>27193.083333333336</v>
      </c>
    </row>
    <row r="47" spans="1:14" ht="13.5" customHeight="1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>
      <c r="B48" s="577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5" ht="13.5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5" ht="13.5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5">
      <c r="A51" s="113" t="s">
        <v>344</v>
      </c>
      <c r="B51" s="540" t="str">
        <f>VLOOKUP(A51,Materiales!$A$4:$D$141,2,0)</f>
        <v>LAMINA GALV. CALIBRE 16</v>
      </c>
      <c r="C51" s="541"/>
      <c r="D51" s="541"/>
      <c r="E51" s="541"/>
      <c r="F51" s="541"/>
      <c r="G51" s="541"/>
      <c r="H51" s="541"/>
      <c r="I51" s="621"/>
      <c r="J51" s="208" t="str">
        <f>VLOOKUP(A51,Materiales!$A$4:$D$141,3,0)</f>
        <v>M2</v>
      </c>
      <c r="K51" s="169">
        <v>1.5840000000000001</v>
      </c>
      <c r="L51" s="522">
        <f>VLOOKUP(A51,Materiales!$A$4:$D$141,4,0)</f>
        <v>49580</v>
      </c>
      <c r="M51" s="523" t="e">
        <f>VLOOKUP(D51,Materiales!$A$4:$D$141,3,0)</f>
        <v>#N/A</v>
      </c>
      <c r="N51" s="297">
        <f>+K51*L51</f>
        <v>78534.720000000001</v>
      </c>
      <c r="O51" s="113">
        <f>1.2*1.2*1.1</f>
        <v>1.5840000000000001</v>
      </c>
    </row>
    <row r="52" spans="1:15">
      <c r="A52" s="113" t="s">
        <v>345</v>
      </c>
      <c r="B52" s="540" t="str">
        <f>VLOOKUP(A52,Materiales!$A$4:$D$141,2,0)</f>
        <v>PAPEL REFLECTIVO TIPO III</v>
      </c>
      <c r="C52" s="541"/>
      <c r="D52" s="541"/>
      <c r="E52" s="541"/>
      <c r="F52" s="541"/>
      <c r="G52" s="541"/>
      <c r="H52" s="541"/>
      <c r="I52" s="621"/>
      <c r="J52" s="208" t="str">
        <f>VLOOKUP(A52,Materiales!$A$4:$D$141,3,0)</f>
        <v>M2</v>
      </c>
      <c r="K52" s="169">
        <v>1.4687999999999999</v>
      </c>
      <c r="L52" s="522">
        <f>VLOOKUP(A52,Materiales!$A$4:$D$141,4,0)</f>
        <v>48400</v>
      </c>
      <c r="M52" s="523" t="e">
        <f>VLOOKUP(D52,Materiales!$A$4:$D$141,3,0)</f>
        <v>#N/A</v>
      </c>
      <c r="N52" s="297">
        <f t="shared" ref="N52:N59" si="1">+K52*L52</f>
        <v>71089.919999999998</v>
      </c>
      <c r="O52" s="113">
        <f>1.2*1.2*1.02</f>
        <v>1.4687999999999999</v>
      </c>
    </row>
    <row r="53" spans="1:15">
      <c r="A53" s="113" t="s">
        <v>346</v>
      </c>
      <c r="B53" s="540" t="str">
        <f>VLOOKUP(A53,Materiales!$A$4:$D$141,2,0)</f>
        <v>ANGULO DE 2" X 1/4"</v>
      </c>
      <c r="C53" s="541"/>
      <c r="D53" s="541"/>
      <c r="E53" s="541"/>
      <c r="F53" s="541"/>
      <c r="G53" s="541"/>
      <c r="H53" s="541"/>
      <c r="I53" s="621"/>
      <c r="J53" s="208" t="str">
        <f>VLOOKUP(A53,Materiales!$A$4:$D$141,3,0)</f>
        <v>ML</v>
      </c>
      <c r="K53" s="169">
        <v>3.8</v>
      </c>
      <c r="L53" s="522">
        <f>VLOOKUP(A53,Materiales!$A$4:$D$141,4,0)</f>
        <v>17710</v>
      </c>
      <c r="M53" s="523" t="e">
        <f>VLOOKUP(D53,Materiales!$A$4:$D$141,3,0)</f>
        <v>#N/A</v>
      </c>
      <c r="N53" s="297">
        <f t="shared" si="1"/>
        <v>67298</v>
      </c>
      <c r="O53" s="113">
        <f>1.2+1.8+0.8</f>
        <v>3.8</v>
      </c>
    </row>
    <row r="54" spans="1:15">
      <c r="A54" s="113" t="s">
        <v>347</v>
      </c>
      <c r="B54" s="540" t="str">
        <f>VLOOKUP(A54,Materiales!$A$4:$D$141,2,0)</f>
        <v>ANGULO DE 2" X 1/8"</v>
      </c>
      <c r="C54" s="541"/>
      <c r="D54" s="541"/>
      <c r="E54" s="541"/>
      <c r="F54" s="541"/>
      <c r="G54" s="541"/>
      <c r="H54" s="541"/>
      <c r="I54" s="621"/>
      <c r="J54" s="208" t="str">
        <f>VLOOKUP(A54,Materiales!$A$4:$D$141,3,0)</f>
        <v>ML</v>
      </c>
      <c r="K54" s="169">
        <f>1.2*2</f>
        <v>2.4</v>
      </c>
      <c r="L54" s="522">
        <f>VLOOKUP(A54,Materiales!$A$4:$D$141,4,0)</f>
        <v>9810</v>
      </c>
      <c r="M54" s="523" t="e">
        <f>VLOOKUP(D54,Materiales!$A$4:$D$141,3,0)</f>
        <v>#N/A</v>
      </c>
      <c r="N54" s="297">
        <f t="shared" si="1"/>
        <v>23544</v>
      </c>
    </row>
    <row r="55" spans="1:15">
      <c r="A55" s="113" t="s">
        <v>348</v>
      </c>
      <c r="B55" s="540" t="str">
        <f>VLOOKUP(A55,Materiales!$A$4:$D$141,2,0)</f>
        <v>TORNILLOS Y REMACHES</v>
      </c>
      <c r="C55" s="541"/>
      <c r="D55" s="541"/>
      <c r="E55" s="541"/>
      <c r="F55" s="541"/>
      <c r="G55" s="541"/>
      <c r="H55" s="541"/>
      <c r="I55" s="621"/>
      <c r="J55" s="208" t="str">
        <f>VLOOKUP(A55,Materiales!$A$4:$D$141,3,0)</f>
        <v>UND.</v>
      </c>
      <c r="K55" s="169">
        <v>4</v>
      </c>
      <c r="L55" s="522">
        <f>VLOOKUP(A55,Materiales!$A$4:$D$141,4,0)</f>
        <v>1004</v>
      </c>
      <c r="M55" s="523" t="e">
        <f>VLOOKUP(D55,Materiales!$A$4:$D$141,3,0)</f>
        <v>#N/A</v>
      </c>
      <c r="N55" s="297">
        <f t="shared" si="1"/>
        <v>4016</v>
      </c>
    </row>
    <row r="56" spans="1:15">
      <c r="A56" s="113" t="s">
        <v>349</v>
      </c>
      <c r="B56" s="540" t="str">
        <f>VLOOKUP(A56,Materiales!$A$4:$D$141,2,0)</f>
        <v>PINTURA EN POLVO</v>
      </c>
      <c r="C56" s="541"/>
      <c r="D56" s="541"/>
      <c r="E56" s="541"/>
      <c r="F56" s="541"/>
      <c r="G56" s="541"/>
      <c r="H56" s="541"/>
      <c r="I56" s="621"/>
      <c r="J56" s="208" t="str">
        <f>VLOOKUP(A56,Materiales!$A$4:$D$141,3,0)</f>
        <v>GALON</v>
      </c>
      <c r="K56" s="169">
        <v>0.05</v>
      </c>
      <c r="L56" s="522">
        <f>VLOOKUP(A56,Materiales!$A$4:$D$141,4,0)</f>
        <v>170330</v>
      </c>
      <c r="M56" s="523" t="e">
        <f>VLOOKUP(D56,Materiales!$A$4:$D$141,3,0)</f>
        <v>#N/A</v>
      </c>
      <c r="N56" s="297">
        <f t="shared" si="1"/>
        <v>8516.5</v>
      </c>
    </row>
    <row r="57" spans="1:15">
      <c r="A57" s="113" t="s">
        <v>350</v>
      </c>
      <c r="B57" s="540" t="str">
        <f>VLOOKUP(A57,Materiales!$A$4:$D$141,2,0)</f>
        <v>PINTURA ESMALTE</v>
      </c>
      <c r="C57" s="541"/>
      <c r="D57" s="541"/>
      <c r="E57" s="541"/>
      <c r="F57" s="541"/>
      <c r="G57" s="541"/>
      <c r="H57" s="541"/>
      <c r="I57" s="621"/>
      <c r="J57" s="208" t="str">
        <f>VLOOKUP(A57,Materiales!$A$4:$D$141,3,0)</f>
        <v>GALON</v>
      </c>
      <c r="K57" s="169">
        <v>0.06</v>
      </c>
      <c r="L57" s="522">
        <f>VLOOKUP(A57,Materiales!$A$4:$D$141,4,0)</f>
        <v>59020</v>
      </c>
      <c r="M57" s="523" t="e">
        <f>VLOOKUP(D57,Materiales!$A$4:$D$141,3,0)</f>
        <v>#N/A</v>
      </c>
      <c r="N57" s="297">
        <f t="shared" si="1"/>
        <v>3541.2</v>
      </c>
    </row>
    <row r="58" spans="1:15">
      <c r="A58" s="113" t="s">
        <v>351</v>
      </c>
      <c r="B58" s="540" t="str">
        <f>VLOOKUP(A58,Materiales!$A$4:$D$141,2,0)</f>
        <v>SOLDADURA</v>
      </c>
      <c r="C58" s="541"/>
      <c r="D58" s="541"/>
      <c r="E58" s="541"/>
      <c r="F58" s="541"/>
      <c r="G58" s="541"/>
      <c r="H58" s="541"/>
      <c r="I58" s="621"/>
      <c r="J58" s="208" t="str">
        <f>VLOOKUP(A58,Materiales!$A$4:$D$141,3,0)</f>
        <v>KG</v>
      </c>
      <c r="K58" s="271">
        <v>0.25</v>
      </c>
      <c r="L58" s="522">
        <f>VLOOKUP(A58,Materiales!$A$4:$D$141,4,0)</f>
        <v>7210</v>
      </c>
      <c r="M58" s="523" t="e">
        <f>VLOOKUP(D58,Materiales!$A$4:$D$141,3,0)</f>
        <v>#N/A</v>
      </c>
      <c r="N58" s="297">
        <f t="shared" si="1"/>
        <v>1802.5</v>
      </c>
    </row>
    <row r="59" spans="1:15" ht="13.5" thickBot="1">
      <c r="A59" s="113" t="s">
        <v>352</v>
      </c>
      <c r="B59" s="540" t="str">
        <f>VLOOKUP(A59,Materiales!$A$4:$D$141,2,0)</f>
        <v>CONCRETO CLASE E</v>
      </c>
      <c r="C59" s="541"/>
      <c r="D59" s="541"/>
      <c r="E59" s="541"/>
      <c r="F59" s="541"/>
      <c r="G59" s="541"/>
      <c r="H59" s="541"/>
      <c r="I59" s="621"/>
      <c r="J59" s="208" t="str">
        <f>VLOOKUP(A59,Materiales!$A$4:$D$141,3,0)</f>
        <v>M3</v>
      </c>
      <c r="K59" s="334">
        <v>0.05</v>
      </c>
      <c r="L59" s="522">
        <f>VLOOKUP(A59,Materiales!$A$4:$D$141,4,0)</f>
        <v>463800</v>
      </c>
      <c r="M59" s="523" t="e">
        <f>VLOOKUP(D59,Materiales!$A$4:$D$141,3,0)</f>
        <v>#N/A</v>
      </c>
      <c r="N59" s="297">
        <f t="shared" si="1"/>
        <v>23190</v>
      </c>
    </row>
    <row r="60" spans="1:15" ht="14.25" thickBot="1">
      <c r="B60" s="524" t="s">
        <v>469</v>
      </c>
      <c r="C60" s="525"/>
      <c r="D60" s="525"/>
      <c r="E60" s="525"/>
      <c r="F60" s="525"/>
      <c r="G60" s="525"/>
      <c r="H60" s="525"/>
      <c r="I60" s="525"/>
      <c r="J60" s="525"/>
      <c r="K60" s="525"/>
      <c r="L60" s="525"/>
      <c r="M60" s="526"/>
      <c r="N60" s="319">
        <f>SUM(N51:N59)</f>
        <v>281532.84000000003</v>
      </c>
    </row>
    <row r="61" spans="1:15">
      <c r="B61" s="574" t="s">
        <v>89</v>
      </c>
      <c r="C61" s="575"/>
      <c r="D61" s="575"/>
      <c r="E61" s="575"/>
      <c r="F61" s="575"/>
      <c r="G61" s="575"/>
      <c r="H61" s="575"/>
      <c r="I61" s="575"/>
      <c r="J61" s="575"/>
      <c r="K61" s="575"/>
      <c r="L61" s="575"/>
      <c r="M61" s="575"/>
      <c r="N61" s="576"/>
    </row>
    <row r="62" spans="1:15">
      <c r="B62" s="577"/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9"/>
    </row>
    <row r="63" spans="1:15" ht="13.5" thickBot="1">
      <c r="B63" s="580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2"/>
    </row>
    <row r="64" spans="1:15" ht="13.5">
      <c r="B64" s="536" t="s">
        <v>141</v>
      </c>
      <c r="C64" s="537"/>
      <c r="D64" s="537"/>
      <c r="E64" s="537"/>
      <c r="F64" s="537"/>
      <c r="G64" s="537"/>
      <c r="H64" s="537"/>
      <c r="I64" s="237" t="s">
        <v>142</v>
      </c>
      <c r="J64" s="240" t="s">
        <v>143</v>
      </c>
      <c r="K64" s="241" t="s">
        <v>248</v>
      </c>
      <c r="L64" s="538" t="s">
        <v>17</v>
      </c>
      <c r="M64" s="539"/>
      <c r="N64" s="238" t="s">
        <v>140</v>
      </c>
    </row>
    <row r="65" spans="1:14">
      <c r="B65" s="540" t="s">
        <v>467</v>
      </c>
      <c r="C65" s="541"/>
      <c r="D65" s="541"/>
      <c r="E65" s="541"/>
      <c r="F65" s="541"/>
      <c r="G65" s="541"/>
      <c r="H65" s="541"/>
      <c r="I65" s="172"/>
      <c r="J65" s="166"/>
      <c r="K65" s="172"/>
      <c r="L65" s="542"/>
      <c r="M65" s="543"/>
      <c r="N65" s="297">
        <v>22680</v>
      </c>
    </row>
    <row r="66" spans="1:14" ht="13.5" thickBot="1">
      <c r="B66" s="624"/>
      <c r="C66" s="625"/>
      <c r="D66" s="625"/>
      <c r="E66" s="625"/>
      <c r="F66" s="625"/>
      <c r="G66" s="625"/>
      <c r="H66" s="625"/>
      <c r="I66" s="173"/>
      <c r="J66" s="161"/>
      <c r="K66" s="173"/>
      <c r="L66" s="645"/>
      <c r="M66" s="646"/>
      <c r="N66" s="327"/>
    </row>
    <row r="67" spans="1:14" ht="14.25" thickBot="1">
      <c r="B67" s="524" t="s">
        <v>472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6"/>
      <c r="N67" s="204">
        <f>SUM(N65:N66)</f>
        <v>22680</v>
      </c>
    </row>
    <row r="68" spans="1:14">
      <c r="B68" s="574" t="s">
        <v>90</v>
      </c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6"/>
    </row>
    <row r="69" spans="1:14">
      <c r="B69" s="577"/>
      <c r="C69" s="578"/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9"/>
    </row>
    <row r="70" spans="1:14" ht="13.5" thickBot="1">
      <c r="B70" s="580"/>
      <c r="C70" s="581"/>
      <c r="D70" s="581"/>
      <c r="E70" s="581"/>
      <c r="F70" s="581"/>
      <c r="G70" s="581"/>
      <c r="H70" s="581"/>
      <c r="I70" s="581"/>
      <c r="J70" s="581"/>
      <c r="K70" s="581"/>
      <c r="L70" s="581"/>
      <c r="M70" s="581"/>
      <c r="N70" s="582"/>
    </row>
    <row r="71" spans="1:14" ht="13.5">
      <c r="B71" s="536" t="s">
        <v>144</v>
      </c>
      <c r="C71" s="537"/>
      <c r="D71" s="537"/>
      <c r="E71" s="537"/>
      <c r="F71" s="537"/>
      <c r="G71" s="537"/>
      <c r="H71" s="237" t="s">
        <v>101</v>
      </c>
      <c r="I71" s="237" t="s">
        <v>145</v>
      </c>
      <c r="J71" s="242" t="s">
        <v>84</v>
      </c>
      <c r="K71" s="243" t="s">
        <v>146</v>
      </c>
      <c r="L71" s="527" t="s">
        <v>136</v>
      </c>
      <c r="M71" s="528"/>
      <c r="N71" s="244" t="s">
        <v>140</v>
      </c>
    </row>
    <row r="72" spans="1:14">
      <c r="A72" s="113" t="s">
        <v>441</v>
      </c>
      <c r="B72" s="550" t="str">
        <f>VLOOKUP(A72,'Mano de Obra'!$A$4:$E$80,2,0)</f>
        <v>CORTADOR</v>
      </c>
      <c r="C72" s="551"/>
      <c r="D72" s="551"/>
      <c r="E72" s="551"/>
      <c r="F72" s="551"/>
      <c r="G72" s="552"/>
      <c r="H72" s="208">
        <v>1</v>
      </c>
      <c r="I72" s="302">
        <f>VLOOKUP(A72,'Mano de Obra'!$A$4:$E$80,3,0)</f>
        <v>72000</v>
      </c>
      <c r="J72" s="177">
        <f>VLOOKUP(A72,'Mano de Obra'!$A$4:$E$80,4,0)</f>
        <v>1.85</v>
      </c>
      <c r="K72" s="302">
        <f>+H72*I72*J72</f>
        <v>133200</v>
      </c>
      <c r="L72" s="529">
        <v>35</v>
      </c>
      <c r="M72" s="530"/>
      <c r="N72" s="302">
        <f>+K72/L72</f>
        <v>3805.7142857142858</v>
      </c>
    </row>
    <row r="73" spans="1:14">
      <c r="A73" s="113" t="s">
        <v>442</v>
      </c>
      <c r="B73" s="550" t="str">
        <f>VLOOKUP(A73,'Mano de Obra'!$A$4:$E$80,2,0)</f>
        <v>SOLDADOR</v>
      </c>
      <c r="C73" s="551"/>
      <c r="D73" s="551"/>
      <c r="E73" s="551"/>
      <c r="F73" s="551"/>
      <c r="G73" s="552"/>
      <c r="H73" s="208">
        <v>1</v>
      </c>
      <c r="I73" s="302">
        <f>VLOOKUP(A73,'Mano de Obra'!$A$4:$E$80,3,0)</f>
        <v>88000</v>
      </c>
      <c r="J73" s="177">
        <f>VLOOKUP(A73,'Mano de Obra'!$A$4:$E$80,4,0)</f>
        <v>1.85</v>
      </c>
      <c r="K73" s="302">
        <f t="shared" ref="K73:K78" si="2">+H73*I73*J73</f>
        <v>162800</v>
      </c>
      <c r="L73" s="529">
        <v>35</v>
      </c>
      <c r="M73" s="530"/>
      <c r="N73" s="302">
        <f t="shared" ref="N73:N78" si="3">+K73/L73</f>
        <v>4651.4285714285716</v>
      </c>
    </row>
    <row r="74" spans="1:14">
      <c r="A74" s="113" t="s">
        <v>443</v>
      </c>
      <c r="B74" s="550" t="str">
        <f>VLOOKUP(A74,'Mano de Obra'!$A$4:$E$80,2,0)</f>
        <v>PINTOR</v>
      </c>
      <c r="C74" s="551"/>
      <c r="D74" s="551"/>
      <c r="E74" s="551"/>
      <c r="F74" s="551"/>
      <c r="G74" s="552"/>
      <c r="H74" s="208">
        <v>1</v>
      </c>
      <c r="I74" s="302">
        <f>VLOOKUP(A74,'Mano de Obra'!$A$4:$E$80,3,0)</f>
        <v>72000</v>
      </c>
      <c r="J74" s="177">
        <f>VLOOKUP(A74,'Mano de Obra'!$A$4:$E$80,4,0)</f>
        <v>1.85</v>
      </c>
      <c r="K74" s="302">
        <f t="shared" si="2"/>
        <v>133200</v>
      </c>
      <c r="L74" s="529">
        <v>35</v>
      </c>
      <c r="M74" s="530"/>
      <c r="N74" s="302">
        <f t="shared" si="3"/>
        <v>3805.7142857142858</v>
      </c>
    </row>
    <row r="75" spans="1:14">
      <c r="A75" s="113" t="s">
        <v>444</v>
      </c>
      <c r="B75" s="550" t="str">
        <f>VLOOKUP(A75,'Mano de Obra'!$A$4:$E$80,2,0)</f>
        <v>LAMINADOR</v>
      </c>
      <c r="C75" s="551"/>
      <c r="D75" s="551"/>
      <c r="E75" s="551"/>
      <c r="F75" s="551"/>
      <c r="G75" s="552"/>
      <c r="H75" s="208">
        <v>1</v>
      </c>
      <c r="I75" s="302">
        <f>VLOOKUP(A75,'Mano de Obra'!$A$4:$E$80,3,0)</f>
        <v>72000</v>
      </c>
      <c r="J75" s="177">
        <f>VLOOKUP(A75,'Mano de Obra'!$A$4:$E$80,4,0)</f>
        <v>1.85</v>
      </c>
      <c r="K75" s="302">
        <f t="shared" si="2"/>
        <v>133200</v>
      </c>
      <c r="L75" s="529">
        <v>35</v>
      </c>
      <c r="M75" s="530"/>
      <c r="N75" s="302">
        <f t="shared" si="3"/>
        <v>3805.7142857142858</v>
      </c>
    </row>
    <row r="76" spans="1:14">
      <c r="A76" s="113" t="s">
        <v>445</v>
      </c>
      <c r="B76" s="550" t="str">
        <f>VLOOKUP(A76,'Mano de Obra'!$A$4:$E$80,2,0)</f>
        <v>SERIGRAFISTA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72000</v>
      </c>
      <c r="J76" s="177">
        <f>VLOOKUP(A76,'Mano de Obra'!$A$4:$E$80,4,0)</f>
        <v>1.85</v>
      </c>
      <c r="K76" s="302">
        <f t="shared" si="2"/>
        <v>133200</v>
      </c>
      <c r="L76" s="529">
        <v>35</v>
      </c>
      <c r="M76" s="530"/>
      <c r="N76" s="302">
        <f t="shared" si="3"/>
        <v>3805.7142857142858</v>
      </c>
    </row>
    <row r="77" spans="1:14">
      <c r="A77" s="113" t="s">
        <v>446</v>
      </c>
      <c r="B77" s="550" t="str">
        <f>VLOOKUP(A77,'Mano de Obra'!$A$4:$E$80,2,0)</f>
        <v>AYUDANTE</v>
      </c>
      <c r="C77" s="551"/>
      <c r="D77" s="551"/>
      <c r="E77" s="551"/>
      <c r="F77" s="551"/>
      <c r="G77" s="552"/>
      <c r="H77" s="208">
        <v>2</v>
      </c>
      <c r="I77" s="302">
        <f>VLOOKUP(A77,'Mano de Obra'!$A$4:$E$80,3,0)</f>
        <v>28000</v>
      </c>
      <c r="J77" s="177">
        <f>VLOOKUP(A77,'Mano de Obra'!$A$4:$E$80,4,0)</f>
        <v>1.85</v>
      </c>
      <c r="K77" s="302">
        <f t="shared" si="2"/>
        <v>103600</v>
      </c>
      <c r="L77" s="529">
        <v>35</v>
      </c>
      <c r="M77" s="530"/>
      <c r="N77" s="302">
        <f t="shared" si="3"/>
        <v>2960</v>
      </c>
    </row>
    <row r="78" spans="1:14">
      <c r="A78" s="113" t="s">
        <v>447</v>
      </c>
      <c r="B78" s="550" t="str">
        <f>VLOOKUP(A78,'Mano de Obra'!$A$4:$E$80,2,0)</f>
        <v>CUADRILLA DE INSTALÑACIÓN (3)</v>
      </c>
      <c r="C78" s="551"/>
      <c r="D78" s="551"/>
      <c r="E78" s="551"/>
      <c r="F78" s="551"/>
      <c r="G78" s="552"/>
      <c r="H78" s="206">
        <v>1</v>
      </c>
      <c r="I78" s="302">
        <f>VLOOKUP(A78,'Mano de Obra'!$A$4:$E$80,3,0)</f>
        <v>83000</v>
      </c>
      <c r="J78" s="177">
        <f>VLOOKUP(A78,'Mano de Obra'!$A$4:$E$80,4,0)</f>
        <v>1.85</v>
      </c>
      <c r="K78" s="302">
        <f t="shared" si="2"/>
        <v>153550</v>
      </c>
      <c r="L78" s="529">
        <v>35</v>
      </c>
      <c r="M78" s="530"/>
      <c r="N78" s="302">
        <f t="shared" si="3"/>
        <v>4387.1428571428569</v>
      </c>
    </row>
    <row r="79" spans="1:14" ht="13.5" thickBot="1">
      <c r="B79" s="550"/>
      <c r="C79" s="551"/>
      <c r="D79" s="551"/>
      <c r="E79" s="551"/>
      <c r="F79" s="551"/>
      <c r="G79" s="552"/>
      <c r="H79" s="173"/>
      <c r="I79" s="309"/>
      <c r="J79" s="161"/>
      <c r="K79" s="309"/>
      <c r="L79" s="529"/>
      <c r="M79" s="530"/>
      <c r="N79" s="309"/>
    </row>
    <row r="80" spans="1:14" ht="14.25" thickBot="1">
      <c r="B80" s="524" t="s">
        <v>472</v>
      </c>
      <c r="C80" s="525"/>
      <c r="D80" s="525"/>
      <c r="E80" s="525"/>
      <c r="F80" s="525"/>
      <c r="G80" s="525"/>
      <c r="H80" s="525"/>
      <c r="I80" s="525"/>
      <c r="J80" s="525"/>
      <c r="K80" s="525"/>
      <c r="L80" s="525"/>
      <c r="M80" s="526"/>
      <c r="N80" s="319">
        <f>SUM(N72:N79)</f>
        <v>27221.428571428572</v>
      </c>
    </row>
    <row r="81" spans="2:14" ht="13.5" thickBot="1">
      <c r="B81" s="159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7"/>
    </row>
    <row r="82" spans="2:14" ht="13.5" thickBot="1">
      <c r="B82" s="531" t="s">
        <v>474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3"/>
      <c r="N82" s="245">
        <f>+N80+N67+N60+N46</f>
        <v>358627.35190476192</v>
      </c>
    </row>
    <row r="83" spans="2:14">
      <c r="B83" s="574" t="s">
        <v>91</v>
      </c>
      <c r="C83" s="575"/>
      <c r="D83" s="575"/>
      <c r="E83" s="575"/>
      <c r="F83" s="575"/>
      <c r="G83" s="575"/>
      <c r="H83" s="575"/>
      <c r="I83" s="575"/>
      <c r="J83" s="575"/>
      <c r="K83" s="575"/>
      <c r="L83" s="575"/>
      <c r="M83" s="575"/>
      <c r="N83" s="576"/>
    </row>
    <row r="84" spans="2:14">
      <c r="B84" s="577"/>
      <c r="C84" s="578"/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9"/>
    </row>
    <row r="85" spans="2:14" ht="13.5" thickBot="1">
      <c r="B85" s="580"/>
      <c r="C85" s="581"/>
      <c r="D85" s="581"/>
      <c r="E85" s="581"/>
      <c r="F85" s="581"/>
      <c r="G85" s="581"/>
      <c r="H85" s="581"/>
      <c r="I85" s="581"/>
      <c r="J85" s="581"/>
      <c r="K85" s="581"/>
      <c r="L85" s="581"/>
      <c r="M85" s="581"/>
      <c r="N85" s="582"/>
    </row>
    <row r="86" spans="2:14" ht="13.5">
      <c r="B86" s="536" t="s">
        <v>88</v>
      </c>
      <c r="C86" s="537"/>
      <c r="D86" s="537"/>
      <c r="E86" s="537"/>
      <c r="F86" s="537"/>
      <c r="G86" s="537"/>
      <c r="H86" s="537"/>
      <c r="I86" s="240"/>
      <c r="J86" s="246"/>
      <c r="K86" s="243" t="s">
        <v>92</v>
      </c>
      <c r="L86" s="527" t="s">
        <v>93</v>
      </c>
      <c r="M86" s="528"/>
      <c r="N86" s="244"/>
    </row>
    <row r="87" spans="2:14">
      <c r="B87" s="540" t="s">
        <v>82</v>
      </c>
      <c r="C87" s="541"/>
      <c r="D87" s="541"/>
      <c r="E87" s="541"/>
      <c r="F87" s="541"/>
      <c r="G87" s="541"/>
      <c r="H87" s="541"/>
      <c r="I87" s="182"/>
      <c r="J87" s="183"/>
      <c r="K87" s="251">
        <v>0.25</v>
      </c>
      <c r="L87" s="639">
        <f>+N82*K87</f>
        <v>89656.83797619048</v>
      </c>
      <c r="M87" s="640"/>
      <c r="N87" s="184"/>
    </row>
    <row r="88" spans="2:14">
      <c r="B88" s="185" t="s">
        <v>94</v>
      </c>
      <c r="C88" s="186"/>
      <c r="D88" s="186"/>
      <c r="E88" s="186"/>
      <c r="F88" s="186"/>
      <c r="G88" s="186"/>
      <c r="H88" s="186"/>
      <c r="I88" s="182"/>
      <c r="J88" s="183"/>
      <c r="K88" s="251">
        <v>0.05</v>
      </c>
      <c r="L88" s="639">
        <f>+N82*K88</f>
        <v>17931.367595238098</v>
      </c>
      <c r="M88" s="640"/>
      <c r="N88" s="184"/>
    </row>
    <row r="89" spans="2:14" ht="13.5" thickBot="1">
      <c r="B89" s="187" t="s">
        <v>83</v>
      </c>
      <c r="C89" s="188"/>
      <c r="D89" s="188"/>
      <c r="E89" s="188"/>
      <c r="F89" s="188"/>
      <c r="G89" s="188"/>
      <c r="H89" s="188"/>
      <c r="I89" s="189"/>
      <c r="J89" s="190"/>
      <c r="K89" s="251">
        <v>0.05</v>
      </c>
      <c r="L89" s="641">
        <f>+N82*K89</f>
        <v>17931.367595238098</v>
      </c>
      <c r="M89" s="642"/>
      <c r="N89" s="184"/>
    </row>
    <row r="90" spans="2:14" ht="14.25" thickBot="1">
      <c r="B90" s="524" t="s">
        <v>472</v>
      </c>
      <c r="C90" s="525"/>
      <c r="D90" s="525"/>
      <c r="E90" s="525"/>
      <c r="F90" s="525"/>
      <c r="G90" s="525"/>
      <c r="H90" s="525"/>
      <c r="I90" s="525"/>
      <c r="J90" s="525"/>
      <c r="K90" s="525"/>
      <c r="L90" s="525"/>
      <c r="M90" s="526"/>
      <c r="N90" s="191">
        <f>SUM(L87:M89)</f>
        <v>125519.57316666668</v>
      </c>
    </row>
    <row r="91" spans="2:14" ht="13.5" thickBot="1">
      <c r="B91" s="159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7"/>
    </row>
    <row r="92" spans="2:14" ht="13.5" thickBot="1">
      <c r="B92" s="531" t="s">
        <v>473</v>
      </c>
      <c r="C92" s="532"/>
      <c r="D92" s="532"/>
      <c r="E92" s="532"/>
      <c r="F92" s="532"/>
      <c r="G92" s="532"/>
      <c r="H92" s="532"/>
      <c r="I92" s="532"/>
      <c r="J92" s="532"/>
      <c r="K92" s="532"/>
      <c r="L92" s="532"/>
      <c r="M92" s="533"/>
      <c r="N92" s="247">
        <f>ROUND(N82+N90,0)</f>
        <v>484147</v>
      </c>
    </row>
    <row r="93" spans="2:14">
      <c r="B93" s="138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41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2:14">
      <c r="B96" s="159"/>
      <c r="C96" s="140"/>
      <c r="D96" s="140"/>
      <c r="E96" s="140"/>
      <c r="F96" s="140"/>
      <c r="G96" s="145" t="str">
        <f>+'SV-01'!$G$96</f>
        <v>Firma</v>
      </c>
      <c r="H96" s="145"/>
      <c r="I96" s="145"/>
      <c r="J96" s="145"/>
      <c r="K96" s="140"/>
      <c r="L96" s="140"/>
      <c r="M96" s="140"/>
      <c r="N96" s="147"/>
    </row>
    <row r="97" spans="2:14" ht="13.5">
      <c r="B97" s="192"/>
      <c r="C97" s="193"/>
      <c r="D97" s="193"/>
      <c r="E97" s="193"/>
      <c r="F97" s="193"/>
      <c r="G97" s="145" t="str">
        <f>+'SV-01'!$G$97</f>
        <v>Nombre:</v>
      </c>
      <c r="H97" s="193"/>
      <c r="I97" s="193"/>
      <c r="J97" s="193"/>
      <c r="K97" s="193"/>
      <c r="L97" s="193"/>
      <c r="M97" s="193"/>
      <c r="N97" s="194"/>
    </row>
    <row r="98" spans="2:14" ht="13.5">
      <c r="B98" s="192"/>
      <c r="C98" s="193"/>
      <c r="D98" s="193"/>
      <c r="E98" s="193"/>
      <c r="F98" s="193"/>
      <c r="G98" s="145" t="str">
        <f>+'SV-01'!$G$98</f>
        <v>Representante Legal del Contratista o su Apoderado</v>
      </c>
      <c r="J98" s="193"/>
      <c r="K98" s="193"/>
      <c r="L98" s="193"/>
      <c r="M98" s="193"/>
      <c r="N98" s="194"/>
    </row>
    <row r="99" spans="2:14">
      <c r="B99" s="123"/>
      <c r="C99" s="155"/>
      <c r="D99" s="155"/>
      <c r="E99" s="155"/>
      <c r="F99" s="155"/>
      <c r="G99" s="145" t="str">
        <f>+'SV-01'!$G$99</f>
        <v>Matricula No. :</v>
      </c>
      <c r="H99" s="155"/>
      <c r="I99" s="155"/>
      <c r="J99" s="155"/>
      <c r="K99" s="155"/>
      <c r="L99" s="155"/>
      <c r="M99" s="155"/>
      <c r="N99" s="153"/>
    </row>
    <row r="100" spans="2:14">
      <c r="B100" s="159"/>
      <c r="C100" s="140"/>
      <c r="D100" s="140"/>
      <c r="E100" s="140"/>
      <c r="F100" s="140"/>
      <c r="G100" s="140" t="s">
        <v>206</v>
      </c>
      <c r="H100" s="140"/>
      <c r="I100" s="140"/>
      <c r="J100" s="140"/>
      <c r="K100" s="140"/>
      <c r="L100" s="140"/>
      <c r="M100" s="140"/>
      <c r="N100" s="147"/>
    </row>
    <row r="101" spans="2:14" ht="13.5">
      <c r="B101" s="165" t="str">
        <f>+'SV-01'!$B$101</f>
        <v>OBSERVACIONES INTERVENTORÍA</v>
      </c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7"/>
    </row>
    <row r="102" spans="2:14">
      <c r="B102" s="544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6"/>
    </row>
    <row r="103" spans="2:14">
      <c r="B103" s="547"/>
      <c r="C103" s="548"/>
      <c r="D103" s="548"/>
      <c r="E103" s="548"/>
      <c r="F103" s="548"/>
      <c r="G103" s="548"/>
      <c r="H103" s="548"/>
      <c r="I103" s="548"/>
      <c r="J103" s="548"/>
      <c r="K103" s="548"/>
      <c r="L103" s="548"/>
      <c r="M103" s="548"/>
      <c r="N103" s="549"/>
    </row>
    <row r="104" spans="2:14">
      <c r="B104" s="123"/>
      <c r="C104" s="155"/>
      <c r="D104" s="155"/>
      <c r="E104" s="155"/>
      <c r="F104" s="155"/>
      <c r="G104" s="155"/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5" t="str">
        <f>+'SV-01'!$G$105</f>
        <v>Firma</v>
      </c>
      <c r="H105" s="140"/>
      <c r="I105" s="140"/>
      <c r="J105" s="14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40" t="str">
        <f>+'SV-01'!$G$106</f>
        <v>Nombre:</v>
      </c>
      <c r="H106" s="160"/>
      <c r="I106" s="160"/>
      <c r="J106" s="160"/>
      <c r="K106" s="140"/>
      <c r="L106" s="140"/>
      <c r="M106" s="140"/>
      <c r="N106" s="147"/>
    </row>
    <row r="107" spans="2:14">
      <c r="B107" s="159"/>
      <c r="C107" s="140"/>
      <c r="D107" s="140"/>
      <c r="E107" s="140"/>
      <c r="F107" s="140"/>
      <c r="G107" s="140" t="str">
        <f>+'SV-01'!$G$107</f>
        <v>Representante Legal del Interventor o su Apoderado</v>
      </c>
      <c r="H107" s="154"/>
      <c r="I107" s="154"/>
      <c r="J107" s="154"/>
      <c r="M107" s="140"/>
      <c r="N107" s="147"/>
    </row>
    <row r="108" spans="2:14">
      <c r="B108" s="196"/>
      <c r="C108" s="155"/>
      <c r="D108" s="155"/>
      <c r="E108" s="155"/>
      <c r="F108" s="155"/>
      <c r="G108" s="140" t="str">
        <f>+'SV-01'!$G$108</f>
        <v>Matricula No. :</v>
      </c>
      <c r="K108" s="155"/>
      <c r="L108" s="155"/>
      <c r="M108" s="155"/>
      <c r="N108" s="153"/>
    </row>
    <row r="109" spans="2:14" ht="12.75" customHeight="1">
      <c r="B109" s="199" t="str">
        <f>+'SV-01'!$B$109</f>
        <v xml:space="preserve">Original: Archivo de Gestión Contractual ( Subdirecciòn Administrativa) 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2.75" customHeight="1">
      <c r="B110" s="199" t="str">
        <f>+'SV-01'!$B$110</f>
        <v>Copias : Unidad Ejecutora,  Contratista, Interventor y Dirección Territorial.</v>
      </c>
      <c r="C110" s="197"/>
      <c r="D110" s="197"/>
      <c r="E110" s="140"/>
      <c r="F110" s="140"/>
      <c r="G110" s="140"/>
      <c r="H110" s="140"/>
      <c r="I110" s="140"/>
      <c r="J110" s="515"/>
      <c r="K110" s="515"/>
      <c r="L110" s="515"/>
      <c r="M110" s="515"/>
      <c r="N110" s="516"/>
    </row>
    <row r="111" spans="2:14" ht="13.5" customHeight="1" thickBot="1">
      <c r="B111" s="519"/>
      <c r="C111" s="520"/>
      <c r="D111" s="520"/>
      <c r="E111" s="161"/>
      <c r="F111" s="161"/>
      <c r="G111" s="161"/>
      <c r="H111" s="161"/>
      <c r="I111" s="161"/>
      <c r="J111" s="517"/>
      <c r="K111" s="517"/>
      <c r="L111" s="517"/>
      <c r="M111" s="517"/>
      <c r="N111" s="518"/>
    </row>
  </sheetData>
  <mergeCells count="122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3:M33"/>
    <mergeCell ref="I37:J37"/>
    <mergeCell ref="L37:M37"/>
    <mergeCell ref="C33:K33"/>
    <mergeCell ref="B34:N36"/>
    <mergeCell ref="B37:H3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I38:J38"/>
    <mergeCell ref="L38:M38"/>
    <mergeCell ref="L44:M44"/>
    <mergeCell ref="I45:J45"/>
    <mergeCell ref="L45:M45"/>
    <mergeCell ref="B38:H38"/>
    <mergeCell ref="B39:H39"/>
    <mergeCell ref="B40:H40"/>
    <mergeCell ref="B43:H43"/>
    <mergeCell ref="B44:H44"/>
    <mergeCell ref="B45:H45"/>
    <mergeCell ref="I39:J39"/>
    <mergeCell ref="I40:J40"/>
    <mergeCell ref="I43:J43"/>
    <mergeCell ref="I44:J44"/>
    <mergeCell ref="L39:M39"/>
    <mergeCell ref="L40:M40"/>
    <mergeCell ref="B41:H41"/>
    <mergeCell ref="B42:H42"/>
    <mergeCell ref="I41:J41"/>
    <mergeCell ref="I42:J42"/>
    <mergeCell ref="L41:M41"/>
    <mergeCell ref="L42:M42"/>
    <mergeCell ref="B72:G72"/>
    <mergeCell ref="B73:G73"/>
    <mergeCell ref="B74:G74"/>
    <mergeCell ref="B66:H66"/>
    <mergeCell ref="L66:M66"/>
    <mergeCell ref="B46:M46"/>
    <mergeCell ref="B50:I50"/>
    <mergeCell ref="L50:M50"/>
    <mergeCell ref="B51:I51"/>
    <mergeCell ref="L51:M51"/>
    <mergeCell ref="B59:I59"/>
    <mergeCell ref="L59:M59"/>
    <mergeCell ref="B60:M60"/>
    <mergeCell ref="B64:H64"/>
    <mergeCell ref="L64:M64"/>
    <mergeCell ref="B65:H65"/>
    <mergeCell ref="L65:M65"/>
    <mergeCell ref="B47:N49"/>
    <mergeCell ref="B61:N63"/>
    <mergeCell ref="B57:I57"/>
    <mergeCell ref="B58:I58"/>
    <mergeCell ref="L52:M52"/>
    <mergeCell ref="L53:M53"/>
    <mergeCell ref="L54:M54"/>
    <mergeCell ref="B102:N102"/>
    <mergeCell ref="B103:N103"/>
    <mergeCell ref="J109:N111"/>
    <mergeCell ref="B111:D111"/>
    <mergeCell ref="L43:M43"/>
    <mergeCell ref="B87:H87"/>
    <mergeCell ref="L87:M87"/>
    <mergeCell ref="L88:M88"/>
    <mergeCell ref="L89:M89"/>
    <mergeCell ref="B90:M90"/>
    <mergeCell ref="B92:M92"/>
    <mergeCell ref="L79:M79"/>
    <mergeCell ref="B80:M80"/>
    <mergeCell ref="B82:M82"/>
    <mergeCell ref="B86:H86"/>
    <mergeCell ref="L86:M86"/>
    <mergeCell ref="B67:M67"/>
    <mergeCell ref="L71:M71"/>
    <mergeCell ref="L72:M72"/>
    <mergeCell ref="L77:M77"/>
    <mergeCell ref="L78:M78"/>
    <mergeCell ref="B68:N70"/>
    <mergeCell ref="B83:N85"/>
    <mergeCell ref="B71:G71"/>
    <mergeCell ref="L55:M55"/>
    <mergeCell ref="L56:M56"/>
    <mergeCell ref="L57:M57"/>
    <mergeCell ref="L58:M58"/>
    <mergeCell ref="B52:I52"/>
    <mergeCell ref="B53:I53"/>
    <mergeCell ref="B54:I54"/>
    <mergeCell ref="B55:I55"/>
    <mergeCell ref="B56:I56"/>
    <mergeCell ref="L73:M73"/>
    <mergeCell ref="L74:M74"/>
    <mergeCell ref="L75:M75"/>
    <mergeCell ref="L76:M76"/>
    <mergeCell ref="B75:G75"/>
    <mergeCell ref="B76:G76"/>
    <mergeCell ref="B77:G77"/>
    <mergeCell ref="B78:G78"/>
    <mergeCell ref="B79:G79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2"/>
  <dimension ref="A1:N101"/>
  <sheetViews>
    <sheetView showGridLines="0" view="pageBreakPreview" topLeftCell="A31" zoomScaleNormal="70" zoomScaleSheetLayoutView="100" workbookViewId="0">
      <selection activeCell="B64" sqref="B64:G64"/>
    </sheetView>
  </sheetViews>
  <sheetFormatPr baseColWidth="10" defaultRowHeight="12.75"/>
  <cols>
    <col min="1" max="1" width="3.140625" style="113" customWidth="1"/>
    <col min="2" max="4" width="11.42578125" style="113"/>
    <col min="5" max="5" width="11" style="113" customWidth="1"/>
    <col min="6" max="8" width="11.42578125" style="113"/>
    <col min="9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>
      <c r="B32" s="248" t="s">
        <v>6</v>
      </c>
      <c r="C32" s="570" t="s">
        <v>125</v>
      </c>
      <c r="D32" s="571"/>
      <c r="E32" s="571"/>
      <c r="F32" s="571"/>
      <c r="G32" s="571"/>
      <c r="H32" s="571"/>
      <c r="I32" s="571"/>
      <c r="J32" s="571"/>
      <c r="K32" s="572"/>
      <c r="L32" s="564" t="s">
        <v>16</v>
      </c>
      <c r="M32" s="565"/>
      <c r="N32" s="248" t="s">
        <v>101</v>
      </c>
    </row>
    <row r="33" spans="1:14" ht="13.5" thickBot="1">
      <c r="B33" s="249" t="e">
        <f>+'PRESUPUESTO OFICIAL'!#REF!</f>
        <v>#REF!</v>
      </c>
      <c r="C33" s="566" t="e">
        <f>+'PRESUPUESTO OFICIAL'!#REF!</f>
        <v>#REF!</v>
      </c>
      <c r="D33" s="573"/>
      <c r="E33" s="573"/>
      <c r="F33" s="573"/>
      <c r="G33" s="573"/>
      <c r="H33" s="573"/>
      <c r="I33" s="573"/>
      <c r="J33" s="573"/>
      <c r="K33" s="567"/>
      <c r="L33" s="566" t="e">
        <f>+'PRESUPUESTO OFICIAL'!#REF!</f>
        <v>#REF!</v>
      </c>
      <c r="M33" s="567"/>
      <c r="N33" s="258" t="e">
        <f>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372</v>
      </c>
      <c r="B38" s="550" t="str">
        <f>VLOOKUP(A38,Equipo!$A$4:$D$80,2,0)</f>
        <v>Camioneta D-300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39346</v>
      </c>
      <c r="L38" s="542">
        <v>100</v>
      </c>
      <c r="M38" s="543"/>
      <c r="N38" s="297">
        <f>+K38/L38</f>
        <v>393.46</v>
      </c>
    </row>
    <row r="39" spans="1:14">
      <c r="A39" s="113" t="s">
        <v>373</v>
      </c>
      <c r="B39" s="550" t="str">
        <f>VLOOKUP(A39,Equipo!$A$4:$D$80,2,0)</f>
        <v xml:space="preserve">Maquina térmica 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13282</v>
      </c>
      <c r="L39" s="542">
        <v>100</v>
      </c>
      <c r="M39" s="543"/>
      <c r="N39" s="297">
        <f>+K39/L39</f>
        <v>132.82</v>
      </c>
    </row>
    <row r="40" spans="1:14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620"/>
      <c r="J40" s="621"/>
      <c r="K40" s="315"/>
      <c r="L40" s="542"/>
      <c r="M40" s="543"/>
      <c r="N40" s="297">
        <v>3</v>
      </c>
    </row>
    <row r="41" spans="1:14" ht="13.5" thickBot="1">
      <c r="B41" s="550"/>
      <c r="C41" s="551"/>
      <c r="D41" s="551"/>
      <c r="E41" s="551"/>
      <c r="F41" s="551"/>
      <c r="G41" s="551"/>
      <c r="H41" s="552"/>
      <c r="I41" s="620"/>
      <c r="J41" s="621"/>
      <c r="K41" s="316"/>
      <c r="L41" s="647"/>
      <c r="M41" s="648"/>
      <c r="N41" s="297"/>
    </row>
    <row r="42" spans="1:14" ht="14.25" thickBot="1">
      <c r="B42" s="524" t="s">
        <v>469</v>
      </c>
      <c r="C42" s="525"/>
      <c r="D42" s="525"/>
      <c r="E42" s="525"/>
      <c r="F42" s="525"/>
      <c r="G42" s="525"/>
      <c r="H42" s="525"/>
      <c r="I42" s="525"/>
      <c r="J42" s="525"/>
      <c r="K42" s="525"/>
      <c r="L42" s="525"/>
      <c r="M42" s="526"/>
      <c r="N42" s="204">
        <f>SUM(N38:N41)</f>
        <v>529.28</v>
      </c>
    </row>
    <row r="43" spans="1:14" ht="13.5" customHeight="1">
      <c r="B43" s="574" t="s">
        <v>138</v>
      </c>
      <c r="C43" s="575"/>
      <c r="D43" s="575"/>
      <c r="E43" s="575"/>
      <c r="F43" s="575"/>
      <c r="G43" s="575"/>
      <c r="H43" s="575"/>
      <c r="I43" s="575"/>
      <c r="J43" s="575"/>
      <c r="K43" s="575"/>
      <c r="L43" s="575"/>
      <c r="M43" s="575"/>
      <c r="N43" s="576"/>
    </row>
    <row r="44" spans="1:14">
      <c r="B44" s="577"/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9"/>
    </row>
    <row r="45" spans="1:14" ht="13.5" thickBot="1">
      <c r="B45" s="580"/>
      <c r="C45" s="581"/>
      <c r="D45" s="581"/>
      <c r="E45" s="581"/>
      <c r="F45" s="581"/>
      <c r="G45" s="581"/>
      <c r="H45" s="581"/>
      <c r="I45" s="581"/>
      <c r="J45" s="581"/>
      <c r="K45" s="581"/>
      <c r="L45" s="581"/>
      <c r="M45" s="581"/>
      <c r="N45" s="582"/>
    </row>
    <row r="46" spans="1:14" ht="13.5">
      <c r="B46" s="536" t="s">
        <v>125</v>
      </c>
      <c r="C46" s="537"/>
      <c r="D46" s="537"/>
      <c r="E46" s="537"/>
      <c r="F46" s="537"/>
      <c r="G46" s="537"/>
      <c r="H46" s="537"/>
      <c r="I46" s="539"/>
      <c r="J46" s="239" t="s">
        <v>16</v>
      </c>
      <c r="K46" s="237" t="s">
        <v>101</v>
      </c>
      <c r="L46" s="538" t="s">
        <v>139</v>
      </c>
      <c r="M46" s="539"/>
      <c r="N46" s="238" t="s">
        <v>140</v>
      </c>
    </row>
    <row r="47" spans="1:14">
      <c r="A47" s="113" t="s">
        <v>356</v>
      </c>
      <c r="B47" s="540" t="str">
        <f>VLOOKUP(A47,Materiales!$A$4:$D$141,2,0)</f>
        <v>TACHA REFLECTIVA</v>
      </c>
      <c r="C47" s="541"/>
      <c r="D47" s="541"/>
      <c r="E47" s="541"/>
      <c r="F47" s="541"/>
      <c r="G47" s="541"/>
      <c r="H47" s="541"/>
      <c r="I47" s="621"/>
      <c r="J47" s="168" t="str">
        <f>VLOOKUP(A47,Materiales!$A$4:$D$141,3,0)</f>
        <v>UND</v>
      </c>
      <c r="K47" s="169">
        <v>1</v>
      </c>
      <c r="L47" s="522">
        <f>VLOOKUP(A47,Materiales!$A$4:$D$141,4,0)</f>
        <v>4300</v>
      </c>
      <c r="M47" s="523"/>
      <c r="N47" s="297">
        <f>+L47*K47</f>
        <v>4300</v>
      </c>
    </row>
    <row r="48" spans="1:14">
      <c r="A48" s="113" t="s">
        <v>357</v>
      </c>
      <c r="B48" s="540" t="str">
        <f>VLOOKUP(A48,Materiales!$A$4:$D$141,2,0)</f>
        <v>PEGANTE EPOXICO</v>
      </c>
      <c r="C48" s="541"/>
      <c r="D48" s="541"/>
      <c r="E48" s="541"/>
      <c r="F48" s="541"/>
      <c r="G48" s="541"/>
      <c r="H48" s="541"/>
      <c r="I48" s="621"/>
      <c r="J48" s="314" t="str">
        <f>VLOOKUP(A48,Materiales!$A$4:$D$141,3,0)</f>
        <v>KG</v>
      </c>
      <c r="K48" s="271">
        <v>0.04</v>
      </c>
      <c r="L48" s="522">
        <f>VLOOKUP(A48,Materiales!$A$4:$D$141,4,0)</f>
        <v>22090</v>
      </c>
      <c r="M48" s="523"/>
      <c r="N48" s="297">
        <f>+L48*K48</f>
        <v>883.6</v>
      </c>
    </row>
    <row r="49" spans="1:14">
      <c r="B49" s="540"/>
      <c r="C49" s="541"/>
      <c r="D49" s="541"/>
      <c r="E49" s="541"/>
      <c r="F49" s="541"/>
      <c r="G49" s="541"/>
      <c r="H49" s="541"/>
      <c r="I49" s="621"/>
      <c r="J49" s="313"/>
      <c r="K49" s="271"/>
      <c r="L49" s="339"/>
      <c r="M49" s="340"/>
      <c r="N49" s="317"/>
    </row>
    <row r="50" spans="1:14">
      <c r="B50" s="540"/>
      <c r="C50" s="541"/>
      <c r="D50" s="541"/>
      <c r="E50" s="541"/>
      <c r="F50" s="541"/>
      <c r="G50" s="541"/>
      <c r="H50" s="541"/>
      <c r="I50" s="621"/>
      <c r="J50" s="313"/>
      <c r="K50" s="271"/>
      <c r="L50" s="339"/>
      <c r="M50" s="340"/>
      <c r="N50" s="317"/>
    </row>
    <row r="51" spans="1:14" ht="13.5" thickBot="1">
      <c r="B51" s="540"/>
      <c r="C51" s="541"/>
      <c r="D51" s="541"/>
      <c r="E51" s="541"/>
      <c r="F51" s="541"/>
      <c r="G51" s="541"/>
      <c r="H51" s="541"/>
      <c r="I51" s="621"/>
      <c r="J51" s="160"/>
      <c r="K51" s="170"/>
      <c r="L51" s="645"/>
      <c r="M51" s="646"/>
      <c r="N51" s="318"/>
    </row>
    <row r="52" spans="1:14" ht="14.25" thickBot="1">
      <c r="B52" s="524" t="s">
        <v>469</v>
      </c>
      <c r="C52" s="525"/>
      <c r="D52" s="525"/>
      <c r="E52" s="525"/>
      <c r="F52" s="525"/>
      <c r="G52" s="525"/>
      <c r="H52" s="525"/>
      <c r="I52" s="525"/>
      <c r="J52" s="525"/>
      <c r="K52" s="525"/>
      <c r="L52" s="525"/>
      <c r="M52" s="526"/>
      <c r="N52" s="319">
        <f>SUM(N47:N51)</f>
        <v>5183.6000000000004</v>
      </c>
    </row>
    <row r="53" spans="1:14">
      <c r="B53" s="574" t="s">
        <v>89</v>
      </c>
      <c r="C53" s="575"/>
      <c r="D53" s="575"/>
      <c r="E53" s="575"/>
      <c r="F53" s="575"/>
      <c r="G53" s="575"/>
      <c r="H53" s="575"/>
      <c r="I53" s="575"/>
      <c r="J53" s="575"/>
      <c r="K53" s="575"/>
      <c r="L53" s="575"/>
      <c r="M53" s="575"/>
      <c r="N53" s="576"/>
    </row>
    <row r="54" spans="1:14">
      <c r="B54" s="577"/>
      <c r="C54" s="578"/>
      <c r="D54" s="578"/>
      <c r="E54" s="578"/>
      <c r="F54" s="578"/>
      <c r="G54" s="578"/>
      <c r="H54" s="578"/>
      <c r="I54" s="578"/>
      <c r="J54" s="578"/>
      <c r="K54" s="578"/>
      <c r="L54" s="578"/>
      <c r="M54" s="578"/>
      <c r="N54" s="579"/>
    </row>
    <row r="55" spans="1:14" ht="13.5" thickBot="1">
      <c r="B55" s="580"/>
      <c r="C55" s="581"/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2"/>
    </row>
    <row r="56" spans="1:14" ht="13.5">
      <c r="B56" s="536" t="s">
        <v>141</v>
      </c>
      <c r="C56" s="537"/>
      <c r="D56" s="537"/>
      <c r="E56" s="537"/>
      <c r="F56" s="537"/>
      <c r="G56" s="537"/>
      <c r="H56" s="537"/>
      <c r="I56" s="237" t="s">
        <v>142</v>
      </c>
      <c r="J56" s="240" t="s">
        <v>143</v>
      </c>
      <c r="K56" s="241" t="s">
        <v>248</v>
      </c>
      <c r="L56" s="538" t="s">
        <v>17</v>
      </c>
      <c r="M56" s="539"/>
      <c r="N56" s="238" t="s">
        <v>140</v>
      </c>
    </row>
    <row r="57" spans="1:14">
      <c r="B57" s="540"/>
      <c r="C57" s="541"/>
      <c r="D57" s="541"/>
      <c r="E57" s="541"/>
      <c r="F57" s="541"/>
      <c r="G57" s="541"/>
      <c r="H57" s="541"/>
      <c r="I57" s="205"/>
      <c r="J57" s="209"/>
      <c r="K57" s="205"/>
      <c r="L57" s="637"/>
      <c r="M57" s="638"/>
      <c r="N57" s="163">
        <f>+L57*K57</f>
        <v>0</v>
      </c>
    </row>
    <row r="58" spans="1:14" ht="13.5" thickBot="1">
      <c r="B58" s="624"/>
      <c r="C58" s="625"/>
      <c r="D58" s="625"/>
      <c r="E58" s="625"/>
      <c r="F58" s="625"/>
      <c r="G58" s="625"/>
      <c r="H58" s="625"/>
      <c r="I58" s="173"/>
      <c r="J58" s="161"/>
      <c r="K58" s="173"/>
      <c r="L58" s="534"/>
      <c r="M58" s="535"/>
      <c r="N58" s="210"/>
    </row>
    <row r="59" spans="1:14" ht="14.25" thickBot="1">
      <c r="B59" s="524" t="s">
        <v>469</v>
      </c>
      <c r="C59" s="525"/>
      <c r="D59" s="525"/>
      <c r="E59" s="525"/>
      <c r="F59" s="525"/>
      <c r="G59" s="525"/>
      <c r="H59" s="525"/>
      <c r="I59" s="525"/>
      <c r="J59" s="525"/>
      <c r="K59" s="525"/>
      <c r="L59" s="525"/>
      <c r="M59" s="526"/>
      <c r="N59" s="164">
        <f>SUM(N57:N58)</f>
        <v>0</v>
      </c>
    </row>
    <row r="60" spans="1:14">
      <c r="B60" s="574" t="s">
        <v>90</v>
      </c>
      <c r="C60" s="575"/>
      <c r="D60" s="575"/>
      <c r="E60" s="575"/>
      <c r="F60" s="575"/>
      <c r="G60" s="575"/>
      <c r="H60" s="575"/>
      <c r="I60" s="575"/>
      <c r="J60" s="575"/>
      <c r="K60" s="575"/>
      <c r="L60" s="575"/>
      <c r="M60" s="575"/>
      <c r="N60" s="576"/>
    </row>
    <row r="61" spans="1:14">
      <c r="B61" s="577"/>
      <c r="C61" s="578"/>
      <c r="D61" s="578"/>
      <c r="E61" s="578"/>
      <c r="F61" s="578"/>
      <c r="G61" s="578"/>
      <c r="H61" s="578"/>
      <c r="I61" s="578"/>
      <c r="J61" s="578"/>
      <c r="K61" s="578"/>
      <c r="L61" s="578"/>
      <c r="M61" s="578"/>
      <c r="N61" s="579"/>
    </row>
    <row r="62" spans="1:14" ht="13.5" thickBot="1">
      <c r="B62" s="580"/>
      <c r="C62" s="581"/>
      <c r="D62" s="581"/>
      <c r="E62" s="581"/>
      <c r="F62" s="581"/>
      <c r="G62" s="581"/>
      <c r="H62" s="581"/>
      <c r="I62" s="581"/>
      <c r="J62" s="581"/>
      <c r="K62" s="581"/>
      <c r="L62" s="581"/>
      <c r="M62" s="581"/>
      <c r="N62" s="582"/>
    </row>
    <row r="63" spans="1:14" ht="13.5">
      <c r="B63" s="536" t="s">
        <v>144</v>
      </c>
      <c r="C63" s="537"/>
      <c r="D63" s="537"/>
      <c r="E63" s="537"/>
      <c r="F63" s="537"/>
      <c r="G63" s="537"/>
      <c r="H63" s="237" t="s">
        <v>101</v>
      </c>
      <c r="I63" s="237" t="s">
        <v>145</v>
      </c>
      <c r="J63" s="242" t="s">
        <v>84</v>
      </c>
      <c r="K63" s="243" t="s">
        <v>146</v>
      </c>
      <c r="L63" s="527" t="s">
        <v>136</v>
      </c>
      <c r="M63" s="528"/>
      <c r="N63" s="244" t="s">
        <v>140</v>
      </c>
    </row>
    <row r="64" spans="1:14">
      <c r="A64" s="113" t="s">
        <v>446</v>
      </c>
      <c r="B64" s="550" t="str">
        <f>VLOOKUP(A64,'Mano de Obra'!$A$4:$E$80,2,0)</f>
        <v>AYUDANTE</v>
      </c>
      <c r="C64" s="551"/>
      <c r="D64" s="551"/>
      <c r="E64" s="551"/>
      <c r="F64" s="551"/>
      <c r="G64" s="552"/>
      <c r="H64" s="176">
        <v>2</v>
      </c>
      <c r="I64" s="302">
        <f>VLOOKUP(A64,'Mano de Obra'!$A$4:$E$80,3,0)</f>
        <v>28000</v>
      </c>
      <c r="J64" s="176">
        <f>VLOOKUP(A64,'Mano de Obra'!$A$4:$E$80,4,0)</f>
        <v>1.85</v>
      </c>
      <c r="K64" s="307">
        <f>+H64*I64*J64</f>
        <v>103600</v>
      </c>
      <c r="L64" s="529">
        <v>800</v>
      </c>
      <c r="M64" s="530"/>
      <c r="N64" s="326">
        <f>+K64/L64</f>
        <v>129.5</v>
      </c>
    </row>
    <row r="65" spans="1:14">
      <c r="A65" s="113" t="s">
        <v>479</v>
      </c>
      <c r="B65" s="550" t="str">
        <f>VLOOKUP(A65,'Mano de Obra'!$A$4:$E$80,2,0)</f>
        <v>OPERADOR DE EQUIPO</v>
      </c>
      <c r="C65" s="551"/>
      <c r="D65" s="551"/>
      <c r="E65" s="551"/>
      <c r="F65" s="551"/>
      <c r="G65" s="552"/>
      <c r="H65" s="176">
        <v>1</v>
      </c>
      <c r="I65" s="302">
        <f>VLOOKUP(A65,'Mano de Obra'!$A$4:$E$80,3,0)</f>
        <v>72000</v>
      </c>
      <c r="J65" s="176">
        <f>VLOOKUP(A65,'Mano de Obra'!$A$4:$E$80,4,0)</f>
        <v>1.85</v>
      </c>
      <c r="K65" s="307">
        <f>+H65*I65*J65</f>
        <v>133200</v>
      </c>
      <c r="L65" s="529">
        <v>800</v>
      </c>
      <c r="M65" s="530"/>
      <c r="N65" s="326">
        <f>+K65/L65</f>
        <v>166.5</v>
      </c>
    </row>
    <row r="66" spans="1:14">
      <c r="B66" s="547"/>
      <c r="C66" s="548"/>
      <c r="D66" s="548"/>
      <c r="E66" s="548"/>
      <c r="F66" s="548"/>
      <c r="G66" s="548"/>
      <c r="H66" s="176"/>
      <c r="I66" s="302"/>
      <c r="J66" s="177"/>
      <c r="K66" s="307"/>
      <c r="L66" s="529"/>
      <c r="M66" s="530"/>
      <c r="N66" s="326"/>
    </row>
    <row r="67" spans="1:14">
      <c r="B67" s="547"/>
      <c r="C67" s="548"/>
      <c r="D67" s="548"/>
      <c r="E67" s="548"/>
      <c r="F67" s="548"/>
      <c r="G67" s="548"/>
      <c r="H67" s="176"/>
      <c r="I67" s="302"/>
      <c r="J67" s="177"/>
      <c r="K67" s="307"/>
      <c r="L67" s="529"/>
      <c r="M67" s="530"/>
      <c r="N67" s="326"/>
    </row>
    <row r="68" spans="1:14">
      <c r="B68" s="547"/>
      <c r="C68" s="548"/>
      <c r="D68" s="548"/>
      <c r="E68" s="548"/>
      <c r="F68" s="548"/>
      <c r="G68" s="548"/>
      <c r="H68" s="176"/>
      <c r="I68" s="302"/>
      <c r="J68" s="177"/>
      <c r="K68" s="307"/>
      <c r="L68" s="529"/>
      <c r="M68" s="530"/>
      <c r="N68" s="326"/>
    </row>
    <row r="69" spans="1:14" ht="13.5" thickBot="1">
      <c r="B69" s="649"/>
      <c r="C69" s="650"/>
      <c r="D69" s="650"/>
      <c r="E69" s="650"/>
      <c r="F69" s="650"/>
      <c r="G69" s="650"/>
      <c r="H69" s="173"/>
      <c r="I69" s="309"/>
      <c r="J69" s="341"/>
      <c r="K69" s="309"/>
      <c r="L69" s="529"/>
      <c r="M69" s="530"/>
      <c r="N69" s="327"/>
    </row>
    <row r="70" spans="1:14" ht="14.25" thickBot="1">
      <c r="B70" s="524" t="s">
        <v>469</v>
      </c>
      <c r="C70" s="525"/>
      <c r="D70" s="525"/>
      <c r="E70" s="525"/>
      <c r="F70" s="525"/>
      <c r="G70" s="525"/>
      <c r="H70" s="525"/>
      <c r="I70" s="525"/>
      <c r="J70" s="525"/>
      <c r="K70" s="525"/>
      <c r="L70" s="525"/>
      <c r="M70" s="526"/>
      <c r="N70" s="319">
        <f>SUM(N64:N69)</f>
        <v>296</v>
      </c>
    </row>
    <row r="71" spans="1:14" ht="13.5" thickBot="1">
      <c r="B71" s="159"/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7"/>
    </row>
    <row r="72" spans="1:14" ht="13.5" thickBot="1">
      <c r="B72" s="531" t="s">
        <v>470</v>
      </c>
      <c r="C72" s="532"/>
      <c r="D72" s="532"/>
      <c r="E72" s="532"/>
      <c r="F72" s="532"/>
      <c r="G72" s="532"/>
      <c r="H72" s="532"/>
      <c r="I72" s="532"/>
      <c r="J72" s="532"/>
      <c r="K72" s="532"/>
      <c r="L72" s="532"/>
      <c r="M72" s="533"/>
      <c r="N72" s="245">
        <f>+N70+N59+N52+N42</f>
        <v>6008.88</v>
      </c>
    </row>
    <row r="73" spans="1:14">
      <c r="B73" s="574" t="s">
        <v>91</v>
      </c>
      <c r="C73" s="575"/>
      <c r="D73" s="575"/>
      <c r="E73" s="575"/>
      <c r="F73" s="575"/>
      <c r="G73" s="575"/>
      <c r="H73" s="575"/>
      <c r="I73" s="575"/>
      <c r="J73" s="575"/>
      <c r="K73" s="575"/>
      <c r="L73" s="575"/>
      <c r="M73" s="575"/>
      <c r="N73" s="576"/>
    </row>
    <row r="74" spans="1:14">
      <c r="B74" s="577"/>
      <c r="C74" s="578"/>
      <c r="D74" s="578"/>
      <c r="E74" s="578"/>
      <c r="F74" s="578"/>
      <c r="G74" s="578"/>
      <c r="H74" s="578"/>
      <c r="I74" s="578"/>
      <c r="J74" s="578"/>
      <c r="K74" s="578"/>
      <c r="L74" s="578"/>
      <c r="M74" s="578"/>
      <c r="N74" s="579"/>
    </row>
    <row r="75" spans="1:14" ht="13.5" thickBot="1">
      <c r="B75" s="580"/>
      <c r="C75" s="581"/>
      <c r="D75" s="581"/>
      <c r="E75" s="581"/>
      <c r="F75" s="581"/>
      <c r="G75" s="581"/>
      <c r="H75" s="581"/>
      <c r="I75" s="581"/>
      <c r="J75" s="581"/>
      <c r="K75" s="581"/>
      <c r="L75" s="581"/>
      <c r="M75" s="581"/>
      <c r="N75" s="582"/>
    </row>
    <row r="76" spans="1:14" ht="13.5">
      <c r="B76" s="536" t="s">
        <v>88</v>
      </c>
      <c r="C76" s="537"/>
      <c r="D76" s="537"/>
      <c r="E76" s="537"/>
      <c r="F76" s="537"/>
      <c r="G76" s="537"/>
      <c r="H76" s="537"/>
      <c r="I76" s="240"/>
      <c r="J76" s="246"/>
      <c r="K76" s="243" t="s">
        <v>92</v>
      </c>
      <c r="L76" s="527" t="s">
        <v>93</v>
      </c>
      <c r="M76" s="528"/>
      <c r="N76" s="244"/>
    </row>
    <row r="77" spans="1:14">
      <c r="B77" s="540" t="s">
        <v>82</v>
      </c>
      <c r="C77" s="541"/>
      <c r="D77" s="541"/>
      <c r="E77" s="541"/>
      <c r="F77" s="541"/>
      <c r="G77" s="541"/>
      <c r="H77" s="541"/>
      <c r="I77" s="182"/>
      <c r="J77" s="183"/>
      <c r="K77" s="251">
        <v>0.2</v>
      </c>
      <c r="L77" s="522">
        <f>+N72*K77</f>
        <v>1201.7760000000001</v>
      </c>
      <c r="M77" s="523"/>
      <c r="N77" s="184"/>
    </row>
    <row r="78" spans="1:14">
      <c r="B78" s="185" t="s">
        <v>94</v>
      </c>
      <c r="C78" s="186"/>
      <c r="D78" s="186"/>
      <c r="E78" s="186"/>
      <c r="F78" s="186"/>
      <c r="G78" s="186"/>
      <c r="H78" s="186"/>
      <c r="I78" s="182"/>
      <c r="J78" s="183"/>
      <c r="K78" s="251">
        <v>0.05</v>
      </c>
      <c r="L78" s="522">
        <f>+N72*K78</f>
        <v>300.44400000000002</v>
      </c>
      <c r="M78" s="523"/>
      <c r="N78" s="184"/>
    </row>
    <row r="79" spans="1:14" ht="13.5" thickBot="1">
      <c r="B79" s="187" t="s">
        <v>83</v>
      </c>
      <c r="C79" s="188"/>
      <c r="D79" s="188"/>
      <c r="E79" s="188"/>
      <c r="F79" s="188"/>
      <c r="G79" s="188"/>
      <c r="H79" s="188"/>
      <c r="I79" s="189"/>
      <c r="J79" s="190"/>
      <c r="K79" s="251">
        <v>0.05</v>
      </c>
      <c r="L79" s="627">
        <f>+N72*K79</f>
        <v>300.44400000000002</v>
      </c>
      <c r="M79" s="628"/>
      <c r="N79" s="184"/>
    </row>
    <row r="80" spans="1:14" ht="14.25" thickBot="1">
      <c r="B80" s="524" t="s">
        <v>469</v>
      </c>
      <c r="C80" s="525"/>
      <c r="D80" s="525"/>
      <c r="E80" s="525"/>
      <c r="F80" s="525"/>
      <c r="G80" s="525"/>
      <c r="H80" s="525"/>
      <c r="I80" s="525"/>
      <c r="J80" s="525"/>
      <c r="K80" s="525"/>
      <c r="L80" s="525"/>
      <c r="M80" s="526"/>
      <c r="N80" s="204">
        <f>SUM(L77:M79)</f>
        <v>1802.664</v>
      </c>
    </row>
    <row r="81" spans="2:14" ht="13.5" thickBot="1">
      <c r="B81" s="159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7"/>
    </row>
    <row r="82" spans="2:14" ht="13.5" thickBot="1">
      <c r="B82" s="531" t="s">
        <v>471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3"/>
      <c r="N82" s="247">
        <f>ROUND(N72+N80,0)</f>
        <v>7812</v>
      </c>
    </row>
    <row r="83" spans="2:14">
      <c r="B83" s="138"/>
      <c r="C83" s="139"/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41"/>
    </row>
    <row r="84" spans="2:14">
      <c r="B84" s="15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7"/>
    </row>
    <row r="85" spans="2:14">
      <c r="B85" s="159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7"/>
    </row>
    <row r="86" spans="2:14">
      <c r="B86" s="159"/>
      <c r="C86" s="140"/>
      <c r="D86" s="140"/>
      <c r="E86" s="140"/>
      <c r="F86" s="140"/>
      <c r="G86" s="145" t="str">
        <f>+'SV-01'!$G$96</f>
        <v>Firma</v>
      </c>
      <c r="H86" s="145"/>
      <c r="I86" s="145"/>
      <c r="J86" s="145"/>
      <c r="K86" s="140"/>
      <c r="L86" s="140"/>
      <c r="M86" s="140"/>
      <c r="N86" s="147"/>
    </row>
    <row r="87" spans="2:14" ht="13.5">
      <c r="B87" s="192"/>
      <c r="C87" s="193"/>
      <c r="D87" s="193"/>
      <c r="E87" s="193"/>
      <c r="F87" s="193"/>
      <c r="G87" s="145" t="str">
        <f>+'SV-01'!$G$97</f>
        <v>Nombre:</v>
      </c>
      <c r="H87" s="193"/>
      <c r="I87" s="193"/>
      <c r="J87" s="193"/>
      <c r="K87" s="193"/>
      <c r="L87" s="193"/>
      <c r="M87" s="193"/>
      <c r="N87" s="194"/>
    </row>
    <row r="88" spans="2:14" ht="13.5">
      <c r="B88" s="192"/>
      <c r="C88" s="193"/>
      <c r="D88" s="193"/>
      <c r="E88" s="193"/>
      <c r="F88" s="193"/>
      <c r="G88" s="145" t="str">
        <f>+'SV-01'!$G$98</f>
        <v>Representante Legal del Contratista o su Apoderado</v>
      </c>
      <c r="J88" s="193"/>
      <c r="K88" s="193"/>
      <c r="L88" s="193"/>
      <c r="M88" s="193"/>
      <c r="N88" s="194"/>
    </row>
    <row r="89" spans="2:14">
      <c r="B89" s="123"/>
      <c r="C89" s="155"/>
      <c r="D89" s="155"/>
      <c r="E89" s="155"/>
      <c r="F89" s="155"/>
      <c r="G89" s="145" t="str">
        <f>+'SV-01'!$G$99</f>
        <v>Matricula No. :</v>
      </c>
      <c r="H89" s="155"/>
      <c r="I89" s="155"/>
      <c r="J89" s="155"/>
      <c r="K89" s="155"/>
      <c r="L89" s="155"/>
      <c r="M89" s="155"/>
      <c r="N89" s="153"/>
    </row>
    <row r="90" spans="2:14">
      <c r="B90" s="159"/>
      <c r="C90" s="140"/>
      <c r="D90" s="140"/>
      <c r="E90" s="140"/>
      <c r="F90" s="140"/>
      <c r="G90" s="140" t="s">
        <v>206</v>
      </c>
      <c r="H90" s="140"/>
      <c r="I90" s="140"/>
      <c r="J90" s="140"/>
      <c r="K90" s="140"/>
      <c r="L90" s="140"/>
      <c r="M90" s="140"/>
      <c r="N90" s="147"/>
    </row>
    <row r="91" spans="2:14" ht="13.5">
      <c r="B91" s="165" t="str">
        <f>+'SV-01'!$B$101</f>
        <v>OBSERVACIONES INTERVENTORÍA</v>
      </c>
      <c r="C91" s="166"/>
      <c r="D91" s="166"/>
      <c r="E91" s="166"/>
      <c r="F91" s="166"/>
      <c r="G91" s="166"/>
      <c r="H91" s="166"/>
      <c r="I91" s="166"/>
      <c r="J91" s="166"/>
      <c r="K91" s="166"/>
      <c r="L91" s="166"/>
      <c r="M91" s="166"/>
      <c r="N91" s="167"/>
    </row>
    <row r="92" spans="2:14">
      <c r="B92" s="544"/>
      <c r="C92" s="545"/>
      <c r="D92" s="545"/>
      <c r="E92" s="545"/>
      <c r="F92" s="545"/>
      <c r="G92" s="545"/>
      <c r="H92" s="545"/>
      <c r="I92" s="545"/>
      <c r="J92" s="545"/>
      <c r="K92" s="545"/>
      <c r="L92" s="545"/>
      <c r="M92" s="545"/>
      <c r="N92" s="546"/>
    </row>
    <row r="93" spans="2:14">
      <c r="B93" s="547"/>
      <c r="C93" s="548"/>
      <c r="D93" s="548"/>
      <c r="E93" s="548"/>
      <c r="F93" s="548"/>
      <c r="G93" s="548"/>
      <c r="H93" s="548"/>
      <c r="I93" s="548"/>
      <c r="J93" s="548"/>
      <c r="K93" s="548"/>
      <c r="L93" s="548"/>
      <c r="M93" s="548"/>
      <c r="N93" s="549"/>
    </row>
    <row r="94" spans="2:14">
      <c r="B94" s="123"/>
      <c r="C94" s="155"/>
      <c r="D94" s="155"/>
      <c r="E94" s="155"/>
      <c r="F94" s="155"/>
      <c r="G94" s="155"/>
      <c r="H94" s="155"/>
      <c r="I94" s="155"/>
      <c r="J94" s="155"/>
      <c r="K94" s="155"/>
      <c r="L94" s="155"/>
      <c r="M94" s="155"/>
      <c r="N94" s="153"/>
    </row>
    <row r="95" spans="2:14">
      <c r="B95" s="159"/>
      <c r="C95" s="140"/>
      <c r="D95" s="140"/>
      <c r="E95" s="140"/>
      <c r="F95" s="140"/>
      <c r="G95" s="145" t="str">
        <f>+'SV-01'!$G$105</f>
        <v>Firma</v>
      </c>
      <c r="H95" s="140"/>
      <c r="I95" s="140"/>
      <c r="J95" s="140"/>
      <c r="K95" s="140"/>
      <c r="L95" s="140"/>
      <c r="M95" s="140"/>
      <c r="N95" s="147"/>
    </row>
    <row r="96" spans="2:14">
      <c r="B96" s="159"/>
      <c r="C96" s="140"/>
      <c r="D96" s="140"/>
      <c r="E96" s="140"/>
      <c r="F96" s="140"/>
      <c r="G96" s="140" t="str">
        <f>+'SV-01'!$G$106</f>
        <v>Nombre:</v>
      </c>
      <c r="H96" s="160"/>
      <c r="I96" s="160"/>
      <c r="J96" s="160"/>
      <c r="K96" s="140"/>
      <c r="L96" s="140"/>
      <c r="M96" s="140"/>
      <c r="N96" s="147"/>
    </row>
    <row r="97" spans="2:14">
      <c r="B97" s="159"/>
      <c r="C97" s="140"/>
      <c r="D97" s="140"/>
      <c r="E97" s="140"/>
      <c r="F97" s="140"/>
      <c r="G97" s="140" t="str">
        <f>+'SV-01'!$G$107</f>
        <v>Representante Legal del Interventor o su Apoderado</v>
      </c>
      <c r="H97" s="154"/>
      <c r="I97" s="154"/>
      <c r="J97" s="154"/>
      <c r="M97" s="140"/>
      <c r="N97" s="147"/>
    </row>
    <row r="98" spans="2:14">
      <c r="B98" s="196"/>
      <c r="C98" s="155"/>
      <c r="D98" s="155"/>
      <c r="E98" s="155"/>
      <c r="F98" s="155"/>
      <c r="G98" s="140" t="str">
        <f>+'SV-01'!$G$108</f>
        <v>Matricula No. :</v>
      </c>
      <c r="K98" s="155"/>
      <c r="L98" s="155"/>
      <c r="M98" s="155"/>
      <c r="N98" s="153"/>
    </row>
    <row r="99" spans="2:14" ht="12.75" customHeight="1">
      <c r="B99" s="199" t="str">
        <f>+'SV-01'!$B$109</f>
        <v xml:space="preserve">Original: Archivo de Gestión Contractual ( Subdirecciòn Administrativa) </v>
      </c>
      <c r="C99" s="197"/>
      <c r="D99" s="197"/>
      <c r="E99" s="140"/>
      <c r="F99" s="140"/>
      <c r="G99" s="140"/>
      <c r="H99" s="140"/>
      <c r="I99" s="140"/>
      <c r="J99" s="515"/>
      <c r="K99" s="515"/>
      <c r="L99" s="515"/>
      <c r="M99" s="515"/>
      <c r="N99" s="516"/>
    </row>
    <row r="100" spans="2:14" ht="12.75" customHeight="1">
      <c r="B100" s="199" t="str">
        <f>+'SV-01'!$B$110</f>
        <v>Copias : Unidad Ejecutora,  Contratista, Interventor y Dirección Territorial.</v>
      </c>
      <c r="C100" s="197"/>
      <c r="D100" s="197"/>
      <c r="E100" s="140"/>
      <c r="F100" s="140"/>
      <c r="G100" s="140"/>
      <c r="H100" s="140"/>
      <c r="I100" s="140"/>
      <c r="J100" s="515"/>
      <c r="K100" s="515"/>
      <c r="L100" s="515"/>
      <c r="M100" s="515"/>
      <c r="N100" s="516"/>
    </row>
    <row r="101" spans="2:14" ht="13.5" customHeight="1" thickBot="1">
      <c r="B101" s="519"/>
      <c r="C101" s="520"/>
      <c r="D101" s="520"/>
      <c r="E101" s="161"/>
      <c r="F101" s="161"/>
      <c r="G101" s="161"/>
      <c r="H101" s="161"/>
      <c r="I101" s="161"/>
      <c r="J101" s="517"/>
      <c r="K101" s="517"/>
      <c r="L101" s="517"/>
      <c r="M101" s="517"/>
      <c r="N101" s="518"/>
    </row>
  </sheetData>
  <mergeCells count="96">
    <mergeCell ref="B68:G68"/>
    <mergeCell ref="B69:G69"/>
    <mergeCell ref="L48:M48"/>
    <mergeCell ref="B63:G63"/>
    <mergeCell ref="B64:G64"/>
    <mergeCell ref="B65:G65"/>
    <mergeCell ref="B66:G66"/>
    <mergeCell ref="B48:I48"/>
    <mergeCell ref="B49:I49"/>
    <mergeCell ref="B50:I50"/>
    <mergeCell ref="L69:M69"/>
    <mergeCell ref="L65:M65"/>
    <mergeCell ref="L66:M66"/>
    <mergeCell ref="I39:J39"/>
    <mergeCell ref="I40:J40"/>
    <mergeCell ref="B2:B8"/>
    <mergeCell ref="C2:J2"/>
    <mergeCell ref="K2:K3"/>
    <mergeCell ref="K6:K8"/>
    <mergeCell ref="I38:J38"/>
    <mergeCell ref="L2:N3"/>
    <mergeCell ref="C3:J3"/>
    <mergeCell ref="C4:J4"/>
    <mergeCell ref="K4:K5"/>
    <mergeCell ref="L4:N5"/>
    <mergeCell ref="C5:J5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B37:H37"/>
    <mergeCell ref="L38:M38"/>
    <mergeCell ref="L39:M39"/>
    <mergeCell ref="B38:H38"/>
    <mergeCell ref="B39:H39"/>
    <mergeCell ref="B51:I51"/>
    <mergeCell ref="L51:M51"/>
    <mergeCell ref="L40:M40"/>
    <mergeCell ref="I41:J41"/>
    <mergeCell ref="L41:M41"/>
    <mergeCell ref="B42:M42"/>
    <mergeCell ref="B46:I46"/>
    <mergeCell ref="L46:M46"/>
    <mergeCell ref="B47:I47"/>
    <mergeCell ref="L47:M47"/>
    <mergeCell ref="B43:N45"/>
    <mergeCell ref="B40:H40"/>
    <mergeCell ref="B41:H41"/>
    <mergeCell ref="L68:M68"/>
    <mergeCell ref="B52:M52"/>
    <mergeCell ref="B56:H56"/>
    <mergeCell ref="L56:M56"/>
    <mergeCell ref="B57:H57"/>
    <mergeCell ref="L57:M57"/>
    <mergeCell ref="B58:H58"/>
    <mergeCell ref="L58:M58"/>
    <mergeCell ref="B59:M59"/>
    <mergeCell ref="L63:M63"/>
    <mergeCell ref="L64:M64"/>
    <mergeCell ref="L67:M67"/>
    <mergeCell ref="B60:N62"/>
    <mergeCell ref="B53:N55"/>
    <mergeCell ref="B67:G67"/>
    <mergeCell ref="B70:M70"/>
    <mergeCell ref="B72:M72"/>
    <mergeCell ref="B76:H76"/>
    <mergeCell ref="L76:M76"/>
    <mergeCell ref="B73:N75"/>
    <mergeCell ref="B92:N92"/>
    <mergeCell ref="B93:N93"/>
    <mergeCell ref="J99:N101"/>
    <mergeCell ref="B101:D101"/>
    <mergeCell ref="B77:H77"/>
    <mergeCell ref="L77:M77"/>
    <mergeCell ref="L78:M78"/>
    <mergeCell ref="L79:M79"/>
    <mergeCell ref="B80:M80"/>
    <mergeCell ref="B82:M82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52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3"/>
  <dimension ref="A1:N110"/>
  <sheetViews>
    <sheetView showGridLines="0" view="pageBreakPreview" topLeftCell="A67" zoomScaleNormal="55" zoomScaleSheetLayoutView="100" workbookViewId="0">
      <selection activeCell="N91" sqref="N91"/>
    </sheetView>
  </sheetViews>
  <sheetFormatPr baseColWidth="10" defaultRowHeight="12.75"/>
  <cols>
    <col min="1" max="1" width="3.140625" style="113" customWidth="1"/>
    <col min="2" max="10" width="11.42578125" style="113"/>
    <col min="11" max="11" width="12.28515625" style="113" customWidth="1"/>
    <col min="12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/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59" t="e">
        <f>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350" t="s">
        <v>376</v>
      </c>
      <c r="B38" s="550" t="str">
        <f>VLOOKUP(A38,Equipo!$A$4:$D$80,2,0)</f>
        <v>Vehiculo delineador, capacidad de 120 galones, tanque para microesfera de 1200 lb.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105610</v>
      </c>
      <c r="L38" s="542">
        <v>1650</v>
      </c>
      <c r="M38" s="543"/>
      <c r="N38" s="297">
        <f>+K38/L38</f>
        <v>64.006060606060601</v>
      </c>
    </row>
    <row r="39" spans="1:14">
      <c r="A39" s="113" t="s">
        <v>372</v>
      </c>
      <c r="B39" s="550" t="str">
        <f>VLOOKUP(A39,Equipo!$A$4:$D$80,2,0)</f>
        <v>Camioneta D-300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39346</v>
      </c>
      <c r="L39" s="542">
        <v>1650</v>
      </c>
      <c r="M39" s="543"/>
      <c r="N39" s="297">
        <f t="shared" ref="N39" si="0">+K39/L39</f>
        <v>23.846060606060608</v>
      </c>
    </row>
    <row r="40" spans="1:14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620"/>
      <c r="J40" s="621"/>
      <c r="K40" s="315"/>
      <c r="L40" s="542"/>
      <c r="M40" s="543"/>
      <c r="N40" s="297">
        <v>0.35</v>
      </c>
    </row>
    <row r="41" spans="1:14">
      <c r="B41" s="550"/>
      <c r="C41" s="551"/>
      <c r="D41" s="551"/>
      <c r="E41" s="551"/>
      <c r="F41" s="551"/>
      <c r="G41" s="551"/>
      <c r="H41" s="552"/>
      <c r="I41" s="620"/>
      <c r="J41" s="621"/>
      <c r="K41" s="315"/>
      <c r="L41" s="542"/>
      <c r="M41" s="543"/>
      <c r="N41" s="297"/>
    </row>
    <row r="42" spans="1:14">
      <c r="B42" s="550"/>
      <c r="C42" s="551"/>
      <c r="D42" s="551"/>
      <c r="E42" s="551"/>
      <c r="F42" s="551"/>
      <c r="G42" s="551"/>
      <c r="H42" s="552"/>
      <c r="I42" s="620"/>
      <c r="J42" s="621"/>
      <c r="K42" s="315"/>
      <c r="L42" s="542"/>
      <c r="M42" s="543"/>
      <c r="N42" s="297"/>
    </row>
    <row r="43" spans="1:14">
      <c r="B43" s="550"/>
      <c r="C43" s="551"/>
      <c r="D43" s="551"/>
      <c r="E43" s="551"/>
      <c r="F43" s="551"/>
      <c r="G43" s="551"/>
      <c r="H43" s="552"/>
      <c r="I43" s="620"/>
      <c r="J43" s="621"/>
      <c r="K43" s="315"/>
      <c r="L43" s="542"/>
      <c r="M43" s="543"/>
      <c r="N43" s="297"/>
    </row>
    <row r="44" spans="1:14">
      <c r="B44" s="550"/>
      <c r="C44" s="551"/>
      <c r="D44" s="551"/>
      <c r="E44" s="551"/>
      <c r="F44" s="551"/>
      <c r="G44" s="551"/>
      <c r="H44" s="552"/>
      <c r="I44" s="620"/>
      <c r="J44" s="621"/>
      <c r="K44" s="315"/>
      <c r="L44" s="542"/>
      <c r="M44" s="543"/>
      <c r="N44" s="297"/>
    </row>
    <row r="45" spans="1:14" ht="13.5" thickBot="1">
      <c r="B45" s="547"/>
      <c r="C45" s="548"/>
      <c r="D45" s="548"/>
      <c r="E45" s="548"/>
      <c r="F45" s="548"/>
      <c r="G45" s="548"/>
      <c r="H45" s="543"/>
      <c r="I45" s="620"/>
      <c r="J45" s="621"/>
      <c r="K45" s="316"/>
      <c r="L45" s="542"/>
      <c r="M45" s="543"/>
      <c r="N45" s="297"/>
    </row>
    <row r="46" spans="1:14" ht="14.25" thickBot="1">
      <c r="B46" s="524" t="s">
        <v>469</v>
      </c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204">
        <f>SUM(N38:N45)</f>
        <v>88.202121212121199</v>
      </c>
    </row>
    <row r="47" spans="1:14" ht="13.5" customHeight="1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>
      <c r="B48" s="577"/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4" ht="13.5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4" ht="13.5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4">
      <c r="A51" s="113" t="s">
        <v>355</v>
      </c>
      <c r="B51" s="550" t="str">
        <f>VLOOKUP(A51,Materiales!$A$4:$D$141,2,0)</f>
        <v>IMPRIMANTE</v>
      </c>
      <c r="C51" s="551"/>
      <c r="D51" s="551"/>
      <c r="E51" s="551"/>
      <c r="F51" s="551"/>
      <c r="G51" s="551"/>
      <c r="H51" s="551"/>
      <c r="I51" s="552"/>
      <c r="J51" s="168" t="str">
        <f>VLOOKUP(A51,Materiales!$A$4:$D$141,3,0)</f>
        <v>GALON</v>
      </c>
      <c r="K51" s="169">
        <v>1.0999999999999999E-2</v>
      </c>
      <c r="L51" s="522">
        <f>VLOOKUP(A51,Materiales!$A$4:$D$141,4,0)</f>
        <v>69120</v>
      </c>
      <c r="M51" s="523"/>
      <c r="N51" s="297">
        <f>+L51*K51</f>
        <v>760.31999999999994</v>
      </c>
    </row>
    <row r="52" spans="1:14">
      <c r="B52" s="550"/>
      <c r="C52" s="551"/>
      <c r="D52" s="551"/>
      <c r="E52" s="551"/>
      <c r="F52" s="551"/>
      <c r="G52" s="551"/>
      <c r="H52" s="551"/>
      <c r="I52" s="552"/>
      <c r="J52" s="313"/>
      <c r="K52" s="271"/>
      <c r="L52" s="522"/>
      <c r="M52" s="523"/>
      <c r="N52" s="317"/>
    </row>
    <row r="53" spans="1:14">
      <c r="B53" s="550"/>
      <c r="C53" s="551"/>
      <c r="D53" s="551"/>
      <c r="E53" s="551"/>
      <c r="F53" s="551"/>
      <c r="G53" s="551"/>
      <c r="H53" s="551"/>
      <c r="I53" s="552"/>
      <c r="J53" s="313"/>
      <c r="K53" s="271"/>
      <c r="L53" s="522"/>
      <c r="M53" s="523"/>
      <c r="N53" s="317"/>
    </row>
    <row r="54" spans="1:14">
      <c r="B54" s="550"/>
      <c r="C54" s="551"/>
      <c r="D54" s="551"/>
      <c r="E54" s="551"/>
      <c r="F54" s="551"/>
      <c r="G54" s="551"/>
      <c r="H54" s="551"/>
      <c r="I54" s="552"/>
      <c r="J54" s="313"/>
      <c r="K54" s="271"/>
      <c r="L54" s="522"/>
      <c r="M54" s="523"/>
      <c r="N54" s="317"/>
    </row>
    <row r="55" spans="1:14">
      <c r="B55" s="550"/>
      <c r="C55" s="551"/>
      <c r="D55" s="551"/>
      <c r="E55" s="551"/>
      <c r="F55" s="551"/>
      <c r="G55" s="551"/>
      <c r="H55" s="551"/>
      <c r="I55" s="552"/>
      <c r="J55" s="313"/>
      <c r="K55" s="271"/>
      <c r="L55" s="522"/>
      <c r="M55" s="523"/>
      <c r="N55" s="317"/>
    </row>
    <row r="56" spans="1:14">
      <c r="B56" s="550"/>
      <c r="C56" s="551"/>
      <c r="D56" s="551"/>
      <c r="E56" s="551"/>
      <c r="F56" s="551"/>
      <c r="G56" s="551"/>
      <c r="H56" s="551"/>
      <c r="I56" s="552"/>
      <c r="J56" s="313"/>
      <c r="K56" s="271"/>
      <c r="L56" s="522"/>
      <c r="M56" s="523"/>
      <c r="N56" s="317"/>
    </row>
    <row r="57" spans="1:14">
      <c r="B57" s="550"/>
      <c r="C57" s="551"/>
      <c r="D57" s="551"/>
      <c r="E57" s="551"/>
      <c r="F57" s="551"/>
      <c r="G57" s="551"/>
      <c r="H57" s="551"/>
      <c r="I57" s="552"/>
      <c r="J57" s="313"/>
      <c r="K57" s="271"/>
      <c r="L57" s="522"/>
      <c r="M57" s="523"/>
      <c r="N57" s="317"/>
    </row>
    <row r="58" spans="1:14" ht="13.5" thickBot="1">
      <c r="B58" s="540"/>
      <c r="C58" s="541"/>
      <c r="D58" s="541"/>
      <c r="E58" s="541"/>
      <c r="F58" s="541"/>
      <c r="G58" s="541"/>
      <c r="H58" s="541"/>
      <c r="I58" s="621"/>
      <c r="J58" s="160"/>
      <c r="K58" s="170"/>
      <c r="L58" s="522"/>
      <c r="M58" s="523"/>
      <c r="N58" s="318"/>
    </row>
    <row r="59" spans="1:14" ht="14.25" thickBot="1">
      <c r="B59" s="524" t="s">
        <v>469</v>
      </c>
      <c r="C59" s="525"/>
      <c r="D59" s="525"/>
      <c r="E59" s="525"/>
      <c r="F59" s="525"/>
      <c r="G59" s="525"/>
      <c r="H59" s="525"/>
      <c r="I59" s="525"/>
      <c r="J59" s="525"/>
      <c r="K59" s="525"/>
      <c r="L59" s="525"/>
      <c r="M59" s="526"/>
      <c r="N59" s="319">
        <f>SUM(N51:N58)</f>
        <v>760.31999999999994</v>
      </c>
    </row>
    <row r="60" spans="1:14">
      <c r="B60" s="574" t="s">
        <v>89</v>
      </c>
      <c r="C60" s="575"/>
      <c r="D60" s="575"/>
      <c r="E60" s="575"/>
      <c r="F60" s="575"/>
      <c r="G60" s="575"/>
      <c r="H60" s="575"/>
      <c r="I60" s="575"/>
      <c r="J60" s="575"/>
      <c r="K60" s="575"/>
      <c r="L60" s="575"/>
      <c r="M60" s="575"/>
      <c r="N60" s="576"/>
    </row>
    <row r="61" spans="1:14">
      <c r="B61" s="577"/>
      <c r="C61" s="578"/>
      <c r="D61" s="578"/>
      <c r="E61" s="578"/>
      <c r="F61" s="578"/>
      <c r="G61" s="578"/>
      <c r="H61" s="578"/>
      <c r="I61" s="578"/>
      <c r="J61" s="578"/>
      <c r="K61" s="578"/>
      <c r="L61" s="578"/>
      <c r="M61" s="578"/>
      <c r="N61" s="579"/>
    </row>
    <row r="62" spans="1:14" ht="13.5" thickBot="1">
      <c r="B62" s="580"/>
      <c r="C62" s="581"/>
      <c r="D62" s="581"/>
      <c r="E62" s="581"/>
      <c r="F62" s="581"/>
      <c r="G62" s="581"/>
      <c r="H62" s="581"/>
      <c r="I62" s="581"/>
      <c r="J62" s="581"/>
      <c r="K62" s="581"/>
      <c r="L62" s="581"/>
      <c r="M62" s="581"/>
      <c r="N62" s="582"/>
    </row>
    <row r="63" spans="1:14" ht="13.5">
      <c r="B63" s="536" t="s">
        <v>141</v>
      </c>
      <c r="C63" s="537"/>
      <c r="D63" s="537"/>
      <c r="E63" s="537"/>
      <c r="F63" s="537"/>
      <c r="G63" s="537"/>
      <c r="H63" s="537"/>
      <c r="I63" s="237" t="s">
        <v>142</v>
      </c>
      <c r="J63" s="240" t="s">
        <v>143</v>
      </c>
      <c r="K63" s="241" t="s">
        <v>248</v>
      </c>
      <c r="L63" s="538" t="s">
        <v>17</v>
      </c>
      <c r="M63" s="539"/>
      <c r="N63" s="238" t="s">
        <v>140</v>
      </c>
    </row>
    <row r="64" spans="1:14">
      <c r="B64" s="540"/>
      <c r="C64" s="541"/>
      <c r="D64" s="541"/>
      <c r="E64" s="541"/>
      <c r="F64" s="541"/>
      <c r="G64" s="541"/>
      <c r="H64" s="541"/>
      <c r="I64" s="205"/>
      <c r="J64" s="209"/>
      <c r="K64" s="205"/>
      <c r="L64" s="553"/>
      <c r="M64" s="554"/>
      <c r="N64" s="297">
        <f>+L64*K64</f>
        <v>0</v>
      </c>
    </row>
    <row r="65" spans="1:14" ht="13.5" thickBot="1">
      <c r="B65" s="624"/>
      <c r="C65" s="625"/>
      <c r="D65" s="625"/>
      <c r="E65" s="625"/>
      <c r="F65" s="625"/>
      <c r="G65" s="625"/>
      <c r="H65" s="625"/>
      <c r="I65" s="173"/>
      <c r="J65" s="161"/>
      <c r="K65" s="173"/>
      <c r="L65" s="645"/>
      <c r="M65" s="646"/>
      <c r="N65" s="327"/>
    </row>
    <row r="66" spans="1:14" ht="14.25" thickBot="1">
      <c r="B66" s="524" t="s">
        <v>472</v>
      </c>
      <c r="C66" s="525"/>
      <c r="D66" s="525"/>
      <c r="E66" s="525"/>
      <c r="F66" s="525"/>
      <c r="G66" s="525"/>
      <c r="H66" s="525"/>
      <c r="I66" s="525"/>
      <c r="J66" s="525"/>
      <c r="K66" s="525"/>
      <c r="L66" s="525"/>
      <c r="M66" s="526"/>
      <c r="N66" s="204">
        <f>SUM(N64:N65)</f>
        <v>0</v>
      </c>
    </row>
    <row r="67" spans="1:14">
      <c r="B67" s="574" t="s">
        <v>90</v>
      </c>
      <c r="C67" s="575"/>
      <c r="D67" s="575"/>
      <c r="E67" s="575"/>
      <c r="F67" s="575"/>
      <c r="G67" s="575"/>
      <c r="H67" s="575"/>
      <c r="I67" s="575"/>
      <c r="J67" s="575"/>
      <c r="K67" s="575"/>
      <c r="L67" s="575"/>
      <c r="M67" s="575"/>
      <c r="N67" s="576"/>
    </row>
    <row r="68" spans="1:14">
      <c r="B68" s="577"/>
      <c r="C68" s="578"/>
      <c r="D68" s="578"/>
      <c r="E68" s="578"/>
      <c r="F68" s="578"/>
      <c r="G68" s="578"/>
      <c r="H68" s="578"/>
      <c r="I68" s="578"/>
      <c r="J68" s="578"/>
      <c r="K68" s="578"/>
      <c r="L68" s="578"/>
      <c r="M68" s="578"/>
      <c r="N68" s="579"/>
    </row>
    <row r="69" spans="1:14" ht="13.5" thickBot="1">
      <c r="B69" s="580"/>
      <c r="C69" s="581"/>
      <c r="D69" s="581"/>
      <c r="E69" s="581"/>
      <c r="F69" s="581"/>
      <c r="G69" s="581"/>
      <c r="H69" s="581"/>
      <c r="I69" s="581"/>
      <c r="J69" s="581"/>
      <c r="K69" s="581"/>
      <c r="L69" s="581"/>
      <c r="M69" s="581"/>
      <c r="N69" s="582"/>
    </row>
    <row r="70" spans="1:14" ht="13.5">
      <c r="B70" s="536" t="s">
        <v>144</v>
      </c>
      <c r="C70" s="537"/>
      <c r="D70" s="537"/>
      <c r="E70" s="537"/>
      <c r="F70" s="537"/>
      <c r="G70" s="537"/>
      <c r="H70" s="342" t="s">
        <v>101</v>
      </c>
      <c r="I70" s="342" t="s">
        <v>145</v>
      </c>
      <c r="J70" s="242" t="s">
        <v>84</v>
      </c>
      <c r="K70" s="243" t="s">
        <v>146</v>
      </c>
      <c r="L70" s="527" t="s">
        <v>136</v>
      </c>
      <c r="M70" s="528"/>
      <c r="N70" s="244" t="s">
        <v>140</v>
      </c>
    </row>
    <row r="71" spans="1:14">
      <c r="A71" s="113" t="s">
        <v>479</v>
      </c>
      <c r="B71" s="550" t="str">
        <f>VLOOKUP(A71,'Mano de Obra'!$A$4:$E$80,2,0)</f>
        <v>OPERADOR DE EQUIPO</v>
      </c>
      <c r="C71" s="551"/>
      <c r="D71" s="551"/>
      <c r="E71" s="551"/>
      <c r="F71" s="551"/>
      <c r="G71" s="551"/>
      <c r="H71" s="208">
        <v>2</v>
      </c>
      <c r="I71" s="302">
        <f>VLOOKUP(A71,'Mano de Obra'!$A$4:$E$80,3,0)</f>
        <v>72000</v>
      </c>
      <c r="J71" s="177">
        <f>VLOOKUP(A71,'Mano de Obra'!$A$4:$E$80,4,0)</f>
        <v>1.85</v>
      </c>
      <c r="K71" s="307">
        <f>+H71*I71*J71</f>
        <v>266400</v>
      </c>
      <c r="L71" s="529">
        <v>13200</v>
      </c>
      <c r="M71" s="530"/>
      <c r="N71" s="326">
        <f>+K71/L71</f>
        <v>20.181818181818183</v>
      </c>
    </row>
    <row r="72" spans="1:14">
      <c r="A72" s="113" t="s">
        <v>446</v>
      </c>
      <c r="B72" s="550" t="str">
        <f>VLOOKUP(A72,'Mano de Obra'!$A$4:$E$80,2,0)</f>
        <v>AYUDANTE</v>
      </c>
      <c r="C72" s="551"/>
      <c r="D72" s="551"/>
      <c r="E72" s="551"/>
      <c r="F72" s="551"/>
      <c r="G72" s="551"/>
      <c r="H72" s="208">
        <v>6</v>
      </c>
      <c r="I72" s="302">
        <f>VLOOKUP(A72,'Mano de Obra'!$A$4:$E$80,3,0)</f>
        <v>28000</v>
      </c>
      <c r="J72" s="177">
        <f>VLOOKUP(A72,'Mano de Obra'!$A$4:$E$80,4,0)</f>
        <v>1.85</v>
      </c>
      <c r="K72" s="307">
        <f>+H72*I72*J72</f>
        <v>310800</v>
      </c>
      <c r="L72" s="529">
        <v>13200</v>
      </c>
      <c r="M72" s="530"/>
      <c r="N72" s="326">
        <f>+K72/L72</f>
        <v>23.545454545454547</v>
      </c>
    </row>
    <row r="73" spans="1:14">
      <c r="B73" s="550"/>
      <c r="C73" s="551"/>
      <c r="D73" s="551"/>
      <c r="E73" s="551"/>
      <c r="F73" s="551"/>
      <c r="G73" s="551"/>
      <c r="H73" s="343"/>
      <c r="I73" s="302"/>
      <c r="J73" s="177"/>
      <c r="K73" s="307"/>
      <c r="L73" s="529"/>
      <c r="M73" s="530"/>
      <c r="N73" s="326"/>
    </row>
    <row r="74" spans="1:14">
      <c r="B74" s="550"/>
      <c r="C74" s="551"/>
      <c r="D74" s="551"/>
      <c r="E74" s="551"/>
      <c r="F74" s="551"/>
      <c r="G74" s="551"/>
      <c r="H74" s="343"/>
      <c r="I74" s="302"/>
      <c r="J74" s="177"/>
      <c r="K74" s="307"/>
      <c r="L74" s="529"/>
      <c r="M74" s="530"/>
      <c r="N74" s="326"/>
    </row>
    <row r="75" spans="1:14">
      <c r="B75" s="550"/>
      <c r="C75" s="551"/>
      <c r="D75" s="551"/>
      <c r="E75" s="551"/>
      <c r="F75" s="551"/>
      <c r="G75" s="551"/>
      <c r="H75" s="343"/>
      <c r="I75" s="302"/>
      <c r="J75" s="177"/>
      <c r="K75" s="307"/>
      <c r="L75" s="529"/>
      <c r="M75" s="530"/>
      <c r="N75" s="326"/>
    </row>
    <row r="76" spans="1:14">
      <c r="B76" s="550"/>
      <c r="C76" s="551"/>
      <c r="D76" s="551"/>
      <c r="E76" s="551"/>
      <c r="F76" s="551"/>
      <c r="G76" s="551"/>
      <c r="H76" s="343"/>
      <c r="I76" s="302"/>
      <c r="J76" s="177"/>
      <c r="K76" s="307"/>
      <c r="L76" s="529"/>
      <c r="M76" s="530"/>
      <c r="N76" s="326"/>
    </row>
    <row r="77" spans="1:14">
      <c r="B77" s="550"/>
      <c r="C77" s="551"/>
      <c r="D77" s="551"/>
      <c r="E77" s="551"/>
      <c r="F77" s="551"/>
      <c r="G77" s="551"/>
      <c r="H77" s="343"/>
      <c r="I77" s="302"/>
      <c r="J77" s="177"/>
      <c r="K77" s="307"/>
      <c r="L77" s="529"/>
      <c r="M77" s="530"/>
      <c r="N77" s="326"/>
    </row>
    <row r="78" spans="1:14" ht="13.5" thickBot="1">
      <c r="B78" s="649"/>
      <c r="C78" s="650"/>
      <c r="D78" s="650"/>
      <c r="E78" s="650"/>
      <c r="F78" s="650"/>
      <c r="G78" s="650"/>
      <c r="H78" s="311"/>
      <c r="I78" s="309"/>
      <c r="J78" s="161"/>
      <c r="K78" s="309"/>
      <c r="L78" s="529"/>
      <c r="M78" s="530"/>
      <c r="N78" s="327"/>
    </row>
    <row r="79" spans="1:14" ht="14.25" thickBot="1">
      <c r="B79" s="524" t="s">
        <v>469</v>
      </c>
      <c r="C79" s="525"/>
      <c r="D79" s="525"/>
      <c r="E79" s="525"/>
      <c r="F79" s="525"/>
      <c r="G79" s="525"/>
      <c r="H79" s="525"/>
      <c r="I79" s="525"/>
      <c r="J79" s="525"/>
      <c r="K79" s="525"/>
      <c r="L79" s="525"/>
      <c r="M79" s="526"/>
      <c r="N79" s="319">
        <f>SUM(N71:N78)</f>
        <v>43.727272727272734</v>
      </c>
    </row>
    <row r="80" spans="1:14" ht="13.5" thickBot="1">
      <c r="B80" s="159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7"/>
    </row>
    <row r="81" spans="2:14" ht="13.5" thickBot="1">
      <c r="B81" s="531" t="s">
        <v>470</v>
      </c>
      <c r="C81" s="532"/>
      <c r="D81" s="532"/>
      <c r="E81" s="532"/>
      <c r="F81" s="532"/>
      <c r="G81" s="532"/>
      <c r="H81" s="532"/>
      <c r="I81" s="532"/>
      <c r="J81" s="532"/>
      <c r="K81" s="532"/>
      <c r="L81" s="532"/>
      <c r="M81" s="533"/>
      <c r="N81" s="245">
        <f>+N79+N66+N59+N46</f>
        <v>892.24939393939394</v>
      </c>
    </row>
    <row r="82" spans="2:14">
      <c r="B82" s="574" t="s">
        <v>91</v>
      </c>
      <c r="C82" s="575"/>
      <c r="D82" s="575"/>
      <c r="E82" s="575"/>
      <c r="F82" s="575"/>
      <c r="G82" s="575"/>
      <c r="H82" s="575"/>
      <c r="I82" s="575"/>
      <c r="J82" s="575"/>
      <c r="K82" s="575"/>
      <c r="L82" s="575"/>
      <c r="M82" s="575"/>
      <c r="N82" s="576"/>
    </row>
    <row r="83" spans="2:14">
      <c r="B83" s="577"/>
      <c r="C83" s="578"/>
      <c r="D83" s="578"/>
      <c r="E83" s="578"/>
      <c r="F83" s="578"/>
      <c r="G83" s="578"/>
      <c r="H83" s="578"/>
      <c r="I83" s="578"/>
      <c r="J83" s="578"/>
      <c r="K83" s="578"/>
      <c r="L83" s="578"/>
      <c r="M83" s="578"/>
      <c r="N83" s="579"/>
    </row>
    <row r="84" spans="2:14" ht="13.5" thickBot="1">
      <c r="B84" s="580"/>
      <c r="C84" s="581"/>
      <c r="D84" s="581"/>
      <c r="E84" s="581"/>
      <c r="F84" s="581"/>
      <c r="G84" s="581"/>
      <c r="H84" s="581"/>
      <c r="I84" s="581"/>
      <c r="J84" s="581"/>
      <c r="K84" s="581"/>
      <c r="L84" s="581"/>
      <c r="M84" s="581"/>
      <c r="N84" s="582"/>
    </row>
    <row r="85" spans="2:14" ht="13.5">
      <c r="B85" s="536" t="s">
        <v>88</v>
      </c>
      <c r="C85" s="537"/>
      <c r="D85" s="537"/>
      <c r="E85" s="537"/>
      <c r="F85" s="537"/>
      <c r="G85" s="537"/>
      <c r="H85" s="537"/>
      <c r="I85" s="240"/>
      <c r="J85" s="246"/>
      <c r="K85" s="243" t="s">
        <v>92</v>
      </c>
      <c r="L85" s="527" t="s">
        <v>93</v>
      </c>
      <c r="M85" s="528"/>
      <c r="N85" s="244"/>
    </row>
    <row r="86" spans="2:14">
      <c r="B86" s="540" t="s">
        <v>82</v>
      </c>
      <c r="C86" s="541"/>
      <c r="D86" s="541"/>
      <c r="E86" s="541"/>
      <c r="F86" s="541"/>
      <c r="G86" s="541"/>
      <c r="H86" s="541"/>
      <c r="I86" s="182"/>
      <c r="J86" s="183"/>
      <c r="K86" s="251">
        <v>0.25</v>
      </c>
      <c r="L86" s="639">
        <f>+N81*K86</f>
        <v>223.06234848484848</v>
      </c>
      <c r="M86" s="640"/>
      <c r="N86" s="184"/>
    </row>
    <row r="87" spans="2:14">
      <c r="B87" s="185" t="s">
        <v>94</v>
      </c>
      <c r="C87" s="186"/>
      <c r="D87" s="186"/>
      <c r="E87" s="186"/>
      <c r="F87" s="186"/>
      <c r="G87" s="186"/>
      <c r="H87" s="186"/>
      <c r="I87" s="182"/>
      <c r="J87" s="183"/>
      <c r="K87" s="251">
        <v>0.05</v>
      </c>
      <c r="L87" s="639">
        <f>+N81*K87</f>
        <v>44.612469696969697</v>
      </c>
      <c r="M87" s="640"/>
      <c r="N87" s="184"/>
    </row>
    <row r="88" spans="2:14" ht="13.5" thickBot="1">
      <c r="B88" s="187" t="s">
        <v>83</v>
      </c>
      <c r="C88" s="188"/>
      <c r="D88" s="188"/>
      <c r="E88" s="188"/>
      <c r="F88" s="188"/>
      <c r="G88" s="188"/>
      <c r="H88" s="188"/>
      <c r="I88" s="189"/>
      <c r="J88" s="190"/>
      <c r="K88" s="251">
        <v>0.05</v>
      </c>
      <c r="L88" s="641">
        <f>+N81*K88</f>
        <v>44.612469696969697</v>
      </c>
      <c r="M88" s="642"/>
      <c r="N88" s="184"/>
    </row>
    <row r="89" spans="2:14" ht="14.25" thickBot="1">
      <c r="B89" s="524" t="s">
        <v>137</v>
      </c>
      <c r="C89" s="525"/>
      <c r="D89" s="525"/>
      <c r="E89" s="525"/>
      <c r="F89" s="525"/>
      <c r="G89" s="525"/>
      <c r="H89" s="525"/>
      <c r="I89" s="525"/>
      <c r="J89" s="525"/>
      <c r="K89" s="525"/>
      <c r="L89" s="525"/>
      <c r="M89" s="526"/>
      <c r="N89" s="191">
        <f>SUM(L86:M88)</f>
        <v>312.28728787878788</v>
      </c>
    </row>
    <row r="90" spans="2:14" ht="13.5" thickBot="1">
      <c r="B90" s="159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7"/>
    </row>
    <row r="91" spans="2:14" ht="13.5" thickBot="1">
      <c r="B91" s="531" t="s">
        <v>148</v>
      </c>
      <c r="C91" s="532"/>
      <c r="D91" s="532"/>
      <c r="E91" s="532"/>
      <c r="F91" s="532"/>
      <c r="G91" s="532"/>
      <c r="H91" s="532"/>
      <c r="I91" s="532"/>
      <c r="J91" s="532"/>
      <c r="K91" s="532"/>
      <c r="L91" s="532"/>
      <c r="M91" s="533"/>
      <c r="N91" s="247">
        <f>ROUND(N81+N89,0)</f>
        <v>1205</v>
      </c>
    </row>
    <row r="92" spans="2:14">
      <c r="B92" s="138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41"/>
    </row>
    <row r="93" spans="2:14">
      <c r="B93" s="159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7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5" t="str">
        <f>+'SV-01'!$G$96</f>
        <v>Firma</v>
      </c>
      <c r="H95" s="145"/>
      <c r="I95" s="145"/>
      <c r="J95" s="145"/>
      <c r="K95" s="140"/>
      <c r="L95" s="140"/>
      <c r="M95" s="140"/>
      <c r="N95" s="147"/>
    </row>
    <row r="96" spans="2:14" ht="13.5">
      <c r="B96" s="192"/>
      <c r="C96" s="193"/>
      <c r="D96" s="193"/>
      <c r="E96" s="193"/>
      <c r="F96" s="193"/>
      <c r="G96" s="145" t="str">
        <f>+'SV-01'!$G$97</f>
        <v>Nombre:</v>
      </c>
      <c r="H96" s="193"/>
      <c r="I96" s="193"/>
      <c r="J96" s="193"/>
      <c r="K96" s="193"/>
      <c r="L96" s="193"/>
      <c r="M96" s="193"/>
      <c r="N96" s="194"/>
    </row>
    <row r="97" spans="2:14" ht="13.5">
      <c r="B97" s="192"/>
      <c r="C97" s="193"/>
      <c r="D97" s="193"/>
      <c r="E97" s="193"/>
      <c r="F97" s="193"/>
      <c r="G97" s="145" t="str">
        <f>+'SV-01'!$G$98</f>
        <v>Representante Legal del Contratista o su Apoderado</v>
      </c>
      <c r="J97" s="193"/>
      <c r="K97" s="193"/>
      <c r="L97" s="193"/>
      <c r="M97" s="193"/>
      <c r="N97" s="194"/>
    </row>
    <row r="98" spans="2:14">
      <c r="B98" s="123"/>
      <c r="C98" s="155"/>
      <c r="D98" s="155"/>
      <c r="E98" s="155"/>
      <c r="F98" s="155"/>
      <c r="G98" s="145" t="str">
        <f>+'SV-01'!$G$99</f>
        <v>Matricula No. :</v>
      </c>
      <c r="H98" s="155"/>
      <c r="I98" s="155"/>
      <c r="J98" s="155"/>
      <c r="K98" s="155"/>
      <c r="L98" s="155"/>
      <c r="M98" s="155"/>
      <c r="N98" s="153"/>
    </row>
    <row r="99" spans="2:14">
      <c r="B99" s="159"/>
      <c r="C99" s="140"/>
      <c r="D99" s="140"/>
      <c r="E99" s="140"/>
      <c r="F99" s="140"/>
      <c r="G99" s="140" t="s">
        <v>206</v>
      </c>
      <c r="H99" s="140"/>
      <c r="I99" s="140"/>
      <c r="J99" s="140"/>
      <c r="K99" s="140"/>
      <c r="L99" s="140"/>
      <c r="M99" s="140"/>
      <c r="N99" s="147"/>
    </row>
    <row r="100" spans="2:14" ht="13.5">
      <c r="B100" s="165" t="str">
        <f>+'SV-01'!$B$101</f>
        <v>OBSERVACIONES INTERVENTORÍA</v>
      </c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7"/>
    </row>
    <row r="101" spans="2:14">
      <c r="B101" s="544"/>
      <c r="C101" s="545"/>
      <c r="D101" s="545"/>
      <c r="E101" s="545"/>
      <c r="F101" s="545"/>
      <c r="G101" s="545"/>
      <c r="H101" s="545"/>
      <c r="I101" s="545"/>
      <c r="J101" s="545"/>
      <c r="K101" s="545"/>
      <c r="L101" s="545"/>
      <c r="M101" s="545"/>
      <c r="N101" s="546"/>
    </row>
    <row r="102" spans="2:14">
      <c r="B102" s="547"/>
      <c r="C102" s="548"/>
      <c r="D102" s="548"/>
      <c r="E102" s="548"/>
      <c r="F102" s="548"/>
      <c r="G102" s="548"/>
      <c r="H102" s="548"/>
      <c r="I102" s="548"/>
      <c r="J102" s="548"/>
      <c r="K102" s="548"/>
      <c r="L102" s="548"/>
      <c r="M102" s="548"/>
      <c r="N102" s="549"/>
    </row>
    <row r="103" spans="2:14">
      <c r="B103" s="123"/>
      <c r="C103" s="155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153"/>
    </row>
    <row r="104" spans="2:14">
      <c r="B104" s="159"/>
      <c r="C104" s="140"/>
      <c r="D104" s="140"/>
      <c r="E104" s="140"/>
      <c r="F104" s="140"/>
      <c r="G104" s="145" t="str">
        <f>+'SV-01'!$G$105</f>
        <v>Firma</v>
      </c>
      <c r="H104" s="140"/>
      <c r="I104" s="140"/>
      <c r="J104" s="140"/>
      <c r="K104" s="140"/>
      <c r="L104" s="140"/>
      <c r="M104" s="140"/>
      <c r="N104" s="147"/>
    </row>
    <row r="105" spans="2:14">
      <c r="B105" s="159"/>
      <c r="C105" s="140"/>
      <c r="D105" s="140"/>
      <c r="E105" s="140"/>
      <c r="F105" s="140"/>
      <c r="G105" s="140" t="str">
        <f>+'SV-01'!$G$106</f>
        <v>Nombre:</v>
      </c>
      <c r="H105" s="160"/>
      <c r="I105" s="160"/>
      <c r="J105" s="16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40" t="str">
        <f>+'SV-01'!$G$107</f>
        <v>Representante Legal del Interventor o su Apoderado</v>
      </c>
      <c r="H106" s="154"/>
      <c r="I106" s="154"/>
      <c r="J106" s="154"/>
      <c r="M106" s="140"/>
      <c r="N106" s="147"/>
    </row>
    <row r="107" spans="2:14">
      <c r="B107" s="196"/>
      <c r="C107" s="155"/>
      <c r="D107" s="155"/>
      <c r="E107" s="155"/>
      <c r="F107" s="155"/>
      <c r="G107" s="140" t="str">
        <f>+'SV-01'!$G$108</f>
        <v>Matricula No. :</v>
      </c>
      <c r="K107" s="155"/>
      <c r="L107" s="155"/>
      <c r="M107" s="155"/>
      <c r="N107" s="153"/>
    </row>
    <row r="108" spans="2:14" ht="12.75" customHeight="1">
      <c r="B108" s="199" t="str">
        <f>+'SV-01'!$B$109</f>
        <v xml:space="preserve">Original: Archivo de Gestión Contractual ( Subdirecciòn Administrativa) </v>
      </c>
      <c r="C108" s="197"/>
      <c r="D108" s="197"/>
      <c r="E108" s="140"/>
      <c r="F108" s="140"/>
      <c r="G108" s="140"/>
      <c r="H108" s="140"/>
      <c r="I108" s="140"/>
      <c r="J108" s="515"/>
      <c r="K108" s="515"/>
      <c r="L108" s="515"/>
      <c r="M108" s="515"/>
      <c r="N108" s="516"/>
    </row>
    <row r="109" spans="2:14" ht="12.75" customHeight="1">
      <c r="B109" s="199" t="str">
        <f>+'SV-01'!$B$110</f>
        <v>Copias : Unidad Ejecutora,  Contratista, Interventor y Dirección Territorial.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3.5" customHeight="1" thickBot="1">
      <c r="B110" s="519"/>
      <c r="C110" s="520"/>
      <c r="D110" s="520"/>
      <c r="E110" s="161"/>
      <c r="F110" s="161"/>
      <c r="G110" s="161"/>
      <c r="H110" s="161"/>
      <c r="I110" s="161"/>
      <c r="J110" s="517"/>
      <c r="K110" s="517"/>
      <c r="L110" s="517"/>
      <c r="M110" s="517"/>
      <c r="N110" s="518"/>
    </row>
  </sheetData>
  <mergeCells count="120">
    <mergeCell ref="L74:M74"/>
    <mergeCell ref="L75:M75"/>
    <mergeCell ref="D12:G12"/>
    <mergeCell ref="J12:M12"/>
    <mergeCell ref="L52:M52"/>
    <mergeCell ref="L53:M53"/>
    <mergeCell ref="L54:M54"/>
    <mergeCell ref="L55:M55"/>
    <mergeCell ref="L56:M56"/>
    <mergeCell ref="L57:M57"/>
    <mergeCell ref="B52:I52"/>
    <mergeCell ref="B53:I53"/>
    <mergeCell ref="B54:I54"/>
    <mergeCell ref="B55:I55"/>
    <mergeCell ref="B56:I56"/>
    <mergeCell ref="B57:I57"/>
    <mergeCell ref="L13:N13"/>
    <mergeCell ref="B30:N30"/>
    <mergeCell ref="E26:M26"/>
    <mergeCell ref="G28:M28"/>
    <mergeCell ref="H18:M18"/>
    <mergeCell ref="D19:M20"/>
    <mergeCell ref="D22:M22"/>
    <mergeCell ref="D24:M24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C32:K32"/>
    <mergeCell ref="L32:M32"/>
    <mergeCell ref="L33:M33"/>
    <mergeCell ref="I37:J37"/>
    <mergeCell ref="L37:M37"/>
    <mergeCell ref="C33:K33"/>
    <mergeCell ref="B34:N36"/>
    <mergeCell ref="B37:H37"/>
    <mergeCell ref="I38:J38"/>
    <mergeCell ref="L38:M38"/>
    <mergeCell ref="L43:M43"/>
    <mergeCell ref="B38:H38"/>
    <mergeCell ref="B39:H39"/>
    <mergeCell ref="B40:H40"/>
    <mergeCell ref="B41:H41"/>
    <mergeCell ref="B42:H42"/>
    <mergeCell ref="B43:H43"/>
    <mergeCell ref="I39:J39"/>
    <mergeCell ref="I40:J40"/>
    <mergeCell ref="I41:J41"/>
    <mergeCell ref="I42:J42"/>
    <mergeCell ref="I43:J43"/>
    <mergeCell ref="L39:M39"/>
    <mergeCell ref="L40:M40"/>
    <mergeCell ref="L41:M41"/>
    <mergeCell ref="L42:M42"/>
    <mergeCell ref="L58:M58"/>
    <mergeCell ref="L44:M44"/>
    <mergeCell ref="I45:J45"/>
    <mergeCell ref="L45:M45"/>
    <mergeCell ref="B46:M46"/>
    <mergeCell ref="B50:I50"/>
    <mergeCell ref="L50:M50"/>
    <mergeCell ref="B51:I51"/>
    <mergeCell ref="L51:M51"/>
    <mergeCell ref="B47:N49"/>
    <mergeCell ref="B44:H44"/>
    <mergeCell ref="B45:H45"/>
    <mergeCell ref="I44:J44"/>
    <mergeCell ref="B58:I58"/>
    <mergeCell ref="L77:M77"/>
    <mergeCell ref="B59:M59"/>
    <mergeCell ref="B63:H63"/>
    <mergeCell ref="L63:M63"/>
    <mergeCell ref="B64:H64"/>
    <mergeCell ref="L64:M64"/>
    <mergeCell ref="B65:H65"/>
    <mergeCell ref="L65:M65"/>
    <mergeCell ref="B66:M66"/>
    <mergeCell ref="L70:M70"/>
    <mergeCell ref="L71:M71"/>
    <mergeCell ref="L76:M76"/>
    <mergeCell ref="B60:N62"/>
    <mergeCell ref="B67:N69"/>
    <mergeCell ref="B70:G70"/>
    <mergeCell ref="B76:G76"/>
    <mergeCell ref="B77:G77"/>
    <mergeCell ref="B71:G71"/>
    <mergeCell ref="B72:G72"/>
    <mergeCell ref="B73:G73"/>
    <mergeCell ref="B74:G74"/>
    <mergeCell ref="B75:G75"/>
    <mergeCell ref="L72:M72"/>
    <mergeCell ref="L73:M73"/>
    <mergeCell ref="L78:M78"/>
    <mergeCell ref="B79:M79"/>
    <mergeCell ref="B81:M81"/>
    <mergeCell ref="B85:H85"/>
    <mergeCell ref="L85:M85"/>
    <mergeCell ref="B82:N84"/>
    <mergeCell ref="B101:N101"/>
    <mergeCell ref="B102:N102"/>
    <mergeCell ref="J108:N110"/>
    <mergeCell ref="B110:D110"/>
    <mergeCell ref="B86:H86"/>
    <mergeCell ref="L86:M86"/>
    <mergeCell ref="L87:M87"/>
    <mergeCell ref="L88:M88"/>
    <mergeCell ref="B89:M89"/>
    <mergeCell ref="B91:M91"/>
    <mergeCell ref="B78:G78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ignoredErrors>
    <ignoredError sqref="D18:D19 H18" unlockedFormula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4">
    <tabColor rgb="FFFF0000"/>
  </sheetPr>
  <dimension ref="A1:O110"/>
  <sheetViews>
    <sheetView showGridLines="0" view="pageBreakPreview" topLeftCell="A60" zoomScaleNormal="70" zoomScaleSheetLayoutView="100" workbookViewId="0">
      <selection activeCell="L53" sqref="L53:M53"/>
    </sheetView>
  </sheetViews>
  <sheetFormatPr baseColWidth="10" defaultRowHeight="12.75"/>
  <cols>
    <col min="1" max="1" width="3.140625" style="113" customWidth="1"/>
    <col min="2" max="8" width="11.42578125" style="113"/>
    <col min="9" max="9" width="10.7109375" style="113" customWidth="1"/>
    <col min="10" max="10" width="11" style="113" customWidth="1"/>
    <col min="11" max="11" width="11.5703125" style="113" bestFit="1" customWidth="1"/>
    <col min="12" max="13" width="7.42578125" style="113" customWidth="1"/>
    <col min="14" max="14" width="14.85546875" style="113" customWidth="1"/>
    <col min="15" max="15" width="12.42578125" style="113" bestFit="1" customWidth="1"/>
    <col min="16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 customHeight="1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 customHeight="1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 ht="12.75" customHeight="1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/>
      <c r="L32" s="536" t="s">
        <v>16</v>
      </c>
      <c r="M32" s="652"/>
      <c r="N32" s="235" t="s">
        <v>101</v>
      </c>
    </row>
    <row r="33" spans="1:15" ht="13.5" thickBot="1">
      <c r="B33" s="236" t="str">
        <f>+'PRESUPUESTO OFICIAL'!D16</f>
        <v>SV-07</v>
      </c>
      <c r="C33" s="653" t="str">
        <f>+'PRESUPUESTO OFICIAL'!G16</f>
        <v xml:space="preserve">MARCAS VIALES CON PINTURA EN FRIO ACRÍLICA PURA BASE AGUA   </v>
      </c>
      <c r="D33" s="655"/>
      <c r="E33" s="655"/>
      <c r="F33" s="655"/>
      <c r="G33" s="655"/>
      <c r="H33" s="655"/>
      <c r="I33" s="655"/>
      <c r="J33" s="655"/>
      <c r="K33" s="654"/>
      <c r="L33" s="653" t="str">
        <f>+'PRESUPUESTO OFICIAL'!H16</f>
        <v>M2</v>
      </c>
      <c r="M33" s="654"/>
      <c r="N33" s="259">
        <f>'PRESUPUESTO OFICIAL'!I16</f>
        <v>1958</v>
      </c>
    </row>
    <row r="34" spans="1:15" ht="12.75" customHeight="1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5" ht="12.75" customHeight="1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5" ht="13.5" customHeight="1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5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5" ht="12" customHeight="1">
      <c r="A38" s="113" t="s">
        <v>374</v>
      </c>
      <c r="B38" s="550" t="str">
        <f>VLOOKUP(A38,Equipo!$A$4:$D$80,2,0)</f>
        <v>Camiontta con Platon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31870</v>
      </c>
      <c r="L38" s="637">
        <v>15</v>
      </c>
      <c r="M38" s="638"/>
      <c r="N38" s="297">
        <f>+K38/L38</f>
        <v>2124.6666666666665</v>
      </c>
    </row>
    <row r="39" spans="1:15">
      <c r="A39" s="113" t="s">
        <v>375</v>
      </c>
      <c r="B39" s="550" t="str">
        <f>VLOOKUP(A39,Equipo!$A$4:$D$80,2,0)</f>
        <v>Maquina Manual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17706</v>
      </c>
      <c r="L39" s="637">
        <v>15</v>
      </c>
      <c r="M39" s="638"/>
      <c r="N39" s="297">
        <f>+K39/L39</f>
        <v>1180.4000000000001</v>
      </c>
      <c r="O39" s="113">
        <f>40*4</f>
        <v>160</v>
      </c>
    </row>
    <row r="40" spans="1:15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620"/>
      <c r="J40" s="621"/>
      <c r="K40" s="315"/>
      <c r="L40" s="637"/>
      <c r="M40" s="638"/>
      <c r="N40" s="297">
        <v>43</v>
      </c>
      <c r="O40" s="347"/>
    </row>
    <row r="41" spans="1:15">
      <c r="B41" s="547"/>
      <c r="C41" s="548"/>
      <c r="D41" s="548"/>
      <c r="E41" s="548"/>
      <c r="F41" s="548"/>
      <c r="G41" s="548"/>
      <c r="H41" s="543"/>
      <c r="I41" s="620"/>
      <c r="J41" s="621"/>
      <c r="K41" s="315"/>
      <c r="L41" s="637"/>
      <c r="M41" s="638"/>
      <c r="N41" s="297"/>
    </row>
    <row r="42" spans="1:15">
      <c r="B42" s="547"/>
      <c r="C42" s="548"/>
      <c r="D42" s="548"/>
      <c r="E42" s="548"/>
      <c r="F42" s="548"/>
      <c r="G42" s="548"/>
      <c r="H42" s="543"/>
      <c r="I42" s="620"/>
      <c r="J42" s="621"/>
      <c r="K42" s="315"/>
      <c r="L42" s="637"/>
      <c r="M42" s="638"/>
      <c r="N42" s="297"/>
    </row>
    <row r="43" spans="1:15">
      <c r="B43" s="547"/>
      <c r="C43" s="548"/>
      <c r="D43" s="548"/>
      <c r="E43" s="548"/>
      <c r="F43" s="548"/>
      <c r="G43" s="548"/>
      <c r="H43" s="543"/>
      <c r="I43" s="620"/>
      <c r="J43" s="621"/>
      <c r="K43" s="315"/>
      <c r="L43" s="637"/>
      <c r="M43" s="638"/>
      <c r="N43" s="297"/>
    </row>
    <row r="44" spans="1:15">
      <c r="B44" s="547"/>
      <c r="C44" s="548"/>
      <c r="D44" s="548"/>
      <c r="E44" s="548"/>
      <c r="F44" s="548"/>
      <c r="G44" s="548"/>
      <c r="H44" s="543"/>
      <c r="I44" s="620"/>
      <c r="J44" s="621"/>
      <c r="K44" s="315"/>
      <c r="L44" s="637"/>
      <c r="M44" s="638"/>
      <c r="N44" s="297"/>
    </row>
    <row r="45" spans="1:15">
      <c r="B45" s="547"/>
      <c r="C45" s="548"/>
      <c r="D45" s="548"/>
      <c r="E45" s="548"/>
      <c r="F45" s="548"/>
      <c r="G45" s="548"/>
      <c r="H45" s="543"/>
      <c r="I45" s="620"/>
      <c r="J45" s="621"/>
      <c r="K45" s="315"/>
      <c r="L45" s="637"/>
      <c r="M45" s="638"/>
      <c r="N45" s="297"/>
    </row>
    <row r="46" spans="1:15" ht="13.5" thickBot="1">
      <c r="B46" s="547"/>
      <c r="C46" s="548"/>
      <c r="D46" s="548"/>
      <c r="E46" s="548"/>
      <c r="F46" s="548"/>
      <c r="G46" s="548"/>
      <c r="H46" s="543"/>
      <c r="I46" s="620"/>
      <c r="J46" s="621"/>
      <c r="K46" s="316"/>
      <c r="L46" s="637"/>
      <c r="M46" s="638"/>
      <c r="N46" s="297"/>
    </row>
    <row r="47" spans="1:15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3348.0666666666666</v>
      </c>
    </row>
    <row r="48" spans="1:15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4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4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4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4">
      <c r="A52" s="113" t="s">
        <v>353</v>
      </c>
      <c r="B52" s="550" t="str">
        <f>VLOOKUP(A52,Materiales!$A$4:$D$141,2,0)</f>
        <v>ESFERAS REFLECTIVAS</v>
      </c>
      <c r="C52" s="551"/>
      <c r="D52" s="551"/>
      <c r="E52" s="551"/>
      <c r="F52" s="551"/>
      <c r="G52" s="551"/>
      <c r="H52" s="551"/>
      <c r="I52" s="552"/>
      <c r="J52" s="198" t="str">
        <f>VLOOKUP(A52,Materiales!$A$4:$D$141,3,0)</f>
        <v>LB</v>
      </c>
      <c r="K52" s="200">
        <v>0.85</v>
      </c>
      <c r="L52" s="522">
        <f>VLOOKUP(A52,Materiales!$A$4:$D$141,4,0)</f>
        <v>1900</v>
      </c>
      <c r="M52" s="523"/>
      <c r="N52" s="297">
        <f>+K52*L52</f>
        <v>1615</v>
      </c>
    </row>
    <row r="53" spans="1:14">
      <c r="A53" s="113" t="s">
        <v>354</v>
      </c>
      <c r="B53" s="550" t="str">
        <f>VLOOKUP(A53,Materiales!$A$4:$D$141,2,0)</f>
        <v>PINTURA ACRILICA PURA PARA TRAFICO</v>
      </c>
      <c r="C53" s="551"/>
      <c r="D53" s="551"/>
      <c r="E53" s="551"/>
      <c r="F53" s="551"/>
      <c r="G53" s="551"/>
      <c r="H53" s="551"/>
      <c r="I53" s="552"/>
      <c r="J53" s="198" t="str">
        <f>VLOOKUP(A53,Materiales!$A$4:$D$141,3,0)</f>
        <v>GALON</v>
      </c>
      <c r="K53" s="200">
        <v>0.16700000000000001</v>
      </c>
      <c r="L53" s="522">
        <f>VLOOKUP(A53,Materiales!$A$4:$D$141,4,0)</f>
        <v>64000</v>
      </c>
      <c r="M53" s="523"/>
      <c r="N53" s="297">
        <f>+K53*L53</f>
        <v>10688</v>
      </c>
    </row>
    <row r="54" spans="1:14">
      <c r="B54" s="540"/>
      <c r="C54" s="541"/>
      <c r="D54" s="541"/>
      <c r="E54" s="541"/>
      <c r="F54" s="541"/>
      <c r="G54" s="541"/>
      <c r="H54" s="541"/>
      <c r="I54" s="621"/>
      <c r="J54" s="198"/>
      <c r="K54" s="200"/>
      <c r="L54" s="522"/>
      <c r="M54" s="523"/>
      <c r="N54" s="297"/>
    </row>
    <row r="55" spans="1:14">
      <c r="B55" s="540"/>
      <c r="C55" s="541"/>
      <c r="D55" s="541"/>
      <c r="E55" s="541"/>
      <c r="F55" s="541"/>
      <c r="G55" s="541"/>
      <c r="H55" s="541"/>
      <c r="I55" s="621"/>
      <c r="J55" s="198"/>
      <c r="K55" s="200"/>
      <c r="L55" s="522"/>
      <c r="M55" s="523"/>
      <c r="N55" s="297"/>
    </row>
    <row r="56" spans="1:14">
      <c r="B56" s="540"/>
      <c r="C56" s="541"/>
      <c r="D56" s="541"/>
      <c r="E56" s="541"/>
      <c r="F56" s="541"/>
      <c r="G56" s="541"/>
      <c r="H56" s="541"/>
      <c r="I56" s="621"/>
      <c r="J56" s="198"/>
      <c r="K56" s="200"/>
      <c r="L56" s="522"/>
      <c r="M56" s="523"/>
      <c r="N56" s="297"/>
    </row>
    <row r="57" spans="1:14">
      <c r="B57" s="540"/>
      <c r="C57" s="541"/>
      <c r="D57" s="541"/>
      <c r="E57" s="541"/>
      <c r="F57" s="541"/>
      <c r="G57" s="541"/>
      <c r="H57" s="541"/>
      <c r="I57" s="621"/>
      <c r="J57" s="198"/>
      <c r="K57" s="200"/>
      <c r="L57" s="522"/>
      <c r="M57" s="523"/>
      <c r="N57" s="297"/>
    </row>
    <row r="58" spans="1:14">
      <c r="B58" s="540"/>
      <c r="C58" s="541"/>
      <c r="D58" s="541"/>
      <c r="E58" s="541"/>
      <c r="F58" s="541"/>
      <c r="G58" s="541"/>
      <c r="H58" s="541"/>
      <c r="I58" s="621"/>
      <c r="J58" s="198"/>
      <c r="K58" s="200"/>
      <c r="L58" s="522"/>
      <c r="M58" s="523"/>
      <c r="N58" s="297"/>
    </row>
    <row r="59" spans="1:14" ht="13.5" thickBot="1">
      <c r="B59" s="540"/>
      <c r="C59" s="541"/>
      <c r="D59" s="541"/>
      <c r="E59" s="541"/>
      <c r="F59" s="541"/>
      <c r="G59" s="541"/>
      <c r="H59" s="541"/>
      <c r="I59" s="621"/>
      <c r="J59" s="168"/>
      <c r="K59" s="169"/>
      <c r="L59" s="522"/>
      <c r="M59" s="523"/>
      <c r="N59" s="297"/>
    </row>
    <row r="60" spans="1:14" ht="14.25" thickBot="1">
      <c r="B60" s="524" t="s">
        <v>469</v>
      </c>
      <c r="C60" s="525"/>
      <c r="D60" s="525"/>
      <c r="E60" s="525"/>
      <c r="F60" s="525"/>
      <c r="G60" s="525"/>
      <c r="H60" s="525"/>
      <c r="I60" s="525"/>
      <c r="J60" s="525"/>
      <c r="K60" s="525"/>
      <c r="L60" s="525"/>
      <c r="M60" s="526"/>
      <c r="N60" s="319">
        <f>SUM(N52:N59)</f>
        <v>12303</v>
      </c>
    </row>
    <row r="61" spans="1:14">
      <c r="B61" s="574" t="s">
        <v>89</v>
      </c>
      <c r="C61" s="575"/>
      <c r="D61" s="575"/>
      <c r="E61" s="575"/>
      <c r="F61" s="575"/>
      <c r="G61" s="575"/>
      <c r="H61" s="575"/>
      <c r="I61" s="575"/>
      <c r="J61" s="575"/>
      <c r="K61" s="575"/>
      <c r="L61" s="575"/>
      <c r="M61" s="575"/>
      <c r="N61" s="576"/>
    </row>
    <row r="62" spans="1:14">
      <c r="B62" s="577" t="s">
        <v>89</v>
      </c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9"/>
    </row>
    <row r="63" spans="1:14" ht="13.5" thickBot="1">
      <c r="B63" s="580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2"/>
    </row>
    <row r="64" spans="1:14" s="346" customFormat="1">
      <c r="B64" s="564" t="s">
        <v>141</v>
      </c>
      <c r="C64" s="626"/>
      <c r="D64" s="626"/>
      <c r="E64" s="626"/>
      <c r="F64" s="626"/>
      <c r="G64" s="626"/>
      <c r="H64" s="626"/>
      <c r="I64" s="323" t="s">
        <v>142</v>
      </c>
      <c r="J64" s="321" t="s">
        <v>143</v>
      </c>
      <c r="K64" s="344" t="s">
        <v>248</v>
      </c>
      <c r="L64" s="656" t="s">
        <v>17</v>
      </c>
      <c r="M64" s="657"/>
      <c r="N64" s="345" t="s">
        <v>140</v>
      </c>
    </row>
    <row r="65" spans="1:14">
      <c r="B65" s="540"/>
      <c r="C65" s="541"/>
      <c r="D65" s="541"/>
      <c r="E65" s="541"/>
      <c r="F65" s="541"/>
      <c r="G65" s="541"/>
      <c r="H65" s="541"/>
      <c r="I65" s="205"/>
      <c r="J65" s="209"/>
      <c r="K65" s="205"/>
      <c r="L65" s="553"/>
      <c r="M65" s="554"/>
      <c r="N65" s="297">
        <f>+L65*K65</f>
        <v>0</v>
      </c>
    </row>
    <row r="66" spans="1:14" ht="13.5" thickBot="1">
      <c r="B66" s="624"/>
      <c r="C66" s="625"/>
      <c r="D66" s="625"/>
      <c r="E66" s="625"/>
      <c r="F66" s="625"/>
      <c r="G66" s="625"/>
      <c r="H66" s="625"/>
      <c r="I66" s="173"/>
      <c r="J66" s="161"/>
      <c r="K66" s="173"/>
      <c r="L66" s="645"/>
      <c r="M66" s="646"/>
      <c r="N66" s="327"/>
    </row>
    <row r="67" spans="1:14" ht="14.25" thickBot="1">
      <c r="B67" s="524" t="s">
        <v>469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6"/>
      <c r="N67" s="204">
        <f>SUM(N65:N66)</f>
        <v>0</v>
      </c>
    </row>
    <row r="68" spans="1:14">
      <c r="B68" s="574" t="s">
        <v>90</v>
      </c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6"/>
    </row>
    <row r="69" spans="1:14">
      <c r="B69" s="577" t="s">
        <v>90</v>
      </c>
      <c r="C69" s="578"/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9"/>
    </row>
    <row r="70" spans="1:14" ht="13.5" thickBot="1">
      <c r="B70" s="580"/>
      <c r="C70" s="581"/>
      <c r="D70" s="581"/>
      <c r="E70" s="581"/>
      <c r="F70" s="581"/>
      <c r="G70" s="581"/>
      <c r="H70" s="581"/>
      <c r="I70" s="581"/>
      <c r="J70" s="581"/>
      <c r="K70" s="581"/>
      <c r="L70" s="581"/>
      <c r="M70" s="581"/>
      <c r="N70" s="582"/>
    </row>
    <row r="71" spans="1:14" ht="13.5">
      <c r="B71" s="536" t="s">
        <v>144</v>
      </c>
      <c r="C71" s="537"/>
      <c r="D71" s="537"/>
      <c r="E71" s="537"/>
      <c r="F71" s="537"/>
      <c r="G71" s="537"/>
      <c r="H71" s="237" t="s">
        <v>101</v>
      </c>
      <c r="I71" s="237" t="s">
        <v>145</v>
      </c>
      <c r="J71" s="240" t="s">
        <v>84</v>
      </c>
      <c r="K71" s="241" t="s">
        <v>146</v>
      </c>
      <c r="L71" s="538" t="s">
        <v>136</v>
      </c>
      <c r="M71" s="539"/>
      <c r="N71" s="238" t="s">
        <v>140</v>
      </c>
    </row>
    <row r="72" spans="1:14">
      <c r="A72" s="113" t="s">
        <v>479</v>
      </c>
      <c r="B72" s="550" t="str">
        <f>VLOOKUP(A72,'Mano de Obra'!$A$4:$E$80,2,0)</f>
        <v>OPERADOR DE EQUIPO</v>
      </c>
      <c r="C72" s="551"/>
      <c r="D72" s="551"/>
      <c r="E72" s="551"/>
      <c r="F72" s="551"/>
      <c r="G72" s="552"/>
      <c r="H72" s="356">
        <v>1</v>
      </c>
      <c r="I72" s="302">
        <f>VLOOKUP(A72,'Mano de Obra'!$A$4:$D$80,3,0)</f>
        <v>72000</v>
      </c>
      <c r="J72" s="335">
        <f>VLOOKUP(A72,'Mano de Obra'!$A$4:$D$80,4,0)</f>
        <v>1.85</v>
      </c>
      <c r="K72" s="307">
        <f>+H72*I72*J72</f>
        <v>133200</v>
      </c>
      <c r="L72" s="529">
        <v>120</v>
      </c>
      <c r="M72" s="530"/>
      <c r="N72" s="326">
        <f>+K72/L72</f>
        <v>1110</v>
      </c>
    </row>
    <row r="73" spans="1:14">
      <c r="A73" s="113" t="s">
        <v>446</v>
      </c>
      <c r="B73" s="550" t="str">
        <f>VLOOKUP(A73,'Mano de Obra'!$A$4:$E$80,2,0)</f>
        <v>AYUDANTE</v>
      </c>
      <c r="C73" s="551"/>
      <c r="D73" s="551"/>
      <c r="E73" s="551"/>
      <c r="F73" s="551"/>
      <c r="G73" s="552"/>
      <c r="H73" s="356">
        <v>3</v>
      </c>
      <c r="I73" s="302">
        <f>VLOOKUP(A73,'Mano de Obra'!$A$4:$D$80,3,0)</f>
        <v>28000</v>
      </c>
      <c r="J73" s="335">
        <f>VLOOKUP(A73,'Mano de Obra'!$A$4:$D$80,4,0)</f>
        <v>1.85</v>
      </c>
      <c r="K73" s="307">
        <f>+H73*I73*J73</f>
        <v>155400</v>
      </c>
      <c r="L73" s="529">
        <v>120</v>
      </c>
      <c r="M73" s="530"/>
      <c r="N73" s="326">
        <f>+K73/L73</f>
        <v>1295</v>
      </c>
    </row>
    <row r="74" spans="1:14">
      <c r="B74" s="550"/>
      <c r="C74" s="551"/>
      <c r="D74" s="551"/>
      <c r="E74" s="551"/>
      <c r="F74" s="551"/>
      <c r="G74" s="552"/>
      <c r="H74" s="356"/>
      <c r="I74" s="302"/>
      <c r="J74" s="352"/>
      <c r="K74" s="307"/>
      <c r="L74" s="637"/>
      <c r="M74" s="638"/>
      <c r="N74" s="326"/>
    </row>
    <row r="75" spans="1:14">
      <c r="B75" s="550"/>
      <c r="C75" s="551"/>
      <c r="D75" s="551"/>
      <c r="E75" s="551"/>
      <c r="F75" s="551"/>
      <c r="G75" s="552"/>
      <c r="H75" s="357"/>
      <c r="I75" s="201"/>
      <c r="J75" s="353"/>
      <c r="K75" s="201"/>
      <c r="L75" s="542"/>
      <c r="M75" s="543"/>
      <c r="N75" s="297"/>
    </row>
    <row r="76" spans="1:14">
      <c r="B76" s="550"/>
      <c r="C76" s="551"/>
      <c r="D76" s="551"/>
      <c r="E76" s="551"/>
      <c r="F76" s="551"/>
      <c r="G76" s="552"/>
      <c r="H76" s="358"/>
      <c r="I76" s="351"/>
      <c r="J76" s="354"/>
      <c r="K76" s="307"/>
      <c r="L76" s="658"/>
      <c r="M76" s="659"/>
      <c r="N76" s="326"/>
    </row>
    <row r="77" spans="1:14">
      <c r="B77" s="550"/>
      <c r="C77" s="551"/>
      <c r="D77" s="551"/>
      <c r="E77" s="551"/>
      <c r="F77" s="551"/>
      <c r="G77" s="552"/>
      <c r="H77" s="356"/>
      <c r="I77" s="302"/>
      <c r="J77" s="352"/>
      <c r="K77" s="307"/>
      <c r="L77" s="637"/>
      <c r="M77" s="638"/>
      <c r="N77" s="326"/>
    </row>
    <row r="78" spans="1:14" ht="13.5" thickBot="1">
      <c r="B78" s="550"/>
      <c r="C78" s="551"/>
      <c r="D78" s="551"/>
      <c r="E78" s="551"/>
      <c r="F78" s="551"/>
      <c r="G78" s="552"/>
      <c r="H78" s="359"/>
      <c r="I78" s="309"/>
      <c r="J78" s="355"/>
      <c r="K78" s="309"/>
      <c r="L78" s="534"/>
      <c r="M78" s="535"/>
      <c r="N78" s="327"/>
    </row>
    <row r="79" spans="1:14" ht="14.25" thickBot="1">
      <c r="B79" s="524" t="s">
        <v>469</v>
      </c>
      <c r="C79" s="525"/>
      <c r="D79" s="525"/>
      <c r="E79" s="525"/>
      <c r="F79" s="525"/>
      <c r="G79" s="525"/>
      <c r="H79" s="525"/>
      <c r="I79" s="525"/>
      <c r="J79" s="525"/>
      <c r="K79" s="525"/>
      <c r="L79" s="525"/>
      <c r="M79" s="526"/>
      <c r="N79" s="319">
        <f>SUM(N72:N78)</f>
        <v>2405</v>
      </c>
    </row>
    <row r="80" spans="1:14" ht="13.5" thickBot="1">
      <c r="B80" s="159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7"/>
    </row>
    <row r="81" spans="2:14" ht="13.5" thickBot="1">
      <c r="B81" s="531" t="s">
        <v>470</v>
      </c>
      <c r="C81" s="532"/>
      <c r="D81" s="532"/>
      <c r="E81" s="532"/>
      <c r="F81" s="532"/>
      <c r="G81" s="532"/>
      <c r="H81" s="532"/>
      <c r="I81" s="532"/>
      <c r="J81" s="532"/>
      <c r="K81" s="532"/>
      <c r="L81" s="532"/>
      <c r="M81" s="533"/>
      <c r="N81" s="245">
        <f>+N79+N67+N60+N47</f>
        <v>18056.066666666666</v>
      </c>
    </row>
    <row r="82" spans="2:14">
      <c r="B82" s="574" t="s">
        <v>91</v>
      </c>
      <c r="C82" s="575"/>
      <c r="D82" s="575"/>
      <c r="E82" s="575"/>
      <c r="F82" s="575"/>
      <c r="G82" s="575"/>
      <c r="H82" s="575"/>
      <c r="I82" s="575"/>
      <c r="J82" s="575"/>
      <c r="K82" s="575"/>
      <c r="L82" s="575"/>
      <c r="M82" s="575"/>
      <c r="N82" s="576"/>
    </row>
    <row r="83" spans="2:14">
      <c r="B83" s="577" t="s">
        <v>91</v>
      </c>
      <c r="C83" s="578"/>
      <c r="D83" s="578"/>
      <c r="E83" s="578"/>
      <c r="F83" s="578"/>
      <c r="G83" s="578"/>
      <c r="H83" s="578"/>
      <c r="I83" s="578"/>
      <c r="J83" s="578"/>
      <c r="K83" s="578"/>
      <c r="L83" s="578"/>
      <c r="M83" s="578"/>
      <c r="N83" s="579"/>
    </row>
    <row r="84" spans="2:14" ht="13.5" thickBot="1">
      <c r="B84" s="580"/>
      <c r="C84" s="581"/>
      <c r="D84" s="581"/>
      <c r="E84" s="581"/>
      <c r="F84" s="581"/>
      <c r="G84" s="581"/>
      <c r="H84" s="581"/>
      <c r="I84" s="581"/>
      <c r="J84" s="581"/>
      <c r="K84" s="581"/>
      <c r="L84" s="581"/>
      <c r="M84" s="581"/>
      <c r="N84" s="582"/>
    </row>
    <row r="85" spans="2:14" ht="13.5">
      <c r="B85" s="536" t="s">
        <v>88</v>
      </c>
      <c r="C85" s="537"/>
      <c r="D85" s="537"/>
      <c r="E85" s="537"/>
      <c r="F85" s="537"/>
      <c r="G85" s="537"/>
      <c r="H85" s="537"/>
      <c r="I85" s="240"/>
      <c r="J85" s="246"/>
      <c r="K85" s="243" t="s">
        <v>92</v>
      </c>
      <c r="L85" s="527" t="s">
        <v>93</v>
      </c>
      <c r="M85" s="528"/>
      <c r="N85" s="244"/>
    </row>
    <row r="86" spans="2:14">
      <c r="B86" s="540" t="s">
        <v>82</v>
      </c>
      <c r="C86" s="541"/>
      <c r="D86" s="541"/>
      <c r="E86" s="541"/>
      <c r="F86" s="541"/>
      <c r="G86" s="541"/>
      <c r="H86" s="541"/>
      <c r="I86" s="182"/>
      <c r="J86" s="183"/>
      <c r="K86" s="251">
        <v>0.25</v>
      </c>
      <c r="L86" s="522">
        <f>+N81*K86</f>
        <v>4514.0166666666664</v>
      </c>
      <c r="M86" s="523"/>
      <c r="N86" s="184"/>
    </row>
    <row r="87" spans="2:14">
      <c r="B87" s="185" t="s">
        <v>94</v>
      </c>
      <c r="C87" s="186"/>
      <c r="D87" s="186"/>
      <c r="E87" s="186"/>
      <c r="F87" s="186"/>
      <c r="G87" s="186"/>
      <c r="H87" s="186"/>
      <c r="I87" s="182"/>
      <c r="J87" s="183"/>
      <c r="K87" s="251">
        <v>0.05</v>
      </c>
      <c r="L87" s="522">
        <f>+N81*K87</f>
        <v>902.80333333333328</v>
      </c>
      <c r="M87" s="523"/>
      <c r="N87" s="184"/>
    </row>
    <row r="88" spans="2:14" ht="13.5" thickBot="1">
      <c r="B88" s="187" t="s">
        <v>83</v>
      </c>
      <c r="C88" s="188"/>
      <c r="D88" s="188"/>
      <c r="E88" s="188"/>
      <c r="F88" s="188"/>
      <c r="G88" s="188"/>
      <c r="H88" s="188"/>
      <c r="I88" s="189"/>
      <c r="J88" s="190"/>
      <c r="K88" s="251">
        <v>0.05</v>
      </c>
      <c r="L88" s="627">
        <f>+N81*K88</f>
        <v>902.80333333333328</v>
      </c>
      <c r="M88" s="628"/>
      <c r="N88" s="184"/>
    </row>
    <row r="89" spans="2:14" ht="14.25" thickBot="1">
      <c r="B89" s="524" t="s">
        <v>469</v>
      </c>
      <c r="C89" s="525"/>
      <c r="D89" s="525"/>
      <c r="E89" s="525"/>
      <c r="F89" s="525"/>
      <c r="G89" s="525"/>
      <c r="H89" s="525"/>
      <c r="I89" s="525"/>
      <c r="J89" s="525"/>
      <c r="K89" s="525"/>
      <c r="L89" s="525"/>
      <c r="M89" s="526"/>
      <c r="N89" s="204">
        <f>SUM(L86:M88)</f>
        <v>6319.623333333333</v>
      </c>
    </row>
    <row r="90" spans="2:14" ht="13.5" thickBot="1">
      <c r="B90" s="159"/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7"/>
    </row>
    <row r="91" spans="2:14" ht="13.5" thickBot="1">
      <c r="B91" s="531" t="s">
        <v>471</v>
      </c>
      <c r="C91" s="532"/>
      <c r="D91" s="532"/>
      <c r="E91" s="532"/>
      <c r="F91" s="532"/>
      <c r="G91" s="532"/>
      <c r="H91" s="532"/>
      <c r="I91" s="532"/>
      <c r="J91" s="532"/>
      <c r="K91" s="532"/>
      <c r="L91" s="532"/>
      <c r="M91" s="533"/>
      <c r="N91" s="328">
        <f>ROUND(N81+N89,0)</f>
        <v>24376</v>
      </c>
    </row>
    <row r="92" spans="2:14">
      <c r="B92" s="138"/>
      <c r="C92" s="139"/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41"/>
    </row>
    <row r="93" spans="2:14">
      <c r="B93" s="159"/>
      <c r="C93" s="140"/>
      <c r="D93" s="140"/>
      <c r="E93" s="140"/>
      <c r="F93" s="140"/>
      <c r="G93" s="140"/>
      <c r="H93" s="140"/>
      <c r="I93" s="140"/>
      <c r="J93" s="140"/>
      <c r="K93" s="140"/>
      <c r="L93" s="140"/>
      <c r="M93" s="140"/>
      <c r="N93" s="147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5" t="str">
        <f>+'SV-01'!$G$96</f>
        <v>Firma</v>
      </c>
      <c r="H95" s="145"/>
      <c r="I95" s="145"/>
      <c r="J95" s="145"/>
      <c r="K95" s="140"/>
      <c r="L95" s="140"/>
      <c r="M95" s="140"/>
      <c r="N95" s="147"/>
    </row>
    <row r="96" spans="2:14" ht="13.5">
      <c r="B96" s="192"/>
      <c r="C96" s="193"/>
      <c r="D96" s="193"/>
      <c r="E96" s="193"/>
      <c r="F96" s="193"/>
      <c r="G96" s="145" t="str">
        <f>+'SV-01'!$G$97</f>
        <v>Nombre:</v>
      </c>
      <c r="H96" s="193"/>
      <c r="I96" s="193"/>
      <c r="J96" s="193"/>
      <c r="K96" s="193"/>
      <c r="L96" s="193"/>
      <c r="M96" s="193"/>
      <c r="N96" s="194"/>
    </row>
    <row r="97" spans="2:14" ht="13.5">
      <c r="B97" s="192"/>
      <c r="C97" s="193"/>
      <c r="D97" s="193"/>
      <c r="E97" s="193"/>
      <c r="F97" s="193"/>
      <c r="G97" s="145" t="str">
        <f>+'SV-01'!$G$98</f>
        <v>Representante Legal del Contratista o su Apoderado</v>
      </c>
      <c r="J97" s="193"/>
      <c r="K97" s="193"/>
      <c r="L97" s="193"/>
      <c r="M97" s="193"/>
      <c r="N97" s="194"/>
    </row>
    <row r="98" spans="2:14">
      <c r="B98" s="123"/>
      <c r="C98" s="155"/>
      <c r="D98" s="155"/>
      <c r="E98" s="155"/>
      <c r="F98" s="155"/>
      <c r="G98" s="145" t="str">
        <f>+'SV-01'!$G$99</f>
        <v>Matricula No. :</v>
      </c>
      <c r="H98" s="155"/>
      <c r="I98" s="155"/>
      <c r="J98" s="155"/>
      <c r="K98" s="155"/>
      <c r="L98" s="155"/>
      <c r="M98" s="155"/>
      <c r="N98" s="153"/>
    </row>
    <row r="99" spans="2:14">
      <c r="B99" s="159"/>
      <c r="C99" s="140"/>
      <c r="D99" s="140"/>
      <c r="E99" s="140"/>
      <c r="F99" s="140"/>
      <c r="G99" s="140" t="s">
        <v>206</v>
      </c>
      <c r="H99" s="140"/>
      <c r="I99" s="140"/>
      <c r="J99" s="140"/>
      <c r="K99" s="140"/>
      <c r="L99" s="140"/>
      <c r="M99" s="140"/>
      <c r="N99" s="147"/>
    </row>
    <row r="100" spans="2:14" ht="13.5">
      <c r="B100" s="165" t="str">
        <f>+'SV-01'!$B$101</f>
        <v>OBSERVACIONES INTERVENTORÍA</v>
      </c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7"/>
    </row>
    <row r="101" spans="2:14">
      <c r="B101" s="544"/>
      <c r="C101" s="545"/>
      <c r="D101" s="545"/>
      <c r="E101" s="545"/>
      <c r="F101" s="545"/>
      <c r="G101" s="545"/>
      <c r="H101" s="545"/>
      <c r="I101" s="545"/>
      <c r="J101" s="545"/>
      <c r="K101" s="545"/>
      <c r="L101" s="545"/>
      <c r="M101" s="545"/>
      <c r="N101" s="546"/>
    </row>
    <row r="102" spans="2:14">
      <c r="B102" s="547"/>
      <c r="C102" s="548"/>
      <c r="D102" s="548"/>
      <c r="E102" s="548"/>
      <c r="F102" s="548"/>
      <c r="G102" s="548"/>
      <c r="H102" s="548"/>
      <c r="I102" s="548"/>
      <c r="J102" s="548"/>
      <c r="K102" s="548"/>
      <c r="L102" s="548"/>
      <c r="M102" s="548"/>
      <c r="N102" s="549"/>
    </row>
    <row r="103" spans="2:14">
      <c r="B103" s="123"/>
      <c r="C103" s="155"/>
      <c r="D103" s="155"/>
      <c r="E103" s="155"/>
      <c r="F103" s="155"/>
      <c r="G103" s="155"/>
      <c r="H103" s="155"/>
      <c r="I103" s="155"/>
      <c r="J103" s="155"/>
      <c r="K103" s="155"/>
      <c r="L103" s="155"/>
      <c r="M103" s="155"/>
      <c r="N103" s="153"/>
    </row>
    <row r="104" spans="2:14">
      <c r="B104" s="159"/>
      <c r="C104" s="140"/>
      <c r="D104" s="140"/>
      <c r="E104" s="140"/>
      <c r="F104" s="140"/>
      <c r="G104" s="145" t="str">
        <f>+'SV-01'!$G$105</f>
        <v>Firma</v>
      </c>
      <c r="H104" s="140"/>
      <c r="I104" s="140"/>
      <c r="J104" s="140"/>
      <c r="K104" s="140"/>
      <c r="L104" s="140"/>
      <c r="M104" s="140"/>
      <c r="N104" s="147"/>
    </row>
    <row r="105" spans="2:14">
      <c r="B105" s="159"/>
      <c r="C105" s="140"/>
      <c r="D105" s="140"/>
      <c r="E105" s="140"/>
      <c r="F105" s="140"/>
      <c r="G105" s="140" t="str">
        <f>+'SV-01'!$G$106</f>
        <v>Nombre:</v>
      </c>
      <c r="H105" s="160"/>
      <c r="I105" s="160"/>
      <c r="J105" s="16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40" t="str">
        <f>+'SV-01'!$G$107</f>
        <v>Representante Legal del Interventor o su Apoderado</v>
      </c>
      <c r="H106" s="154"/>
      <c r="I106" s="154"/>
      <c r="J106" s="154"/>
      <c r="M106" s="140"/>
      <c r="N106" s="147"/>
    </row>
    <row r="107" spans="2:14">
      <c r="B107" s="196"/>
      <c r="C107" s="155"/>
      <c r="D107" s="155"/>
      <c r="E107" s="155"/>
      <c r="F107" s="155"/>
      <c r="G107" s="140" t="str">
        <f>+'SV-01'!$G$108</f>
        <v>Matricula No. :</v>
      </c>
      <c r="K107" s="155"/>
      <c r="L107" s="155"/>
      <c r="M107" s="155"/>
      <c r="N107" s="153"/>
    </row>
    <row r="108" spans="2:14" ht="12.75" customHeight="1">
      <c r="B108" s="199" t="str">
        <f>+'SV-01'!$B$109</f>
        <v xml:space="preserve">Original: Archivo de Gestión Contractual ( Subdirecciòn Administrativa) </v>
      </c>
      <c r="C108" s="197"/>
      <c r="D108" s="197"/>
      <c r="E108" s="140"/>
      <c r="F108" s="140"/>
      <c r="G108" s="140"/>
      <c r="H108" s="140"/>
      <c r="I108" s="140"/>
      <c r="J108" s="515"/>
      <c r="K108" s="515"/>
      <c r="L108" s="515"/>
      <c r="M108" s="515"/>
      <c r="N108" s="516"/>
    </row>
    <row r="109" spans="2:14" ht="12.75" customHeight="1">
      <c r="B109" s="199" t="str">
        <f>+'SV-01'!$B$110</f>
        <v>Copias : Unidad Ejecutora,  Contratista, Interventor y Dirección Territorial.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3.5" customHeight="1" thickBot="1">
      <c r="B110" s="519"/>
      <c r="C110" s="520"/>
      <c r="D110" s="520"/>
      <c r="E110" s="161"/>
      <c r="F110" s="161"/>
      <c r="G110" s="161"/>
      <c r="H110" s="161"/>
      <c r="I110" s="161"/>
      <c r="J110" s="517"/>
      <c r="K110" s="517"/>
      <c r="L110" s="517"/>
      <c r="M110" s="517"/>
      <c r="N110" s="518"/>
    </row>
  </sheetData>
  <mergeCells count="121">
    <mergeCell ref="B75:G75"/>
    <mergeCell ref="L75:M75"/>
    <mergeCell ref="B72:G72"/>
    <mergeCell ref="B76:G76"/>
    <mergeCell ref="B77:G77"/>
    <mergeCell ref="B78:G78"/>
    <mergeCell ref="B73:G73"/>
    <mergeCell ref="L77:M77"/>
    <mergeCell ref="L72:M72"/>
    <mergeCell ref="L76:M76"/>
    <mergeCell ref="L78:M78"/>
    <mergeCell ref="I45:J45"/>
    <mergeCell ref="B46:H46"/>
    <mergeCell ref="B42:H42"/>
    <mergeCell ref="I42:J42"/>
    <mergeCell ref="L42:M42"/>
    <mergeCell ref="B43:H43"/>
    <mergeCell ref="L43:M43"/>
    <mergeCell ref="L73:M73"/>
    <mergeCell ref="B74:G74"/>
    <mergeCell ref="L74:M74"/>
    <mergeCell ref="B59:I59"/>
    <mergeCell ref="L59:M59"/>
    <mergeCell ref="L58:M58"/>
    <mergeCell ref="L45:M45"/>
    <mergeCell ref="I46:J46"/>
    <mergeCell ref="L46:M46"/>
    <mergeCell ref="B47:M47"/>
    <mergeCell ref="B51:I51"/>
    <mergeCell ref="L51:M51"/>
    <mergeCell ref="B52:I52"/>
    <mergeCell ref="L52:M52"/>
    <mergeCell ref="B48:N50"/>
    <mergeCell ref="B45:H45"/>
    <mergeCell ref="B56:I56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B37:H37"/>
    <mergeCell ref="I38:J38"/>
    <mergeCell ref="L38:M38"/>
    <mergeCell ref="L44:M44"/>
    <mergeCell ref="I44:J44"/>
    <mergeCell ref="B38:H38"/>
    <mergeCell ref="B44:H44"/>
    <mergeCell ref="B39:H39"/>
    <mergeCell ref="I39:J39"/>
    <mergeCell ref="L39:M39"/>
    <mergeCell ref="B40:H40"/>
    <mergeCell ref="L40:M40"/>
    <mergeCell ref="B41:H41"/>
    <mergeCell ref="I41:J41"/>
    <mergeCell ref="L41:M41"/>
    <mergeCell ref="I40:J40"/>
    <mergeCell ref="I43:J43"/>
    <mergeCell ref="L56:M56"/>
    <mergeCell ref="B57:I57"/>
    <mergeCell ref="L57:M57"/>
    <mergeCell ref="B58:I58"/>
    <mergeCell ref="B53:I53"/>
    <mergeCell ref="L53:M53"/>
    <mergeCell ref="B54:I54"/>
    <mergeCell ref="L54:M54"/>
    <mergeCell ref="B55:I55"/>
    <mergeCell ref="L55:M55"/>
    <mergeCell ref="B60:M60"/>
    <mergeCell ref="B64:H64"/>
    <mergeCell ref="L64:M64"/>
    <mergeCell ref="B65:H65"/>
    <mergeCell ref="L65:M65"/>
    <mergeCell ref="B66:H66"/>
    <mergeCell ref="L66:M66"/>
    <mergeCell ref="B67:M67"/>
    <mergeCell ref="L71:M71"/>
    <mergeCell ref="B61:N63"/>
    <mergeCell ref="B68:N70"/>
    <mergeCell ref="B71:G71"/>
    <mergeCell ref="B79:M79"/>
    <mergeCell ref="B81:M81"/>
    <mergeCell ref="B85:H85"/>
    <mergeCell ref="L85:M85"/>
    <mergeCell ref="B82:N84"/>
    <mergeCell ref="B101:N101"/>
    <mergeCell ref="B102:N102"/>
    <mergeCell ref="J108:N110"/>
    <mergeCell ref="B110:D110"/>
    <mergeCell ref="B86:H86"/>
    <mergeCell ref="L86:M86"/>
    <mergeCell ref="L87:M87"/>
    <mergeCell ref="L88:M88"/>
    <mergeCell ref="B89:M89"/>
    <mergeCell ref="B91:M91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5"/>
  <dimension ref="A1:P116"/>
  <sheetViews>
    <sheetView showGridLines="0" view="pageBreakPreview" zoomScaleNormal="100" zoomScaleSheetLayoutView="100" workbookViewId="0">
      <selection activeCell="E26" sqref="E26:M26"/>
    </sheetView>
  </sheetViews>
  <sheetFormatPr baseColWidth="10" defaultRowHeight="12.75"/>
  <cols>
    <col min="1" max="1" width="3.140625" style="113" customWidth="1"/>
    <col min="2" max="13" width="11.42578125" style="113"/>
    <col min="14" max="14" width="15" style="113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59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</v>
      </c>
      <c r="M38" s="638"/>
      <c r="N38" s="297">
        <f>+K38/L38</f>
        <v>5084.75</v>
      </c>
    </row>
    <row r="39" spans="1:14">
      <c r="A39" s="113" t="s">
        <v>366</v>
      </c>
      <c r="B39" s="550" t="str">
        <f>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637">
        <v>4</v>
      </c>
      <c r="M39" s="638"/>
      <c r="N39" s="297">
        <f t="shared" ref="N39:N44" si="0">+K39/L39</f>
        <v>5084.75</v>
      </c>
    </row>
    <row r="40" spans="1:14">
      <c r="A40" s="113" t="s">
        <v>367</v>
      </c>
      <c r="B40" s="550" t="str">
        <f>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VLOOKUP(A40,Equipo!$A$4:$D$80,4,0)</f>
        <v>16271</v>
      </c>
      <c r="L40" s="637">
        <v>4</v>
      </c>
      <c r="M40" s="638"/>
      <c r="N40" s="297">
        <f t="shared" si="0"/>
        <v>4067.75</v>
      </c>
    </row>
    <row r="41" spans="1:14">
      <c r="A41" s="113" t="s">
        <v>368</v>
      </c>
      <c r="B41" s="550" t="str">
        <f>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637">
        <v>4</v>
      </c>
      <c r="M41" s="638"/>
      <c r="N41" s="297">
        <f t="shared" si="0"/>
        <v>5084.75</v>
      </c>
    </row>
    <row r="42" spans="1:14">
      <c r="A42" s="113" t="s">
        <v>369</v>
      </c>
      <c r="B42" s="550" t="str">
        <f>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637">
        <v>3</v>
      </c>
      <c r="M42" s="638"/>
      <c r="N42" s="297">
        <f t="shared" si="0"/>
        <v>4524.666666666667</v>
      </c>
    </row>
    <row r="43" spans="1:14">
      <c r="A43" s="113" t="s">
        <v>370</v>
      </c>
      <c r="B43" s="550" t="str">
        <f>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VLOOKUP(A43,Equipo!$A$4:$D$80,4,0)</f>
        <v>8003</v>
      </c>
      <c r="L43" s="637">
        <v>3</v>
      </c>
      <c r="M43" s="638"/>
      <c r="N43" s="297">
        <f t="shared" si="0"/>
        <v>2667.6666666666665</v>
      </c>
    </row>
    <row r="44" spans="1:14">
      <c r="A44" s="113" t="s">
        <v>371</v>
      </c>
      <c r="B44" s="550" t="str">
        <f>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37">
        <v>4</v>
      </c>
      <c r="M44" s="638"/>
      <c r="N44" s="297">
        <f t="shared" si="0"/>
        <v>678.75</v>
      </c>
    </row>
    <row r="45" spans="1:14">
      <c r="A45" s="113" t="s">
        <v>466</v>
      </c>
      <c r="B45" s="550" t="str">
        <f>VLOOKUP(A45,Equipo!$A$4:$D$80,2,0)</f>
        <v>HERRAMIENTA MENOR</v>
      </c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>
        <v>2600</v>
      </c>
    </row>
    <row r="46" spans="1:14" ht="13.5" thickBot="1">
      <c r="B46" s="550"/>
      <c r="C46" s="551"/>
      <c r="D46" s="551"/>
      <c r="E46" s="551"/>
      <c r="F46" s="551"/>
      <c r="G46" s="551"/>
      <c r="H46" s="552"/>
      <c r="I46" s="620"/>
      <c r="J46" s="621"/>
      <c r="K46" s="315"/>
      <c r="L46" s="637"/>
      <c r="M46" s="638"/>
      <c r="N46" s="297"/>
    </row>
    <row r="47" spans="1:14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29793.083333333336</v>
      </c>
    </row>
    <row r="48" spans="1:14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6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6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6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6">
      <c r="A52" s="113" t="s">
        <v>344</v>
      </c>
      <c r="B52" s="540" t="str">
        <f>VLOOKUP(A52,Materiales!$A$4:$D$141,2,0)</f>
        <v>LAMINA GALV. CALIBRE 16</v>
      </c>
      <c r="C52" s="541"/>
      <c r="D52" s="541"/>
      <c r="E52" s="541"/>
      <c r="F52" s="541"/>
      <c r="G52" s="541"/>
      <c r="H52" s="541"/>
      <c r="I52" s="621"/>
      <c r="J52" s="198" t="str">
        <f>VLOOKUP(A52,Materiales!$A$4:$D$141,3,0)</f>
        <v>M2</v>
      </c>
      <c r="K52" s="200">
        <v>0.15</v>
      </c>
      <c r="L52" s="522">
        <f>VLOOKUP(A52,Materiales!$A$4:$D$141,4,0)</f>
        <v>49580</v>
      </c>
      <c r="M52" s="523"/>
      <c r="N52" s="297">
        <f>+K52*L52</f>
        <v>7437</v>
      </c>
      <c r="O52" s="113">
        <f>0.45*0.3</f>
        <v>0.13500000000000001</v>
      </c>
      <c r="P52" s="113">
        <f>+O52*1.02</f>
        <v>0.13770000000000002</v>
      </c>
    </row>
    <row r="53" spans="1:16">
      <c r="A53" s="113" t="s">
        <v>345</v>
      </c>
      <c r="B53" s="540" t="str">
        <f>VLOOKUP(A53,Materiales!$A$4:$D$141,2,0)</f>
        <v>PAPEL REFLECTIVO TIPO III</v>
      </c>
      <c r="C53" s="541"/>
      <c r="D53" s="541"/>
      <c r="E53" s="541"/>
      <c r="F53" s="541"/>
      <c r="G53" s="541"/>
      <c r="H53" s="541"/>
      <c r="I53" s="621"/>
      <c r="J53" s="198" t="str">
        <f>VLOOKUP(A53,Materiales!$A$4:$D$141,3,0)</f>
        <v>M2</v>
      </c>
      <c r="K53" s="200">
        <v>0.13700000000000001</v>
      </c>
      <c r="L53" s="522">
        <f>VLOOKUP(A53,Materiales!$A$4:$D$141,4,0)</f>
        <v>48400</v>
      </c>
      <c r="M53" s="523"/>
      <c r="N53" s="297">
        <f t="shared" ref="N53:N60" si="1">+K53*L53</f>
        <v>6630.8</v>
      </c>
    </row>
    <row r="54" spans="1:16">
      <c r="A54" s="113" t="s">
        <v>346</v>
      </c>
      <c r="B54" s="540" t="str">
        <f>VLOOKUP(A54,Materiales!$A$4:$D$141,2,0)</f>
        <v>ANGULO DE 2" X 1/4"</v>
      </c>
      <c r="C54" s="541"/>
      <c r="D54" s="541"/>
      <c r="E54" s="541"/>
      <c r="F54" s="541"/>
      <c r="G54" s="541"/>
      <c r="H54" s="541"/>
      <c r="I54" s="621"/>
      <c r="J54" s="198" t="str">
        <f>VLOOKUP(A54,Materiales!$A$4:$D$141,3,0)</f>
        <v>ML</v>
      </c>
      <c r="K54" s="200">
        <v>2.4500000000000002</v>
      </c>
      <c r="L54" s="522">
        <f>VLOOKUP(A54,Materiales!$A$4:$D$141,4,0)</f>
        <v>17710</v>
      </c>
      <c r="M54" s="523"/>
      <c r="N54" s="297">
        <f t="shared" si="1"/>
        <v>43389.5</v>
      </c>
      <c r="O54" s="113">
        <f>0.45+1.2+0.8</f>
        <v>2.4500000000000002</v>
      </c>
    </row>
    <row r="55" spans="1:16">
      <c r="A55" s="113" t="s">
        <v>347</v>
      </c>
      <c r="B55" s="540" t="str">
        <f>VLOOKUP(A55,Materiales!$A$4:$D$141,2,0)</f>
        <v>ANGULO DE 2" X 1/8"</v>
      </c>
      <c r="C55" s="541"/>
      <c r="D55" s="541"/>
      <c r="E55" s="541"/>
      <c r="F55" s="541"/>
      <c r="G55" s="541"/>
      <c r="H55" s="541"/>
      <c r="I55" s="621"/>
      <c r="J55" s="198" t="str">
        <f>VLOOKUP(A55,Materiales!$A$4:$D$141,3,0)</f>
        <v>ML</v>
      </c>
      <c r="K55" s="200">
        <f>0.3*2</f>
        <v>0.6</v>
      </c>
      <c r="L55" s="522">
        <f>VLOOKUP(A55,Materiales!$A$4:$D$141,4,0)</f>
        <v>9810</v>
      </c>
      <c r="M55" s="523"/>
      <c r="N55" s="297">
        <f t="shared" si="1"/>
        <v>5886</v>
      </c>
      <c r="O55" s="113">
        <f>0.45+0.3</f>
        <v>0.75</v>
      </c>
    </row>
    <row r="56" spans="1:16">
      <c r="A56" s="113" t="s">
        <v>348</v>
      </c>
      <c r="B56" s="540" t="str">
        <f>VLOOKUP(A56,Materiales!$A$4:$D$141,2,0)</f>
        <v>TORNILLOS Y REMACHES</v>
      </c>
      <c r="C56" s="541"/>
      <c r="D56" s="541"/>
      <c r="E56" s="541"/>
      <c r="F56" s="541"/>
      <c r="G56" s="541"/>
      <c r="H56" s="541"/>
      <c r="I56" s="621"/>
      <c r="J56" s="198" t="str">
        <f>VLOOKUP(A56,Materiales!$A$4:$D$141,3,0)</f>
        <v>UND.</v>
      </c>
      <c r="K56" s="200">
        <v>4</v>
      </c>
      <c r="L56" s="522">
        <f>VLOOKUP(A56,Materiales!$A$4:$D$141,4,0)</f>
        <v>1004</v>
      </c>
      <c r="M56" s="523"/>
      <c r="N56" s="297">
        <f t="shared" si="1"/>
        <v>4016</v>
      </c>
    </row>
    <row r="57" spans="1:16">
      <c r="A57" s="113" t="s">
        <v>349</v>
      </c>
      <c r="B57" s="540" t="str">
        <f>VLOOKUP(A57,Materiales!$A$4:$D$141,2,0)</f>
        <v>PINTURA EN POLVO</v>
      </c>
      <c r="C57" s="541"/>
      <c r="D57" s="541"/>
      <c r="E57" s="541"/>
      <c r="F57" s="541"/>
      <c r="G57" s="541"/>
      <c r="H57" s="541"/>
      <c r="I57" s="621"/>
      <c r="J57" s="198" t="str">
        <f>VLOOKUP(A57,Materiales!$A$4:$D$141,3,0)</f>
        <v>GALON</v>
      </c>
      <c r="K57" s="200">
        <v>0.05</v>
      </c>
      <c r="L57" s="522">
        <f>VLOOKUP(A57,Materiales!$A$4:$D$141,4,0)</f>
        <v>170330</v>
      </c>
      <c r="M57" s="523"/>
      <c r="N57" s="297">
        <f t="shared" si="1"/>
        <v>8516.5</v>
      </c>
    </row>
    <row r="58" spans="1:16">
      <c r="A58" s="113" t="s">
        <v>350</v>
      </c>
      <c r="B58" s="540" t="str">
        <f>VLOOKUP(A58,Materiales!$A$4:$D$141,2,0)</f>
        <v>PINTURA ESMALTE</v>
      </c>
      <c r="C58" s="541"/>
      <c r="D58" s="541"/>
      <c r="E58" s="541"/>
      <c r="F58" s="541"/>
      <c r="G58" s="541"/>
      <c r="H58" s="541"/>
      <c r="I58" s="621"/>
      <c r="J58" s="198" t="str">
        <f>VLOOKUP(A58,Materiales!$A$4:$D$141,3,0)</f>
        <v>GALON</v>
      </c>
      <c r="K58" s="200">
        <v>0.06</v>
      </c>
      <c r="L58" s="522">
        <f>VLOOKUP(A58,Materiales!$A$4:$D$141,4,0)</f>
        <v>59020</v>
      </c>
      <c r="M58" s="523"/>
      <c r="N58" s="297">
        <f t="shared" si="1"/>
        <v>3541.2</v>
      </c>
    </row>
    <row r="59" spans="1:16">
      <c r="A59" s="113" t="s">
        <v>351</v>
      </c>
      <c r="B59" s="540" t="str">
        <f>VLOOKUP(A59,Materiales!$A$4:$D$141,2,0)</f>
        <v>SOLDADURA</v>
      </c>
      <c r="C59" s="541"/>
      <c r="D59" s="541"/>
      <c r="E59" s="541"/>
      <c r="F59" s="541"/>
      <c r="G59" s="541"/>
      <c r="H59" s="541"/>
      <c r="I59" s="621"/>
      <c r="J59" s="198" t="str">
        <f>VLOOKUP(A59,Materiales!$A$4:$D$141,3,0)</f>
        <v>KG</v>
      </c>
      <c r="K59" s="200">
        <v>0.25</v>
      </c>
      <c r="L59" s="522">
        <f>VLOOKUP(A59,Materiales!$A$4:$D$141,4,0)</f>
        <v>7210</v>
      </c>
      <c r="M59" s="523"/>
      <c r="N59" s="297">
        <f t="shared" si="1"/>
        <v>1802.5</v>
      </c>
    </row>
    <row r="60" spans="1:16">
      <c r="A60" s="113" t="s">
        <v>352</v>
      </c>
      <c r="B60" s="540" t="str">
        <f>VLOOKUP(A60,Materiales!$A$4:$D$141,2,0)</f>
        <v>CONCRETO CLASE E</v>
      </c>
      <c r="C60" s="541"/>
      <c r="D60" s="541"/>
      <c r="E60" s="541"/>
      <c r="F60" s="541"/>
      <c r="G60" s="541"/>
      <c r="H60" s="541"/>
      <c r="I60" s="621"/>
      <c r="J60" s="198" t="str">
        <f>VLOOKUP(A60,Materiales!$A$4:$D$141,3,0)</f>
        <v>M3</v>
      </c>
      <c r="K60" s="200">
        <v>0.05</v>
      </c>
      <c r="L60" s="522">
        <f>VLOOKUP(A60,Materiales!$A$4:$D$141,4,0)</f>
        <v>463800</v>
      </c>
      <c r="M60" s="523"/>
      <c r="N60" s="297">
        <f t="shared" si="1"/>
        <v>23190</v>
      </c>
    </row>
    <row r="61" spans="1:16">
      <c r="B61" s="540"/>
      <c r="C61" s="541"/>
      <c r="D61" s="541"/>
      <c r="E61" s="541"/>
      <c r="F61" s="541"/>
      <c r="G61" s="541"/>
      <c r="H61" s="541"/>
      <c r="I61" s="621"/>
      <c r="J61" s="198"/>
      <c r="K61" s="200"/>
      <c r="L61" s="522"/>
      <c r="M61" s="523"/>
      <c r="N61" s="297"/>
    </row>
    <row r="62" spans="1:16" ht="13.5" thickBot="1">
      <c r="B62" s="540"/>
      <c r="C62" s="541"/>
      <c r="D62" s="541"/>
      <c r="E62" s="541"/>
      <c r="F62" s="541"/>
      <c r="G62" s="541"/>
      <c r="H62" s="541"/>
      <c r="I62" s="621"/>
      <c r="J62" s="195"/>
      <c r="K62" s="169"/>
      <c r="L62" s="522"/>
      <c r="M62" s="523"/>
      <c r="N62" s="297"/>
    </row>
    <row r="63" spans="1:16" ht="14.25" thickBot="1">
      <c r="B63" s="524" t="s">
        <v>469</v>
      </c>
      <c r="C63" s="525"/>
      <c r="D63" s="525"/>
      <c r="E63" s="525"/>
      <c r="F63" s="525"/>
      <c r="G63" s="525"/>
      <c r="H63" s="525"/>
      <c r="I63" s="525"/>
      <c r="J63" s="525"/>
      <c r="K63" s="525"/>
      <c r="L63" s="525"/>
      <c r="M63" s="526"/>
      <c r="N63" s="171">
        <f>SUM(N52:N62)</f>
        <v>104409.5</v>
      </c>
    </row>
    <row r="64" spans="1:16">
      <c r="B64" s="574" t="s">
        <v>89</v>
      </c>
      <c r="C64" s="575"/>
      <c r="D64" s="575"/>
      <c r="E64" s="575"/>
      <c r="F64" s="575"/>
      <c r="G64" s="575"/>
      <c r="H64" s="575"/>
      <c r="I64" s="575"/>
      <c r="J64" s="575"/>
      <c r="K64" s="575"/>
      <c r="L64" s="575"/>
      <c r="M64" s="575"/>
      <c r="N64" s="576"/>
    </row>
    <row r="65" spans="1:14">
      <c r="B65" s="577" t="s">
        <v>89</v>
      </c>
      <c r="C65" s="578"/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9"/>
    </row>
    <row r="66" spans="1:14" ht="13.5" thickBot="1">
      <c r="B66" s="580"/>
      <c r="C66" s="581"/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2"/>
    </row>
    <row r="67" spans="1:14" ht="13.5">
      <c r="B67" s="536" t="s">
        <v>141</v>
      </c>
      <c r="C67" s="537"/>
      <c r="D67" s="537"/>
      <c r="E67" s="537"/>
      <c r="F67" s="537"/>
      <c r="G67" s="537"/>
      <c r="H67" s="537"/>
      <c r="I67" s="237" t="s">
        <v>142</v>
      </c>
      <c r="J67" s="240" t="s">
        <v>143</v>
      </c>
      <c r="K67" s="241" t="s">
        <v>248</v>
      </c>
      <c r="L67" s="538" t="s">
        <v>17</v>
      </c>
      <c r="M67" s="539"/>
      <c r="N67" s="238" t="s">
        <v>140</v>
      </c>
    </row>
    <row r="68" spans="1:14">
      <c r="B68" s="540" t="s">
        <v>467</v>
      </c>
      <c r="C68" s="541"/>
      <c r="D68" s="541"/>
      <c r="E68" s="541"/>
      <c r="F68" s="541"/>
      <c r="G68" s="541"/>
      <c r="H68" s="541"/>
      <c r="I68" s="172"/>
      <c r="J68" s="166"/>
      <c r="K68" s="172"/>
      <c r="L68" s="542"/>
      <c r="M68" s="543"/>
      <c r="N68" s="297">
        <v>22680</v>
      </c>
    </row>
    <row r="69" spans="1:14" ht="13.5" thickBot="1">
      <c r="B69" s="624"/>
      <c r="C69" s="625"/>
      <c r="D69" s="625"/>
      <c r="E69" s="625"/>
      <c r="F69" s="625"/>
      <c r="G69" s="625"/>
      <c r="H69" s="625"/>
      <c r="I69" s="173"/>
      <c r="J69" s="161"/>
      <c r="K69" s="173"/>
      <c r="L69" s="534"/>
      <c r="M69" s="535"/>
      <c r="N69" s="210"/>
    </row>
    <row r="70" spans="1:14" ht="14.25" thickBot="1">
      <c r="B70" s="524" t="s">
        <v>472</v>
      </c>
      <c r="C70" s="525"/>
      <c r="D70" s="525"/>
      <c r="E70" s="525"/>
      <c r="F70" s="525"/>
      <c r="G70" s="525"/>
      <c r="H70" s="525"/>
      <c r="I70" s="525"/>
      <c r="J70" s="525"/>
      <c r="K70" s="525"/>
      <c r="L70" s="525"/>
      <c r="M70" s="526"/>
      <c r="N70" s="164">
        <f>SUM(N68:N69)</f>
        <v>22680</v>
      </c>
    </row>
    <row r="71" spans="1:14">
      <c r="B71" s="574" t="s">
        <v>90</v>
      </c>
      <c r="C71" s="575"/>
      <c r="D71" s="575"/>
      <c r="E71" s="575"/>
      <c r="F71" s="575"/>
      <c r="G71" s="575"/>
      <c r="H71" s="575"/>
      <c r="I71" s="575"/>
      <c r="J71" s="575"/>
      <c r="K71" s="575"/>
      <c r="L71" s="575"/>
      <c r="M71" s="575"/>
      <c r="N71" s="576"/>
    </row>
    <row r="72" spans="1:14">
      <c r="B72" s="577" t="s">
        <v>90</v>
      </c>
      <c r="C72" s="578"/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9"/>
    </row>
    <row r="73" spans="1:14" ht="13.5" thickBot="1"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3.5">
      <c r="B74" s="536" t="s">
        <v>144</v>
      </c>
      <c r="C74" s="537"/>
      <c r="D74" s="537"/>
      <c r="E74" s="537"/>
      <c r="F74" s="537"/>
      <c r="G74" s="537"/>
      <c r="H74" s="237" t="s">
        <v>101</v>
      </c>
      <c r="I74" s="237" t="s">
        <v>145</v>
      </c>
      <c r="J74" s="240" t="s">
        <v>84</v>
      </c>
      <c r="K74" s="241" t="s">
        <v>146</v>
      </c>
      <c r="L74" s="538" t="s">
        <v>136</v>
      </c>
      <c r="M74" s="539"/>
      <c r="N74" s="238" t="s">
        <v>140</v>
      </c>
    </row>
    <row r="75" spans="1:14">
      <c r="A75" s="113" t="s">
        <v>441</v>
      </c>
      <c r="B75" s="550" t="str">
        <f>VLOOKUP(A75,'Mano de Obra'!$A$4:$E$80,2,0)</f>
        <v>CORTADOR</v>
      </c>
      <c r="C75" s="551"/>
      <c r="D75" s="551"/>
      <c r="E75" s="551"/>
      <c r="F75" s="551"/>
      <c r="G75" s="551"/>
      <c r="H75" s="208">
        <v>1</v>
      </c>
      <c r="I75" s="302">
        <f>VLOOKUP(A75,'Mano de Obra'!$A$4:$E$80,3,0)</f>
        <v>72000</v>
      </c>
      <c r="J75" s="177">
        <f>VLOOKUP(A75,'Mano de Obra'!$A$4:$E$80,4,0)</f>
        <v>1.85</v>
      </c>
      <c r="K75" s="307">
        <f>+H75*I75*J75</f>
        <v>133200</v>
      </c>
      <c r="L75" s="529">
        <v>40</v>
      </c>
      <c r="M75" s="530"/>
      <c r="N75" s="326">
        <f>+K75/L75</f>
        <v>3330</v>
      </c>
    </row>
    <row r="76" spans="1:14">
      <c r="A76" s="113" t="s">
        <v>442</v>
      </c>
      <c r="B76" s="550" t="str">
        <f>VLOOKUP(A76,'Mano de Obra'!$A$4:$E$80,2,0)</f>
        <v>SOLDADOR</v>
      </c>
      <c r="C76" s="551"/>
      <c r="D76" s="551"/>
      <c r="E76" s="551"/>
      <c r="F76" s="551"/>
      <c r="G76" s="551"/>
      <c r="H76" s="208">
        <v>1</v>
      </c>
      <c r="I76" s="302">
        <f>VLOOKUP(A76,'Mano de Obra'!$A$4:$E$80,3,0)</f>
        <v>88000</v>
      </c>
      <c r="J76" s="177">
        <f>VLOOKUP(A76,'Mano de Obra'!$A$4:$E$80,4,0)</f>
        <v>1.85</v>
      </c>
      <c r="K76" s="307">
        <f t="shared" ref="K76:K81" si="2">+H76*I76*J76</f>
        <v>162800</v>
      </c>
      <c r="L76" s="529">
        <v>40</v>
      </c>
      <c r="M76" s="530"/>
      <c r="N76" s="326">
        <f t="shared" ref="N76:N81" si="3">+K76/L76</f>
        <v>4070</v>
      </c>
    </row>
    <row r="77" spans="1:14">
      <c r="A77" s="113" t="s">
        <v>443</v>
      </c>
      <c r="B77" s="550" t="str">
        <f>VLOOKUP(A77,'Mano de Obra'!$A$4:$E$80,2,0)</f>
        <v>PINTOR</v>
      </c>
      <c r="C77" s="551"/>
      <c r="D77" s="551"/>
      <c r="E77" s="551"/>
      <c r="F77" s="551"/>
      <c r="G77" s="551"/>
      <c r="H77" s="208">
        <v>1</v>
      </c>
      <c r="I77" s="302">
        <f>VLOOKUP(A77,'Mano de Obra'!$A$4:$E$80,3,0)</f>
        <v>72000</v>
      </c>
      <c r="J77" s="177">
        <f>VLOOKUP(A77,'Mano de Obra'!$A$4:$E$80,4,0)</f>
        <v>1.85</v>
      </c>
      <c r="K77" s="307">
        <f t="shared" si="2"/>
        <v>133200</v>
      </c>
      <c r="L77" s="637">
        <v>40</v>
      </c>
      <c r="M77" s="638"/>
      <c r="N77" s="326">
        <f t="shared" si="3"/>
        <v>3330</v>
      </c>
    </row>
    <row r="78" spans="1:14">
      <c r="A78" s="113" t="s">
        <v>444</v>
      </c>
      <c r="B78" s="550" t="str">
        <f>VLOOKUP(A78,'Mano de Obra'!$A$4:$E$80,2,0)</f>
        <v>LAMINADOR</v>
      </c>
      <c r="C78" s="551"/>
      <c r="D78" s="551"/>
      <c r="E78" s="551"/>
      <c r="F78" s="551"/>
      <c r="G78" s="551"/>
      <c r="H78" s="208">
        <v>1</v>
      </c>
      <c r="I78" s="302">
        <f>VLOOKUP(A78,'Mano de Obra'!$A$4:$E$80,3,0)</f>
        <v>72000</v>
      </c>
      <c r="J78" s="177">
        <f>VLOOKUP(A78,'Mano de Obra'!$A$4:$E$80,4,0)</f>
        <v>1.85</v>
      </c>
      <c r="K78" s="307">
        <f t="shared" si="2"/>
        <v>133200</v>
      </c>
      <c r="L78" s="529">
        <v>40</v>
      </c>
      <c r="M78" s="530"/>
      <c r="N78" s="326">
        <f t="shared" si="3"/>
        <v>3330</v>
      </c>
    </row>
    <row r="79" spans="1:14">
      <c r="A79" s="113" t="s">
        <v>445</v>
      </c>
      <c r="B79" s="550" t="str">
        <f>VLOOKUP(A79,'Mano de Obra'!$A$4:$E$80,2,0)</f>
        <v>SERIGRAFISTA</v>
      </c>
      <c r="C79" s="551"/>
      <c r="D79" s="551"/>
      <c r="E79" s="551"/>
      <c r="F79" s="551"/>
      <c r="G79" s="551"/>
      <c r="H79" s="208">
        <v>1</v>
      </c>
      <c r="I79" s="302">
        <f>VLOOKUP(A79,'Mano de Obra'!$A$4:$E$80,3,0)</f>
        <v>72000</v>
      </c>
      <c r="J79" s="177">
        <f>VLOOKUP(A79,'Mano de Obra'!$A$4:$E$80,4,0)</f>
        <v>1.85</v>
      </c>
      <c r="K79" s="307">
        <f t="shared" si="2"/>
        <v>133200</v>
      </c>
      <c r="L79" s="637">
        <v>40</v>
      </c>
      <c r="M79" s="638"/>
      <c r="N79" s="326">
        <f t="shared" si="3"/>
        <v>3330</v>
      </c>
    </row>
    <row r="80" spans="1:14">
      <c r="A80" s="113" t="s">
        <v>446</v>
      </c>
      <c r="B80" s="550" t="str">
        <f>VLOOKUP(A80,'Mano de Obra'!$A$4:$E$80,2,0)</f>
        <v>AYUDANTE</v>
      </c>
      <c r="C80" s="551"/>
      <c r="D80" s="551"/>
      <c r="E80" s="551"/>
      <c r="F80" s="551"/>
      <c r="G80" s="551"/>
      <c r="H80" s="208">
        <v>2</v>
      </c>
      <c r="I80" s="302">
        <f>VLOOKUP(A80,'Mano de Obra'!$A$4:$E$80,3,0)</f>
        <v>28000</v>
      </c>
      <c r="J80" s="177">
        <f>VLOOKUP(A80,'Mano de Obra'!$A$4:$E$80,4,0)</f>
        <v>1.85</v>
      </c>
      <c r="K80" s="307">
        <f t="shared" si="2"/>
        <v>103600</v>
      </c>
      <c r="L80" s="529">
        <v>40</v>
      </c>
      <c r="M80" s="530"/>
      <c r="N80" s="326">
        <f t="shared" si="3"/>
        <v>2590</v>
      </c>
    </row>
    <row r="81" spans="1:14">
      <c r="A81" s="113" t="s">
        <v>447</v>
      </c>
      <c r="B81" s="550" t="str">
        <f>VLOOKUP(A81,'Mano de Obra'!$A$4:$E$80,2,0)</f>
        <v>CUADRILLA DE INSTALÑACIÓN (3)</v>
      </c>
      <c r="C81" s="551"/>
      <c r="D81" s="551"/>
      <c r="E81" s="551"/>
      <c r="F81" s="551"/>
      <c r="G81" s="551"/>
      <c r="H81" s="206">
        <v>1</v>
      </c>
      <c r="I81" s="302">
        <f>VLOOKUP(A81,'Mano de Obra'!$A$4:$E$80,3,0)</f>
        <v>83000</v>
      </c>
      <c r="J81" s="177">
        <f>VLOOKUP(A81,'Mano de Obra'!$A$4:$E$80,4,0)</f>
        <v>1.85</v>
      </c>
      <c r="K81" s="307">
        <f t="shared" si="2"/>
        <v>153550</v>
      </c>
      <c r="L81" s="637">
        <v>40</v>
      </c>
      <c r="M81" s="638"/>
      <c r="N81" s="326">
        <f t="shared" si="3"/>
        <v>3838.75</v>
      </c>
    </row>
    <row r="82" spans="1:14">
      <c r="B82" s="550"/>
      <c r="C82" s="551"/>
      <c r="D82" s="551"/>
      <c r="E82" s="551"/>
      <c r="F82" s="551"/>
      <c r="G82" s="551"/>
      <c r="H82" s="360"/>
      <c r="I82" s="302"/>
      <c r="J82" s="177"/>
      <c r="K82" s="307"/>
      <c r="L82" s="529"/>
      <c r="M82" s="530"/>
      <c r="N82" s="326"/>
    </row>
    <row r="83" spans="1:14">
      <c r="B83" s="550"/>
      <c r="C83" s="551"/>
      <c r="D83" s="551"/>
      <c r="E83" s="551"/>
      <c r="F83" s="551"/>
      <c r="G83" s="551"/>
      <c r="H83" s="360"/>
      <c r="I83" s="302"/>
      <c r="J83" s="177"/>
      <c r="K83" s="307"/>
      <c r="L83" s="637"/>
      <c r="M83" s="638"/>
      <c r="N83" s="326"/>
    </row>
    <row r="84" spans="1:14" ht="13.5" thickBot="1">
      <c r="B84" s="550"/>
      <c r="C84" s="551"/>
      <c r="D84" s="551"/>
      <c r="E84" s="551"/>
      <c r="F84" s="551"/>
      <c r="G84" s="551"/>
      <c r="H84" s="173"/>
      <c r="I84" s="309"/>
      <c r="J84" s="161"/>
      <c r="K84" s="309"/>
      <c r="L84" s="534"/>
      <c r="M84" s="535"/>
      <c r="N84" s="327"/>
    </row>
    <row r="85" spans="1:14" ht="14.25" thickBot="1">
      <c r="B85" s="524" t="s">
        <v>469</v>
      </c>
      <c r="C85" s="525"/>
      <c r="D85" s="525"/>
      <c r="E85" s="525"/>
      <c r="F85" s="525"/>
      <c r="G85" s="525"/>
      <c r="H85" s="525"/>
      <c r="I85" s="525"/>
      <c r="J85" s="525"/>
      <c r="K85" s="525"/>
      <c r="L85" s="525"/>
      <c r="M85" s="526"/>
      <c r="N85" s="319">
        <f>SUM(N75:N84)</f>
        <v>23818.75</v>
      </c>
    </row>
    <row r="86" spans="1:14" ht="13.5" thickBot="1">
      <c r="B86" s="159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7"/>
    </row>
    <row r="87" spans="1:14" ht="13.5" thickBot="1">
      <c r="B87" s="531" t="s">
        <v>147</v>
      </c>
      <c r="C87" s="532"/>
      <c r="D87" s="532"/>
      <c r="E87" s="532"/>
      <c r="F87" s="532"/>
      <c r="G87" s="532"/>
      <c r="H87" s="532"/>
      <c r="I87" s="532"/>
      <c r="J87" s="532"/>
      <c r="K87" s="532"/>
      <c r="L87" s="532"/>
      <c r="M87" s="533"/>
      <c r="N87" s="245">
        <f>+N85+N70+N63+N47</f>
        <v>180701.33333333334</v>
      </c>
    </row>
    <row r="88" spans="1:14">
      <c r="B88" s="574" t="s">
        <v>91</v>
      </c>
      <c r="C88" s="575"/>
      <c r="D88" s="575"/>
      <c r="E88" s="575"/>
      <c r="F88" s="575"/>
      <c r="G88" s="575"/>
      <c r="H88" s="575"/>
      <c r="I88" s="575"/>
      <c r="J88" s="575"/>
      <c r="K88" s="575"/>
      <c r="L88" s="575"/>
      <c r="M88" s="575"/>
      <c r="N88" s="576"/>
    </row>
    <row r="89" spans="1:14">
      <c r="B89" s="577" t="s">
        <v>91</v>
      </c>
      <c r="C89" s="578"/>
      <c r="D89" s="578"/>
      <c r="E89" s="578"/>
      <c r="F89" s="578"/>
      <c r="G89" s="578"/>
      <c r="H89" s="578"/>
      <c r="I89" s="578"/>
      <c r="J89" s="578"/>
      <c r="K89" s="578"/>
      <c r="L89" s="578"/>
      <c r="M89" s="578"/>
      <c r="N89" s="579"/>
    </row>
    <row r="90" spans="1:14" ht="13.5" thickBot="1">
      <c r="B90" s="580"/>
      <c r="C90" s="581"/>
      <c r="D90" s="581"/>
      <c r="E90" s="581"/>
      <c r="F90" s="581"/>
      <c r="G90" s="581"/>
      <c r="H90" s="581"/>
      <c r="I90" s="581"/>
      <c r="J90" s="581"/>
      <c r="K90" s="581"/>
      <c r="L90" s="581"/>
      <c r="M90" s="581"/>
      <c r="N90" s="582"/>
    </row>
    <row r="91" spans="1:14" ht="13.5">
      <c r="B91" s="536" t="s">
        <v>88</v>
      </c>
      <c r="C91" s="537"/>
      <c r="D91" s="537"/>
      <c r="E91" s="537"/>
      <c r="F91" s="537"/>
      <c r="G91" s="537"/>
      <c r="H91" s="537"/>
      <c r="I91" s="240"/>
      <c r="J91" s="246"/>
      <c r="K91" s="243" t="s">
        <v>92</v>
      </c>
      <c r="L91" s="527" t="s">
        <v>93</v>
      </c>
      <c r="M91" s="528"/>
      <c r="N91" s="244"/>
    </row>
    <row r="92" spans="1:14">
      <c r="B92" s="540" t="s">
        <v>82</v>
      </c>
      <c r="C92" s="541"/>
      <c r="D92" s="541"/>
      <c r="E92" s="541"/>
      <c r="F92" s="541"/>
      <c r="G92" s="541"/>
      <c r="H92" s="541"/>
      <c r="I92" s="182"/>
      <c r="J92" s="183"/>
      <c r="K92" s="251">
        <v>0.25</v>
      </c>
      <c r="L92" s="639">
        <f>+N87*K92</f>
        <v>45175.333333333336</v>
      </c>
      <c r="M92" s="640"/>
      <c r="N92" s="184"/>
    </row>
    <row r="93" spans="1:14">
      <c r="B93" s="185" t="s">
        <v>94</v>
      </c>
      <c r="C93" s="186"/>
      <c r="D93" s="186"/>
      <c r="E93" s="186"/>
      <c r="F93" s="186"/>
      <c r="G93" s="186"/>
      <c r="H93" s="186"/>
      <c r="I93" s="182"/>
      <c r="J93" s="183"/>
      <c r="K93" s="251">
        <v>0.05</v>
      </c>
      <c r="L93" s="639">
        <f>+N87*K93</f>
        <v>9035.0666666666675</v>
      </c>
      <c r="M93" s="640"/>
      <c r="N93" s="184"/>
    </row>
    <row r="94" spans="1:14" ht="13.5" thickBot="1">
      <c r="B94" s="187" t="s">
        <v>83</v>
      </c>
      <c r="C94" s="188"/>
      <c r="D94" s="188"/>
      <c r="E94" s="188"/>
      <c r="F94" s="188"/>
      <c r="G94" s="188"/>
      <c r="H94" s="188"/>
      <c r="I94" s="189"/>
      <c r="J94" s="190"/>
      <c r="K94" s="251">
        <v>0.05</v>
      </c>
      <c r="L94" s="641">
        <f>+N87*K94</f>
        <v>9035.0666666666675</v>
      </c>
      <c r="M94" s="642"/>
      <c r="N94" s="184"/>
    </row>
    <row r="95" spans="1:14" ht="14.25" thickBot="1">
      <c r="B95" s="524" t="s">
        <v>469</v>
      </c>
      <c r="C95" s="525"/>
      <c r="D95" s="525"/>
      <c r="E95" s="525"/>
      <c r="F95" s="525"/>
      <c r="G95" s="525"/>
      <c r="H95" s="525"/>
      <c r="I95" s="525"/>
      <c r="J95" s="525"/>
      <c r="K95" s="525"/>
      <c r="L95" s="525"/>
      <c r="M95" s="526"/>
      <c r="N95" s="191">
        <f>SUM(L92:M94)</f>
        <v>63245.466666666667</v>
      </c>
    </row>
    <row r="96" spans="1:14" ht="13.5" thickBot="1">
      <c r="B96" s="159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7"/>
    </row>
    <row r="97" spans="2:14" ht="13.5" thickBot="1">
      <c r="B97" s="531" t="s">
        <v>471</v>
      </c>
      <c r="C97" s="532"/>
      <c r="D97" s="532"/>
      <c r="E97" s="532"/>
      <c r="F97" s="532"/>
      <c r="G97" s="532"/>
      <c r="H97" s="532"/>
      <c r="I97" s="532"/>
      <c r="J97" s="532"/>
      <c r="K97" s="532"/>
      <c r="L97" s="532"/>
      <c r="M97" s="533"/>
      <c r="N97" s="247">
        <f>ROUND(N87+N95,0)</f>
        <v>243947</v>
      </c>
    </row>
    <row r="98" spans="2:14">
      <c r="B98" s="138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41"/>
    </row>
    <row r="99" spans="2:14">
      <c r="B99" s="159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7"/>
    </row>
    <row r="101" spans="2:14">
      <c r="B101" s="159"/>
      <c r="C101" s="140"/>
      <c r="D101" s="140"/>
      <c r="E101" s="140"/>
      <c r="F101" s="140"/>
      <c r="G101" s="145" t="str">
        <f>+'SV-01'!$G$96</f>
        <v>Firma</v>
      </c>
      <c r="H101" s="145"/>
      <c r="I101" s="145"/>
      <c r="J101" s="145"/>
      <c r="K101" s="140"/>
      <c r="L101" s="140"/>
      <c r="M101" s="140"/>
      <c r="N101" s="147"/>
    </row>
    <row r="102" spans="2:14" ht="13.5">
      <c r="B102" s="192"/>
      <c r="C102" s="193"/>
      <c r="D102" s="193"/>
      <c r="E102" s="193"/>
      <c r="F102" s="193"/>
      <c r="G102" s="145" t="str">
        <f>+'SV-01'!$G$97</f>
        <v>Nombre:</v>
      </c>
      <c r="H102" s="193"/>
      <c r="I102" s="193"/>
      <c r="J102" s="193"/>
      <c r="K102" s="193"/>
      <c r="L102" s="193"/>
      <c r="M102" s="193"/>
      <c r="N102" s="194"/>
    </row>
    <row r="103" spans="2:14" ht="13.5">
      <c r="B103" s="192"/>
      <c r="C103" s="193"/>
      <c r="D103" s="193"/>
      <c r="E103" s="193"/>
      <c r="F103" s="193"/>
      <c r="G103" s="145" t="str">
        <f>+'SV-01'!$G$98</f>
        <v>Representante Legal del Contratista o su Apoderado</v>
      </c>
      <c r="J103" s="193"/>
      <c r="K103" s="193"/>
      <c r="L103" s="193"/>
      <c r="M103" s="193"/>
      <c r="N103" s="194"/>
    </row>
    <row r="104" spans="2:14">
      <c r="B104" s="123"/>
      <c r="C104" s="155"/>
      <c r="D104" s="155"/>
      <c r="E104" s="155"/>
      <c r="F104" s="155"/>
      <c r="G104" s="145" t="str">
        <f>+'SV-01'!$G$99</f>
        <v>Matricula No. :</v>
      </c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0" t="s">
        <v>206</v>
      </c>
      <c r="H105" s="140"/>
      <c r="I105" s="140"/>
      <c r="J105" s="140"/>
      <c r="K105" s="140"/>
      <c r="L105" s="140"/>
      <c r="M105" s="140"/>
      <c r="N105" s="147"/>
    </row>
    <row r="106" spans="2:14" ht="13.5">
      <c r="B106" s="165" t="str">
        <f>+'SV-01'!$B$101</f>
        <v>OBSERVACIONES INTERVENTORÍA</v>
      </c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7"/>
    </row>
    <row r="107" spans="2:14">
      <c r="B107" s="544"/>
      <c r="C107" s="545"/>
      <c r="D107" s="545"/>
      <c r="E107" s="545"/>
      <c r="F107" s="545"/>
      <c r="G107" s="545"/>
      <c r="H107" s="545"/>
      <c r="I107" s="545"/>
      <c r="J107" s="545"/>
      <c r="K107" s="545"/>
      <c r="L107" s="545"/>
      <c r="M107" s="545"/>
      <c r="N107" s="546"/>
    </row>
    <row r="108" spans="2:14">
      <c r="B108" s="547"/>
      <c r="C108" s="548"/>
      <c r="D108" s="548"/>
      <c r="E108" s="548"/>
      <c r="F108" s="548"/>
      <c r="G108" s="548"/>
      <c r="H108" s="548"/>
      <c r="I108" s="548"/>
      <c r="J108" s="548"/>
      <c r="K108" s="548"/>
      <c r="L108" s="548"/>
      <c r="M108" s="548"/>
      <c r="N108" s="549"/>
    </row>
    <row r="109" spans="2:14">
      <c r="B109" s="123"/>
      <c r="C109" s="155"/>
      <c r="D109" s="155"/>
      <c r="E109" s="155"/>
      <c r="F109" s="155"/>
      <c r="G109" s="155"/>
      <c r="H109" s="155"/>
      <c r="I109" s="155"/>
      <c r="J109" s="155"/>
      <c r="K109" s="155"/>
      <c r="L109" s="155"/>
      <c r="M109" s="155"/>
      <c r="N109" s="153"/>
    </row>
    <row r="110" spans="2:14">
      <c r="B110" s="159"/>
      <c r="C110" s="140"/>
      <c r="D110" s="140"/>
      <c r="E110" s="140"/>
      <c r="F110" s="140"/>
      <c r="G110" s="145" t="str">
        <f>+'SV-01'!$G$105</f>
        <v>Firma</v>
      </c>
      <c r="H110" s="140"/>
      <c r="I110" s="140"/>
      <c r="J110" s="140"/>
      <c r="K110" s="140"/>
      <c r="L110" s="140"/>
      <c r="M110" s="140"/>
      <c r="N110" s="147"/>
    </row>
    <row r="111" spans="2:14">
      <c r="B111" s="159"/>
      <c r="C111" s="140"/>
      <c r="D111" s="140"/>
      <c r="E111" s="140"/>
      <c r="F111" s="140"/>
      <c r="G111" s="140" t="str">
        <f>+'SV-01'!$G$106</f>
        <v>Nombre:</v>
      </c>
      <c r="H111" s="160"/>
      <c r="I111" s="160"/>
      <c r="J111" s="160"/>
      <c r="K111" s="140"/>
      <c r="L111" s="140"/>
      <c r="M111" s="140"/>
      <c r="N111" s="147"/>
    </row>
    <row r="112" spans="2:14">
      <c r="B112" s="159"/>
      <c r="C112" s="140"/>
      <c r="D112" s="140"/>
      <c r="E112" s="140"/>
      <c r="F112" s="140"/>
      <c r="G112" s="140" t="str">
        <f>+'SV-01'!$G$107</f>
        <v>Representante Legal del Interventor o su Apoderado</v>
      </c>
      <c r="H112" s="154"/>
      <c r="I112" s="154"/>
      <c r="J112" s="154"/>
      <c r="M112" s="140"/>
      <c r="N112" s="147"/>
    </row>
    <row r="113" spans="2:14">
      <c r="B113" s="196"/>
      <c r="C113" s="155"/>
      <c r="D113" s="155"/>
      <c r="E113" s="155"/>
      <c r="F113" s="155"/>
      <c r="G113" s="140" t="str">
        <f>+'SV-01'!$G$108</f>
        <v>Matricula No. :</v>
      </c>
      <c r="K113" s="155"/>
      <c r="L113" s="155"/>
      <c r="M113" s="155"/>
      <c r="N113" s="153"/>
    </row>
    <row r="114" spans="2:14" ht="12.75" customHeight="1">
      <c r="B114" s="199" t="str">
        <f>+'SV-01'!$B$109</f>
        <v xml:space="preserve">Original: Archivo de Gestión Contractual ( Subdirecciòn Administrativa) </v>
      </c>
      <c r="C114" s="197"/>
      <c r="D114" s="197"/>
      <c r="E114" s="140"/>
      <c r="F114" s="140"/>
      <c r="G114" s="140"/>
      <c r="H114" s="140"/>
      <c r="I114" s="140"/>
      <c r="J114" s="515"/>
      <c r="K114" s="515"/>
      <c r="L114" s="515"/>
      <c r="M114" s="515"/>
      <c r="N114" s="516"/>
    </row>
    <row r="115" spans="2:14" ht="12.75" customHeight="1">
      <c r="B115" s="199" t="str">
        <f>+'SV-01'!$B$110</f>
        <v>Copias : Unidad Ejecutora,  Contratista, Interventor y Dirección Territorial.</v>
      </c>
      <c r="C115" s="197"/>
      <c r="D115" s="197"/>
      <c r="E115" s="140"/>
      <c r="F115" s="140"/>
      <c r="G115" s="140"/>
      <c r="H115" s="140"/>
      <c r="I115" s="140"/>
      <c r="J115" s="515"/>
      <c r="K115" s="515"/>
      <c r="L115" s="515"/>
      <c r="M115" s="515"/>
      <c r="N115" s="516"/>
    </row>
    <row r="116" spans="2:14" ht="13.5" customHeight="1" thickBot="1">
      <c r="B116" s="519"/>
      <c r="C116" s="520"/>
      <c r="D116" s="520"/>
      <c r="E116" s="161"/>
      <c r="F116" s="161"/>
      <c r="G116" s="161"/>
      <c r="H116" s="161"/>
      <c r="I116" s="161"/>
      <c r="J116" s="517"/>
      <c r="K116" s="517"/>
      <c r="L116" s="517"/>
      <c r="M116" s="517"/>
      <c r="N116" s="518"/>
    </row>
  </sheetData>
  <mergeCells count="133">
    <mergeCell ref="B80:G80"/>
    <mergeCell ref="B81:G81"/>
    <mergeCell ref="B82:G82"/>
    <mergeCell ref="L76:M76"/>
    <mergeCell ref="L77:M77"/>
    <mergeCell ref="L78:M78"/>
    <mergeCell ref="L79:M79"/>
    <mergeCell ref="B59:I59"/>
    <mergeCell ref="L59:M59"/>
    <mergeCell ref="B75:G75"/>
    <mergeCell ref="B76:G76"/>
    <mergeCell ref="B77:G77"/>
    <mergeCell ref="B78:G78"/>
    <mergeCell ref="B79:G79"/>
    <mergeCell ref="B54:I54"/>
    <mergeCell ref="L54:M54"/>
    <mergeCell ref="B55:I55"/>
    <mergeCell ref="L55:M55"/>
    <mergeCell ref="B56:I56"/>
    <mergeCell ref="L56:M56"/>
    <mergeCell ref="B57:I57"/>
    <mergeCell ref="L57:M57"/>
    <mergeCell ref="B74:G74"/>
    <mergeCell ref="B60:I60"/>
    <mergeCell ref="L60:M60"/>
    <mergeCell ref="B61:I61"/>
    <mergeCell ref="L61:M61"/>
    <mergeCell ref="B62:I62"/>
    <mergeCell ref="L62:M62"/>
    <mergeCell ref="B58:I58"/>
    <mergeCell ref="L58:M58"/>
    <mergeCell ref="B42:H42"/>
    <mergeCell ref="B43:H43"/>
    <mergeCell ref="B44:H44"/>
    <mergeCell ref="B53:I53"/>
    <mergeCell ref="L53:M53"/>
    <mergeCell ref="L45:M45"/>
    <mergeCell ref="I46:J46"/>
    <mergeCell ref="L46:M46"/>
    <mergeCell ref="B47:M47"/>
    <mergeCell ref="B51:I51"/>
    <mergeCell ref="L51:M51"/>
    <mergeCell ref="B52:I52"/>
    <mergeCell ref="L52:M52"/>
    <mergeCell ref="B48:N50"/>
    <mergeCell ref="B45:H45"/>
    <mergeCell ref="B46:H46"/>
    <mergeCell ref="I45:J45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B37:H37"/>
    <mergeCell ref="I38:J38"/>
    <mergeCell ref="L38:M38"/>
    <mergeCell ref="L44:M44"/>
    <mergeCell ref="L39:M39"/>
    <mergeCell ref="L40:M40"/>
    <mergeCell ref="I41:J41"/>
    <mergeCell ref="L41:M41"/>
    <mergeCell ref="B38:H38"/>
    <mergeCell ref="B39:H39"/>
    <mergeCell ref="L42:M42"/>
    <mergeCell ref="L43:M43"/>
    <mergeCell ref="I39:J39"/>
    <mergeCell ref="I40:J40"/>
    <mergeCell ref="I42:J42"/>
    <mergeCell ref="I43:J43"/>
    <mergeCell ref="I44:J44"/>
    <mergeCell ref="B40:H40"/>
    <mergeCell ref="B41:H41"/>
    <mergeCell ref="J114:N116"/>
    <mergeCell ref="B116:D116"/>
    <mergeCell ref="B92:H92"/>
    <mergeCell ref="L92:M92"/>
    <mergeCell ref="L93:M93"/>
    <mergeCell ref="L94:M94"/>
    <mergeCell ref="B95:M95"/>
    <mergeCell ref="B97:M97"/>
    <mergeCell ref="B107:N107"/>
    <mergeCell ref="B108:N108"/>
    <mergeCell ref="L84:M84"/>
    <mergeCell ref="B85:M85"/>
    <mergeCell ref="B87:M87"/>
    <mergeCell ref="B91:H91"/>
    <mergeCell ref="L91:M91"/>
    <mergeCell ref="B88:N90"/>
    <mergeCell ref="B84:G84"/>
    <mergeCell ref="L83:M83"/>
    <mergeCell ref="B63:M63"/>
    <mergeCell ref="B67:H67"/>
    <mergeCell ref="L67:M67"/>
    <mergeCell ref="L74:M74"/>
    <mergeCell ref="L75:M75"/>
    <mergeCell ref="L82:M82"/>
    <mergeCell ref="B68:H68"/>
    <mergeCell ref="L68:M68"/>
    <mergeCell ref="B69:H69"/>
    <mergeCell ref="L69:M69"/>
    <mergeCell ref="B70:M70"/>
    <mergeCell ref="B71:N73"/>
    <mergeCell ref="B64:N66"/>
    <mergeCell ref="L80:M80"/>
    <mergeCell ref="B83:G83"/>
    <mergeCell ref="L81:M81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6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6"/>
  <dimension ref="A1:O114"/>
  <sheetViews>
    <sheetView showGridLines="0" view="pageBreakPreview" zoomScaleNormal="55" zoomScaleSheetLayoutView="100" workbookViewId="0">
      <selection activeCell="K54" sqref="K54"/>
    </sheetView>
  </sheetViews>
  <sheetFormatPr baseColWidth="10" defaultRowHeight="12.75"/>
  <cols>
    <col min="1" max="1" width="3.140625" style="113" customWidth="1"/>
    <col min="2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59" t="e">
        <f>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</v>
      </c>
      <c r="M38" s="638"/>
      <c r="N38" s="297">
        <f>+K38/L38</f>
        <v>5084.75</v>
      </c>
    </row>
    <row r="39" spans="1:14">
      <c r="A39" s="113" t="s">
        <v>366</v>
      </c>
      <c r="B39" s="550" t="str">
        <f>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637">
        <v>4</v>
      </c>
      <c r="M39" s="638"/>
      <c r="N39" s="297">
        <f t="shared" ref="N39:N44" si="0">+K39/L39</f>
        <v>5084.75</v>
      </c>
    </row>
    <row r="40" spans="1:14">
      <c r="A40" s="113" t="s">
        <v>367</v>
      </c>
      <c r="B40" s="550" t="str">
        <f>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VLOOKUP(A40,Equipo!$A$4:$D$80,4,0)</f>
        <v>16271</v>
      </c>
      <c r="L40" s="637">
        <v>4</v>
      </c>
      <c r="M40" s="638"/>
      <c r="N40" s="297">
        <f t="shared" si="0"/>
        <v>4067.75</v>
      </c>
    </row>
    <row r="41" spans="1:14">
      <c r="A41" s="113" t="s">
        <v>368</v>
      </c>
      <c r="B41" s="550" t="str">
        <f>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637">
        <v>4</v>
      </c>
      <c r="M41" s="638"/>
      <c r="N41" s="297">
        <f t="shared" si="0"/>
        <v>5084.75</v>
      </c>
    </row>
    <row r="42" spans="1:14">
      <c r="A42" s="113" t="s">
        <v>369</v>
      </c>
      <c r="B42" s="550" t="str">
        <f>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637">
        <v>3</v>
      </c>
      <c r="M42" s="638"/>
      <c r="N42" s="297">
        <f t="shared" si="0"/>
        <v>4524.666666666667</v>
      </c>
    </row>
    <row r="43" spans="1:14">
      <c r="A43" s="113" t="s">
        <v>370</v>
      </c>
      <c r="B43" s="550" t="str">
        <f>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VLOOKUP(A43,Equipo!$A$4:$D$80,4,0)</f>
        <v>8003</v>
      </c>
      <c r="L43" s="637">
        <v>3</v>
      </c>
      <c r="M43" s="638"/>
      <c r="N43" s="297">
        <f t="shared" si="0"/>
        <v>2667.6666666666665</v>
      </c>
    </row>
    <row r="44" spans="1:14">
      <c r="A44" s="113" t="s">
        <v>371</v>
      </c>
      <c r="B44" s="550" t="str">
        <f>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37">
        <v>4</v>
      </c>
      <c r="M44" s="638"/>
      <c r="N44" s="297">
        <f t="shared" si="0"/>
        <v>678.75</v>
      </c>
    </row>
    <row r="45" spans="1:14">
      <c r="A45" s="113" t="s">
        <v>466</v>
      </c>
      <c r="B45" s="550" t="str">
        <f>VLOOKUP(A45,Equipo!$A$4:$D$80,2,0)</f>
        <v>HERRAMIENTA MENOR</v>
      </c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>
        <v>2600</v>
      </c>
    </row>
    <row r="46" spans="1:14" ht="13.5" thickBot="1">
      <c r="B46" s="550"/>
      <c r="C46" s="551"/>
      <c r="D46" s="551"/>
      <c r="E46" s="551"/>
      <c r="F46" s="551"/>
      <c r="G46" s="551"/>
      <c r="H46" s="552"/>
      <c r="I46" s="620"/>
      <c r="J46" s="621"/>
      <c r="K46" s="316"/>
      <c r="L46" s="637"/>
      <c r="M46" s="638"/>
      <c r="N46" s="348"/>
    </row>
    <row r="47" spans="1:14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29793.083333333336</v>
      </c>
    </row>
    <row r="48" spans="1:14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5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5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5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5">
      <c r="A52" s="113" t="s">
        <v>344</v>
      </c>
      <c r="B52" s="540" t="str">
        <f>VLOOKUP(A52,Materiales!$A$4:$D$141,2,0)</f>
        <v>LAMINA GALV. CALIBRE 16</v>
      </c>
      <c r="C52" s="541"/>
      <c r="D52" s="541"/>
      <c r="E52" s="541"/>
      <c r="F52" s="541"/>
      <c r="G52" s="541"/>
      <c r="H52" s="541"/>
      <c r="I52" s="621"/>
      <c r="J52" s="198" t="str">
        <f>VLOOKUP(A52,Materiales!$A$4:$D$141,3,0)</f>
        <v>M2</v>
      </c>
      <c r="K52" s="200">
        <v>0.22</v>
      </c>
      <c r="L52" s="522">
        <f>VLOOKUP(A52,Materiales!$A$4:$D$141,4,0)</f>
        <v>49580</v>
      </c>
      <c r="M52" s="523"/>
      <c r="N52" s="297">
        <f>+K52*L52</f>
        <v>10907.6</v>
      </c>
    </row>
    <row r="53" spans="1:15">
      <c r="A53" s="113" t="s">
        <v>345</v>
      </c>
      <c r="B53" s="540" t="str">
        <f>VLOOKUP(A53,Materiales!$A$4:$D$141,2,0)</f>
        <v>PAPEL REFLECTIVO TIPO III</v>
      </c>
      <c r="C53" s="541"/>
      <c r="D53" s="541"/>
      <c r="E53" s="541"/>
      <c r="F53" s="541"/>
      <c r="G53" s="541"/>
      <c r="H53" s="541"/>
      <c r="I53" s="621"/>
      <c r="J53" s="198" t="str">
        <f>VLOOKUP(A53,Materiales!$A$4:$D$141,3,0)</f>
        <v>M2</v>
      </c>
      <c r="K53" s="200">
        <v>0.2</v>
      </c>
      <c r="L53" s="522">
        <f>VLOOKUP(A53,Materiales!$A$4:$D$141,4,0)</f>
        <v>48400</v>
      </c>
      <c r="M53" s="523"/>
      <c r="N53" s="297">
        <f t="shared" ref="N53:N60" si="1">+K53*L53</f>
        <v>9680</v>
      </c>
    </row>
    <row r="54" spans="1:15">
      <c r="A54" s="113" t="s">
        <v>346</v>
      </c>
      <c r="B54" s="540" t="str">
        <f>VLOOKUP(A54,Materiales!$A$4:$D$141,2,0)</f>
        <v>ANGULO DE 2" X 1/4"</v>
      </c>
      <c r="C54" s="541"/>
      <c r="D54" s="541"/>
      <c r="E54" s="541"/>
      <c r="F54" s="541"/>
      <c r="G54" s="541"/>
      <c r="H54" s="541"/>
      <c r="I54" s="621"/>
      <c r="J54" s="198" t="str">
        <f>VLOOKUP(A54,Materiales!$A$4:$D$141,3,0)</f>
        <v>ML</v>
      </c>
      <c r="K54" s="200">
        <v>2.5</v>
      </c>
      <c r="L54" s="522">
        <f>VLOOKUP(A54,Materiales!$A$4:$D$141,4,0)</f>
        <v>17710</v>
      </c>
      <c r="M54" s="523"/>
      <c r="N54" s="297">
        <f t="shared" si="1"/>
        <v>44275</v>
      </c>
      <c r="O54" s="113">
        <f>0.5+0.8+1.2</f>
        <v>2.5</v>
      </c>
    </row>
    <row r="55" spans="1:15">
      <c r="A55" s="113" t="s">
        <v>347</v>
      </c>
      <c r="B55" s="540" t="str">
        <f>VLOOKUP(A55,Materiales!$A$4:$D$141,2,0)</f>
        <v>ANGULO DE 2" X 1/8"</v>
      </c>
      <c r="C55" s="541"/>
      <c r="D55" s="541"/>
      <c r="E55" s="541"/>
      <c r="F55" s="541"/>
      <c r="G55" s="541"/>
      <c r="H55" s="541"/>
      <c r="I55" s="621"/>
      <c r="J55" s="198" t="str">
        <f>VLOOKUP(A55,Materiales!$A$4:$D$141,3,0)</f>
        <v>ML</v>
      </c>
      <c r="K55" s="200">
        <v>0.8</v>
      </c>
      <c r="L55" s="522">
        <f>VLOOKUP(A55,Materiales!$A$4:$D$141,4,0)</f>
        <v>9810</v>
      </c>
      <c r="M55" s="523"/>
      <c r="N55" s="297">
        <f t="shared" si="1"/>
        <v>7848</v>
      </c>
    </row>
    <row r="56" spans="1:15">
      <c r="A56" s="113" t="s">
        <v>348</v>
      </c>
      <c r="B56" s="540" t="str">
        <f>VLOOKUP(A56,Materiales!$A$4:$D$141,2,0)</f>
        <v>TORNILLOS Y REMACHES</v>
      </c>
      <c r="C56" s="541"/>
      <c r="D56" s="541"/>
      <c r="E56" s="541"/>
      <c r="F56" s="541"/>
      <c r="G56" s="541"/>
      <c r="H56" s="541"/>
      <c r="I56" s="621"/>
      <c r="J56" s="198" t="str">
        <f>VLOOKUP(A56,Materiales!$A$4:$D$141,3,0)</f>
        <v>UND.</v>
      </c>
      <c r="K56" s="200">
        <v>4</v>
      </c>
      <c r="L56" s="522">
        <f>VLOOKUP(A56,Materiales!$A$4:$D$141,4,0)</f>
        <v>1004</v>
      </c>
      <c r="M56" s="523"/>
      <c r="N56" s="297">
        <f t="shared" si="1"/>
        <v>4016</v>
      </c>
    </row>
    <row r="57" spans="1:15">
      <c r="A57" s="113" t="s">
        <v>349</v>
      </c>
      <c r="B57" s="540" t="str">
        <f>VLOOKUP(A57,Materiales!$A$4:$D$141,2,0)</f>
        <v>PINTURA EN POLVO</v>
      </c>
      <c r="C57" s="541"/>
      <c r="D57" s="541"/>
      <c r="E57" s="541"/>
      <c r="F57" s="541"/>
      <c r="G57" s="541"/>
      <c r="H57" s="541"/>
      <c r="I57" s="621"/>
      <c r="J57" s="198" t="str">
        <f>VLOOKUP(A57,Materiales!$A$4:$D$141,3,0)</f>
        <v>GALON</v>
      </c>
      <c r="K57" s="200">
        <v>0.05</v>
      </c>
      <c r="L57" s="522">
        <f>VLOOKUP(A57,Materiales!$A$4:$D$141,4,0)</f>
        <v>170330</v>
      </c>
      <c r="M57" s="523"/>
      <c r="N57" s="297">
        <f t="shared" si="1"/>
        <v>8516.5</v>
      </c>
    </row>
    <row r="58" spans="1:15">
      <c r="A58" s="113" t="s">
        <v>350</v>
      </c>
      <c r="B58" s="540" t="str">
        <f>VLOOKUP(A58,Materiales!$A$4:$D$141,2,0)</f>
        <v>PINTURA ESMALTE</v>
      </c>
      <c r="C58" s="541"/>
      <c r="D58" s="541"/>
      <c r="E58" s="541"/>
      <c r="F58" s="541"/>
      <c r="G58" s="541"/>
      <c r="H58" s="541"/>
      <c r="I58" s="621"/>
      <c r="J58" s="198" t="str">
        <f>VLOOKUP(A58,Materiales!$A$4:$D$141,3,0)</f>
        <v>GALON</v>
      </c>
      <c r="K58" s="200">
        <v>0.06</v>
      </c>
      <c r="L58" s="522">
        <f>VLOOKUP(A58,Materiales!$A$4:$D$141,4,0)</f>
        <v>59020</v>
      </c>
      <c r="M58" s="523"/>
      <c r="N58" s="297">
        <f t="shared" si="1"/>
        <v>3541.2</v>
      </c>
    </row>
    <row r="59" spans="1:15">
      <c r="A59" s="113" t="s">
        <v>351</v>
      </c>
      <c r="B59" s="540" t="str">
        <f>VLOOKUP(A59,Materiales!$A$4:$D$141,2,0)</f>
        <v>SOLDADURA</v>
      </c>
      <c r="C59" s="541"/>
      <c r="D59" s="541"/>
      <c r="E59" s="541"/>
      <c r="F59" s="541"/>
      <c r="G59" s="541"/>
      <c r="H59" s="541"/>
      <c r="I59" s="621"/>
      <c r="J59" s="198" t="str">
        <f>VLOOKUP(A59,Materiales!$A$4:$D$141,3,0)</f>
        <v>KG</v>
      </c>
      <c r="K59" s="200">
        <v>0.25</v>
      </c>
      <c r="L59" s="522">
        <f>VLOOKUP(A59,Materiales!$A$4:$D$141,4,0)</f>
        <v>7210</v>
      </c>
      <c r="M59" s="523"/>
      <c r="N59" s="297">
        <f t="shared" si="1"/>
        <v>1802.5</v>
      </c>
    </row>
    <row r="60" spans="1:15">
      <c r="A60" s="113" t="s">
        <v>352</v>
      </c>
      <c r="B60" s="540" t="str">
        <f>VLOOKUP(A60,Materiales!$A$4:$D$141,2,0)</f>
        <v>CONCRETO CLASE E</v>
      </c>
      <c r="C60" s="541"/>
      <c r="D60" s="541"/>
      <c r="E60" s="541"/>
      <c r="F60" s="541"/>
      <c r="G60" s="541"/>
      <c r="H60" s="541"/>
      <c r="I60" s="621"/>
      <c r="J60" s="198" t="str">
        <f>VLOOKUP(A60,Materiales!$A$4:$D$141,3,0)</f>
        <v>M3</v>
      </c>
      <c r="K60" s="200">
        <v>0.05</v>
      </c>
      <c r="L60" s="522">
        <f>VLOOKUP(A60,Materiales!$A$4:$D$141,4,0)</f>
        <v>463800</v>
      </c>
      <c r="M60" s="523"/>
      <c r="N60" s="297">
        <f t="shared" si="1"/>
        <v>23190</v>
      </c>
    </row>
    <row r="61" spans="1:15">
      <c r="B61" s="540"/>
      <c r="C61" s="541"/>
      <c r="D61" s="541"/>
      <c r="E61" s="541"/>
      <c r="F61" s="541"/>
      <c r="G61" s="541"/>
      <c r="H61" s="541"/>
      <c r="I61" s="621"/>
      <c r="J61" s="198"/>
      <c r="K61" s="200"/>
      <c r="L61" s="522"/>
      <c r="M61" s="523"/>
      <c r="N61" s="297"/>
    </row>
    <row r="62" spans="1:15" ht="13.5" thickBot="1">
      <c r="B62" s="540"/>
      <c r="C62" s="541"/>
      <c r="D62" s="541"/>
      <c r="E62" s="541"/>
      <c r="F62" s="541"/>
      <c r="G62" s="541"/>
      <c r="H62" s="541"/>
      <c r="I62" s="621"/>
      <c r="J62" s="195"/>
      <c r="K62" s="169"/>
      <c r="L62" s="522"/>
      <c r="M62" s="523"/>
      <c r="N62" s="297"/>
    </row>
    <row r="63" spans="1:15" ht="14.25" thickBot="1">
      <c r="B63" s="524" t="s">
        <v>469</v>
      </c>
      <c r="C63" s="525"/>
      <c r="D63" s="525"/>
      <c r="E63" s="525"/>
      <c r="F63" s="525"/>
      <c r="G63" s="525"/>
      <c r="H63" s="525"/>
      <c r="I63" s="525"/>
      <c r="J63" s="525"/>
      <c r="K63" s="525"/>
      <c r="L63" s="525"/>
      <c r="M63" s="526"/>
      <c r="N63" s="319">
        <f>SUM(N52:N62)</f>
        <v>113776.8</v>
      </c>
    </row>
    <row r="64" spans="1:15">
      <c r="B64" s="574" t="s">
        <v>89</v>
      </c>
      <c r="C64" s="575"/>
      <c r="D64" s="575"/>
      <c r="E64" s="575"/>
      <c r="F64" s="575"/>
      <c r="G64" s="575"/>
      <c r="H64" s="575"/>
      <c r="I64" s="575"/>
      <c r="J64" s="575"/>
      <c r="K64" s="575"/>
      <c r="L64" s="575"/>
      <c r="M64" s="575"/>
      <c r="N64" s="576"/>
    </row>
    <row r="65" spans="1:14">
      <c r="B65" s="577" t="s">
        <v>89</v>
      </c>
      <c r="C65" s="578"/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9"/>
    </row>
    <row r="66" spans="1:14" ht="13.5" thickBot="1">
      <c r="B66" s="580"/>
      <c r="C66" s="581"/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2"/>
    </row>
    <row r="67" spans="1:14" ht="13.5">
      <c r="B67" s="536" t="s">
        <v>141</v>
      </c>
      <c r="C67" s="537"/>
      <c r="D67" s="537"/>
      <c r="E67" s="537"/>
      <c r="F67" s="537"/>
      <c r="G67" s="537"/>
      <c r="H67" s="537"/>
      <c r="I67" s="237" t="s">
        <v>142</v>
      </c>
      <c r="J67" s="240" t="s">
        <v>143</v>
      </c>
      <c r="K67" s="241" t="s">
        <v>248</v>
      </c>
      <c r="L67" s="538" t="s">
        <v>17</v>
      </c>
      <c r="M67" s="539"/>
      <c r="N67" s="238" t="s">
        <v>140</v>
      </c>
    </row>
    <row r="68" spans="1:14">
      <c r="B68" s="540" t="s">
        <v>467</v>
      </c>
      <c r="C68" s="541"/>
      <c r="D68" s="541"/>
      <c r="E68" s="541"/>
      <c r="F68" s="541"/>
      <c r="G68" s="541"/>
      <c r="H68" s="541"/>
      <c r="I68" s="172"/>
      <c r="J68" s="166"/>
      <c r="K68" s="172"/>
      <c r="L68" s="542"/>
      <c r="M68" s="543"/>
      <c r="N68" s="297">
        <v>22680</v>
      </c>
    </row>
    <row r="69" spans="1:14" ht="13.5" thickBot="1">
      <c r="B69" s="624"/>
      <c r="C69" s="625"/>
      <c r="D69" s="625"/>
      <c r="E69" s="625"/>
      <c r="F69" s="625"/>
      <c r="G69" s="625"/>
      <c r="H69" s="625"/>
      <c r="I69" s="173"/>
      <c r="J69" s="161"/>
      <c r="K69" s="173"/>
      <c r="L69" s="534"/>
      <c r="M69" s="535"/>
      <c r="N69" s="210"/>
    </row>
    <row r="70" spans="1:14" ht="14.25" thickBot="1">
      <c r="B70" s="524" t="s">
        <v>469</v>
      </c>
      <c r="C70" s="525"/>
      <c r="D70" s="525"/>
      <c r="E70" s="525"/>
      <c r="F70" s="525"/>
      <c r="G70" s="525"/>
      <c r="H70" s="525"/>
      <c r="I70" s="525"/>
      <c r="J70" s="525"/>
      <c r="K70" s="525"/>
      <c r="L70" s="525"/>
      <c r="M70" s="526"/>
      <c r="N70" s="164">
        <f>SUM(N68:N69)</f>
        <v>22680</v>
      </c>
    </row>
    <row r="71" spans="1:14">
      <c r="B71" s="574" t="s">
        <v>90</v>
      </c>
      <c r="C71" s="575"/>
      <c r="D71" s="575"/>
      <c r="E71" s="575"/>
      <c r="F71" s="575"/>
      <c r="G71" s="575"/>
      <c r="H71" s="575"/>
      <c r="I71" s="575"/>
      <c r="J71" s="575"/>
      <c r="K71" s="575"/>
      <c r="L71" s="575"/>
      <c r="M71" s="575"/>
      <c r="N71" s="576"/>
    </row>
    <row r="72" spans="1:14">
      <c r="B72" s="577" t="s">
        <v>90</v>
      </c>
      <c r="C72" s="578"/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9"/>
    </row>
    <row r="73" spans="1:14" ht="13.5" thickBot="1"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3.5">
      <c r="B74" s="536" t="s">
        <v>144</v>
      </c>
      <c r="C74" s="537"/>
      <c r="D74" s="537"/>
      <c r="E74" s="537"/>
      <c r="F74" s="537"/>
      <c r="G74" s="539"/>
      <c r="H74" s="237" t="s">
        <v>101</v>
      </c>
      <c r="I74" s="237" t="s">
        <v>145</v>
      </c>
      <c r="J74" s="240" t="s">
        <v>84</v>
      </c>
      <c r="K74" s="241" t="s">
        <v>146</v>
      </c>
      <c r="L74" s="538" t="s">
        <v>136</v>
      </c>
      <c r="M74" s="539"/>
      <c r="N74" s="361" t="s">
        <v>140</v>
      </c>
    </row>
    <row r="75" spans="1:14">
      <c r="A75" s="113" t="s">
        <v>441</v>
      </c>
      <c r="B75" s="550" t="str">
        <f>VLOOKUP(A75,'Mano de Obra'!$A$4:$E$80,2,0)</f>
        <v>CORTADOR</v>
      </c>
      <c r="C75" s="551"/>
      <c r="D75" s="551"/>
      <c r="E75" s="551"/>
      <c r="F75" s="551"/>
      <c r="G75" s="552"/>
      <c r="H75" s="208">
        <v>1</v>
      </c>
      <c r="I75" s="302">
        <f>VLOOKUP(A75,'Mano de Obra'!$A$4:$E$80,3,0)</f>
        <v>72000</v>
      </c>
      <c r="J75" s="177">
        <f>VLOOKUP(A75,'Mano de Obra'!$A$4:$E$80,4,0)</f>
        <v>1.85</v>
      </c>
      <c r="K75" s="307">
        <f>+H75*I75*J75</f>
        <v>133200</v>
      </c>
      <c r="L75" s="529">
        <v>40</v>
      </c>
      <c r="M75" s="530"/>
      <c r="N75" s="326">
        <f>+K75/L75</f>
        <v>3330</v>
      </c>
    </row>
    <row r="76" spans="1:14">
      <c r="A76" s="113" t="s">
        <v>442</v>
      </c>
      <c r="B76" s="550" t="str">
        <f>VLOOKUP(A76,'Mano de Obra'!$A$4:$E$80,2,0)</f>
        <v>SOLDADOR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88000</v>
      </c>
      <c r="J76" s="177">
        <f>VLOOKUP(A76,'Mano de Obra'!$A$4:$E$80,4,0)</f>
        <v>1.85</v>
      </c>
      <c r="K76" s="307">
        <f t="shared" ref="K76:K81" si="2">+H76*I76*J76</f>
        <v>162800</v>
      </c>
      <c r="L76" s="529">
        <v>40</v>
      </c>
      <c r="M76" s="530"/>
      <c r="N76" s="326">
        <f t="shared" ref="N76:N81" si="3">+K76/L76</f>
        <v>4070</v>
      </c>
    </row>
    <row r="77" spans="1:14">
      <c r="A77" s="113" t="s">
        <v>443</v>
      </c>
      <c r="B77" s="550" t="str">
        <f>VLOOKUP(A77,'Mano de Obra'!$A$4:$E$80,2,0)</f>
        <v>PINTOR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177">
        <f>VLOOKUP(A77,'Mano de Obra'!$A$4:$E$80,4,0)</f>
        <v>1.85</v>
      </c>
      <c r="K77" s="307">
        <f t="shared" si="2"/>
        <v>133200</v>
      </c>
      <c r="L77" s="637">
        <v>40</v>
      </c>
      <c r="M77" s="638"/>
      <c r="N77" s="326">
        <f t="shared" si="3"/>
        <v>3330</v>
      </c>
    </row>
    <row r="78" spans="1:14">
      <c r="A78" s="113" t="s">
        <v>444</v>
      </c>
      <c r="B78" s="550" t="str">
        <f>VLOOKUP(A78,'Mano de Obra'!$A$4:$E$80,2,0)</f>
        <v>LAMINADOR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177">
        <f>VLOOKUP(A78,'Mano de Obra'!$A$4:$E$80,4,0)</f>
        <v>1.85</v>
      </c>
      <c r="K78" s="307">
        <f t="shared" si="2"/>
        <v>133200</v>
      </c>
      <c r="L78" s="529">
        <v>40</v>
      </c>
      <c r="M78" s="530"/>
      <c r="N78" s="326">
        <f t="shared" si="3"/>
        <v>3330</v>
      </c>
    </row>
    <row r="79" spans="1:14">
      <c r="A79" s="113" t="s">
        <v>445</v>
      </c>
      <c r="B79" s="550" t="str">
        <f>VLOOKUP(A79,'Mano de Obra'!$A$4:$E$80,2,0)</f>
        <v>SERIGRAFISTA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177">
        <f>VLOOKUP(A79,'Mano de Obra'!$A$4:$E$80,4,0)</f>
        <v>1.85</v>
      </c>
      <c r="K79" s="307">
        <f t="shared" si="2"/>
        <v>133200</v>
      </c>
      <c r="L79" s="637">
        <v>40</v>
      </c>
      <c r="M79" s="638"/>
      <c r="N79" s="326">
        <f t="shared" si="3"/>
        <v>3330</v>
      </c>
    </row>
    <row r="80" spans="1:14">
      <c r="A80" s="113" t="s">
        <v>446</v>
      </c>
      <c r="B80" s="550" t="str">
        <f>VLOOKUP(A80,'Mano de Obra'!$A$4:$E$80,2,0)</f>
        <v>AYUDANTE</v>
      </c>
      <c r="C80" s="551"/>
      <c r="D80" s="551"/>
      <c r="E80" s="551"/>
      <c r="F80" s="551"/>
      <c r="G80" s="552"/>
      <c r="H80" s="208">
        <v>2</v>
      </c>
      <c r="I80" s="302">
        <f>VLOOKUP(A80,'Mano de Obra'!$A$4:$E$80,3,0)</f>
        <v>28000</v>
      </c>
      <c r="J80" s="177">
        <f>VLOOKUP(A80,'Mano de Obra'!$A$4:$E$80,4,0)</f>
        <v>1.85</v>
      </c>
      <c r="K80" s="307">
        <f t="shared" si="2"/>
        <v>103600</v>
      </c>
      <c r="L80" s="529">
        <v>40</v>
      </c>
      <c r="M80" s="530"/>
      <c r="N80" s="326">
        <f t="shared" si="3"/>
        <v>2590</v>
      </c>
    </row>
    <row r="81" spans="1:14">
      <c r="A81" s="113" t="s">
        <v>447</v>
      </c>
      <c r="B81" s="550" t="str">
        <f>VLOOKUP(A81,'Mano de Obra'!$A$4:$E$80,2,0)</f>
        <v>CUADRILLA DE INSTALÑACIÓN (3)</v>
      </c>
      <c r="C81" s="551"/>
      <c r="D81" s="551"/>
      <c r="E81" s="551"/>
      <c r="F81" s="551"/>
      <c r="G81" s="552"/>
      <c r="H81" s="208">
        <v>1</v>
      </c>
      <c r="I81" s="302">
        <f>VLOOKUP(A81,'Mano de Obra'!$A$4:$E$80,3,0)</f>
        <v>83000</v>
      </c>
      <c r="J81" s="177">
        <f>VLOOKUP(A81,'Mano de Obra'!$A$4:$E$80,4,0)</f>
        <v>1.85</v>
      </c>
      <c r="K81" s="307">
        <f t="shared" si="2"/>
        <v>153550</v>
      </c>
      <c r="L81" s="637">
        <v>40</v>
      </c>
      <c r="M81" s="638"/>
      <c r="N81" s="326">
        <f t="shared" si="3"/>
        <v>3838.75</v>
      </c>
    </row>
    <row r="82" spans="1:14" ht="13.5" thickBot="1">
      <c r="B82" s="550"/>
      <c r="C82" s="551"/>
      <c r="D82" s="551"/>
      <c r="E82" s="551"/>
      <c r="F82" s="551"/>
      <c r="G82" s="552"/>
      <c r="H82" s="173"/>
      <c r="I82" s="309"/>
      <c r="J82" s="161"/>
      <c r="K82" s="309"/>
      <c r="L82" s="529"/>
      <c r="M82" s="530"/>
      <c r="N82" s="327"/>
    </row>
    <row r="83" spans="1:14" ht="14.25" thickBot="1">
      <c r="B83" s="524" t="s">
        <v>469</v>
      </c>
      <c r="C83" s="525"/>
      <c r="D83" s="525"/>
      <c r="E83" s="525"/>
      <c r="F83" s="525"/>
      <c r="G83" s="525"/>
      <c r="H83" s="525"/>
      <c r="I83" s="525"/>
      <c r="J83" s="525"/>
      <c r="K83" s="525"/>
      <c r="L83" s="525"/>
      <c r="M83" s="526"/>
      <c r="N83" s="319">
        <f>SUM(N75:N82)</f>
        <v>23818.75</v>
      </c>
    </row>
    <row r="84" spans="1:14" ht="13.5" thickBot="1">
      <c r="B84" s="15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7"/>
    </row>
    <row r="85" spans="1:14" ht="13.5" thickBot="1">
      <c r="B85" s="531" t="s">
        <v>470</v>
      </c>
      <c r="C85" s="532"/>
      <c r="D85" s="532"/>
      <c r="E85" s="532"/>
      <c r="F85" s="532"/>
      <c r="G85" s="532"/>
      <c r="H85" s="532"/>
      <c r="I85" s="532"/>
      <c r="J85" s="532"/>
      <c r="K85" s="532"/>
      <c r="L85" s="532"/>
      <c r="M85" s="533"/>
      <c r="N85" s="245">
        <f>+N83+N70+N63+N47</f>
        <v>190068.63333333333</v>
      </c>
    </row>
    <row r="86" spans="1:14">
      <c r="B86" s="574" t="s">
        <v>91</v>
      </c>
      <c r="C86" s="575"/>
      <c r="D86" s="575"/>
      <c r="E86" s="575"/>
      <c r="F86" s="575"/>
      <c r="G86" s="575"/>
      <c r="H86" s="575"/>
      <c r="I86" s="575"/>
      <c r="J86" s="575"/>
      <c r="K86" s="575"/>
      <c r="L86" s="575"/>
      <c r="M86" s="575"/>
      <c r="N86" s="576"/>
    </row>
    <row r="87" spans="1:14">
      <c r="B87" s="577" t="s">
        <v>91</v>
      </c>
      <c r="C87" s="578"/>
      <c r="D87" s="578"/>
      <c r="E87" s="578"/>
      <c r="F87" s="578"/>
      <c r="G87" s="578"/>
      <c r="H87" s="578"/>
      <c r="I87" s="578"/>
      <c r="J87" s="578"/>
      <c r="K87" s="578"/>
      <c r="L87" s="578"/>
      <c r="M87" s="578"/>
      <c r="N87" s="579"/>
    </row>
    <row r="88" spans="1:14" ht="13.5" thickBot="1">
      <c r="B88" s="580"/>
      <c r="C88" s="581"/>
      <c r="D88" s="581"/>
      <c r="E88" s="581"/>
      <c r="F88" s="581"/>
      <c r="G88" s="581"/>
      <c r="H88" s="581"/>
      <c r="I88" s="581"/>
      <c r="J88" s="581"/>
      <c r="K88" s="581"/>
      <c r="L88" s="581"/>
      <c r="M88" s="581"/>
      <c r="N88" s="582"/>
    </row>
    <row r="89" spans="1:14" ht="13.5">
      <c r="B89" s="536" t="s">
        <v>88</v>
      </c>
      <c r="C89" s="537"/>
      <c r="D89" s="537"/>
      <c r="E89" s="537"/>
      <c r="F89" s="537"/>
      <c r="G89" s="537"/>
      <c r="H89" s="537"/>
      <c r="I89" s="240"/>
      <c r="J89" s="246"/>
      <c r="K89" s="243" t="s">
        <v>92</v>
      </c>
      <c r="L89" s="527" t="s">
        <v>93</v>
      </c>
      <c r="M89" s="528"/>
      <c r="N89" s="244"/>
    </row>
    <row r="90" spans="1:14">
      <c r="B90" s="540" t="s">
        <v>82</v>
      </c>
      <c r="C90" s="541"/>
      <c r="D90" s="541"/>
      <c r="E90" s="541"/>
      <c r="F90" s="541"/>
      <c r="G90" s="541"/>
      <c r="H90" s="541"/>
      <c r="I90" s="182"/>
      <c r="J90" s="183"/>
      <c r="K90" s="251">
        <v>0.25</v>
      </c>
      <c r="L90" s="639">
        <f>+N85*K90</f>
        <v>47517.158333333333</v>
      </c>
      <c r="M90" s="640"/>
      <c r="N90" s="184"/>
    </row>
    <row r="91" spans="1:14">
      <c r="B91" s="185" t="s">
        <v>94</v>
      </c>
      <c r="C91" s="186"/>
      <c r="D91" s="186"/>
      <c r="E91" s="186"/>
      <c r="F91" s="186"/>
      <c r="G91" s="186"/>
      <c r="H91" s="186"/>
      <c r="I91" s="182"/>
      <c r="J91" s="183"/>
      <c r="K91" s="251">
        <v>0.05</v>
      </c>
      <c r="L91" s="639">
        <f>+N85*K91</f>
        <v>9503.4316666666673</v>
      </c>
      <c r="M91" s="640"/>
      <c r="N91" s="184"/>
    </row>
    <row r="92" spans="1:14" ht="13.5" thickBot="1">
      <c r="B92" s="187" t="s">
        <v>83</v>
      </c>
      <c r="C92" s="188"/>
      <c r="D92" s="188"/>
      <c r="E92" s="188"/>
      <c r="F92" s="188"/>
      <c r="G92" s="188"/>
      <c r="H92" s="188"/>
      <c r="I92" s="189"/>
      <c r="J92" s="190"/>
      <c r="K92" s="251">
        <v>0.05</v>
      </c>
      <c r="L92" s="641">
        <f>+N85*K92</f>
        <v>9503.4316666666673</v>
      </c>
      <c r="M92" s="642"/>
      <c r="N92" s="184"/>
    </row>
    <row r="93" spans="1:14" ht="14.25" thickBot="1">
      <c r="B93" s="524" t="s">
        <v>469</v>
      </c>
      <c r="C93" s="525"/>
      <c r="D93" s="525"/>
      <c r="E93" s="525"/>
      <c r="F93" s="525"/>
      <c r="G93" s="525"/>
      <c r="H93" s="525"/>
      <c r="I93" s="525"/>
      <c r="J93" s="525"/>
      <c r="K93" s="525"/>
      <c r="L93" s="525"/>
      <c r="M93" s="526"/>
      <c r="N93" s="191">
        <f>SUM(L90:M92)</f>
        <v>66524.021666666667</v>
      </c>
    </row>
    <row r="94" spans="1:14" ht="13.5" thickBot="1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1:14" ht="13.5" thickBot="1">
      <c r="B95" s="531" t="s">
        <v>471</v>
      </c>
      <c r="C95" s="532"/>
      <c r="D95" s="532"/>
      <c r="E95" s="532"/>
      <c r="F95" s="532"/>
      <c r="G95" s="532"/>
      <c r="H95" s="532"/>
      <c r="I95" s="532"/>
      <c r="J95" s="532"/>
      <c r="K95" s="532"/>
      <c r="L95" s="532"/>
      <c r="M95" s="533"/>
      <c r="N95" s="247">
        <f>ROUND(N85+N93,0)</f>
        <v>256593</v>
      </c>
    </row>
    <row r="96" spans="1:14">
      <c r="B96" s="138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41"/>
    </row>
    <row r="97" spans="2:14">
      <c r="B97" s="159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7"/>
    </row>
    <row r="98" spans="2:14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>
      <c r="B99" s="159"/>
      <c r="C99" s="140"/>
      <c r="D99" s="140"/>
      <c r="E99" s="140"/>
      <c r="F99" s="140"/>
      <c r="G99" s="145" t="str">
        <f>+'SV-01'!$G$96</f>
        <v>Firma</v>
      </c>
      <c r="H99" s="145"/>
      <c r="I99" s="145"/>
      <c r="J99" s="145"/>
      <c r="K99" s="140"/>
      <c r="L99" s="140"/>
      <c r="M99" s="140"/>
      <c r="N99" s="147"/>
    </row>
    <row r="100" spans="2:14" ht="13.5">
      <c r="B100" s="192"/>
      <c r="C100" s="193"/>
      <c r="D100" s="193"/>
      <c r="E100" s="193"/>
      <c r="F100" s="193"/>
      <c r="G100" s="145" t="str">
        <f>+'SV-01'!$G$97</f>
        <v>Nombre:</v>
      </c>
      <c r="H100" s="193"/>
      <c r="I100" s="193"/>
      <c r="J100" s="193"/>
      <c r="K100" s="193"/>
      <c r="L100" s="193"/>
      <c r="M100" s="193"/>
      <c r="N100" s="194"/>
    </row>
    <row r="101" spans="2:14" ht="13.5">
      <c r="B101" s="192"/>
      <c r="C101" s="193"/>
      <c r="D101" s="193"/>
      <c r="E101" s="193"/>
      <c r="F101" s="193"/>
      <c r="G101" s="145" t="str">
        <f>+'SV-01'!$G$98</f>
        <v>Representante Legal del Contratista o su Apoderado</v>
      </c>
      <c r="J101" s="193"/>
      <c r="K101" s="193"/>
      <c r="L101" s="193"/>
      <c r="M101" s="193"/>
      <c r="N101" s="194"/>
    </row>
    <row r="102" spans="2:14">
      <c r="B102" s="123"/>
      <c r="C102" s="155"/>
      <c r="D102" s="155"/>
      <c r="E102" s="155"/>
      <c r="F102" s="155"/>
      <c r="G102" s="145" t="str">
        <f>+'SV-01'!$G$99</f>
        <v>Matricula No. :</v>
      </c>
      <c r="H102" s="155"/>
      <c r="I102" s="155"/>
      <c r="J102" s="155"/>
      <c r="K102" s="155"/>
      <c r="L102" s="155"/>
      <c r="M102" s="155"/>
      <c r="N102" s="153"/>
    </row>
    <row r="103" spans="2:14">
      <c r="B103" s="159"/>
      <c r="C103" s="140"/>
      <c r="D103" s="140"/>
      <c r="E103" s="140"/>
      <c r="F103" s="140"/>
      <c r="G103" s="140" t="s">
        <v>206</v>
      </c>
      <c r="H103" s="140"/>
      <c r="I103" s="140"/>
      <c r="J103" s="140"/>
      <c r="K103" s="140"/>
      <c r="L103" s="140"/>
      <c r="M103" s="140"/>
      <c r="N103" s="147"/>
    </row>
    <row r="104" spans="2:14" ht="13.5">
      <c r="B104" s="165" t="str">
        <f>+'SV-01'!$B$101</f>
        <v>OBSERVACIONES INTERVENTORÍA</v>
      </c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7"/>
    </row>
    <row r="105" spans="2:14">
      <c r="B105" s="544"/>
      <c r="C105" s="545"/>
      <c r="D105" s="545"/>
      <c r="E105" s="545"/>
      <c r="F105" s="545"/>
      <c r="G105" s="545"/>
      <c r="H105" s="545"/>
      <c r="I105" s="545"/>
      <c r="J105" s="545"/>
      <c r="K105" s="545"/>
      <c r="L105" s="545"/>
      <c r="M105" s="545"/>
      <c r="N105" s="546"/>
    </row>
    <row r="106" spans="2:14">
      <c r="B106" s="547"/>
      <c r="C106" s="548"/>
      <c r="D106" s="548"/>
      <c r="E106" s="548"/>
      <c r="F106" s="548"/>
      <c r="G106" s="548"/>
      <c r="H106" s="548"/>
      <c r="I106" s="548"/>
      <c r="J106" s="548"/>
      <c r="K106" s="548"/>
      <c r="L106" s="548"/>
      <c r="M106" s="548"/>
      <c r="N106" s="549"/>
    </row>
    <row r="107" spans="2:14">
      <c r="B107" s="123"/>
      <c r="C107" s="155"/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3"/>
    </row>
    <row r="108" spans="2:14">
      <c r="B108" s="159"/>
      <c r="C108" s="140"/>
      <c r="D108" s="140"/>
      <c r="E108" s="140"/>
      <c r="F108" s="140"/>
      <c r="G108" s="145" t="str">
        <f>+'SV-01'!$G$105</f>
        <v>Firma</v>
      </c>
      <c r="H108" s="140"/>
      <c r="I108" s="140"/>
      <c r="J108" s="140"/>
      <c r="K108" s="140"/>
      <c r="L108" s="140"/>
      <c r="M108" s="140"/>
      <c r="N108" s="147"/>
    </row>
    <row r="109" spans="2:14">
      <c r="B109" s="159"/>
      <c r="C109" s="140"/>
      <c r="D109" s="140"/>
      <c r="E109" s="140"/>
      <c r="F109" s="140"/>
      <c r="G109" s="140" t="str">
        <f>+'SV-01'!$G$106</f>
        <v>Nombre:</v>
      </c>
      <c r="H109" s="160"/>
      <c r="I109" s="160"/>
      <c r="J109" s="160"/>
      <c r="K109" s="140"/>
      <c r="L109" s="140"/>
      <c r="M109" s="140"/>
      <c r="N109" s="147"/>
    </row>
    <row r="110" spans="2:14">
      <c r="B110" s="159"/>
      <c r="C110" s="140"/>
      <c r="D110" s="140"/>
      <c r="E110" s="140"/>
      <c r="F110" s="140"/>
      <c r="G110" s="140" t="str">
        <f>+'SV-01'!$G$107</f>
        <v>Representante Legal del Interventor o su Apoderado</v>
      </c>
      <c r="H110" s="154"/>
      <c r="I110" s="154"/>
      <c r="J110" s="154"/>
      <c r="M110" s="140"/>
      <c r="N110" s="147"/>
    </row>
    <row r="111" spans="2:14">
      <c r="B111" s="196"/>
      <c r="C111" s="155"/>
      <c r="D111" s="155"/>
      <c r="E111" s="155"/>
      <c r="F111" s="155"/>
      <c r="G111" s="140" t="str">
        <f>+'SV-01'!$G$108</f>
        <v>Matricula No. :</v>
      </c>
      <c r="K111" s="155"/>
      <c r="L111" s="155"/>
      <c r="M111" s="155"/>
      <c r="N111" s="153"/>
    </row>
    <row r="112" spans="2:14" ht="12.75" customHeight="1">
      <c r="B112" s="199" t="str">
        <f>+'SV-01'!$B$109</f>
        <v xml:space="preserve">Original: Archivo de Gestión Contractual ( Subdirecciòn Administrativa) </v>
      </c>
      <c r="C112" s="197"/>
      <c r="D112" s="197"/>
      <c r="E112" s="140"/>
      <c r="F112" s="140"/>
      <c r="G112" s="140"/>
      <c r="H112" s="140"/>
      <c r="I112" s="140"/>
      <c r="J112" s="515"/>
      <c r="K112" s="515"/>
      <c r="L112" s="515"/>
      <c r="M112" s="515"/>
      <c r="N112" s="516"/>
    </row>
    <row r="113" spans="2:14" ht="12.75" customHeight="1">
      <c r="B113" s="199" t="str">
        <f>+'SV-01'!$B$110</f>
        <v>Copias : Unidad Ejecutora,  Contratista, Interventor y Dirección Territorial.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3.5" customHeight="1" thickBot="1">
      <c r="B114" s="519"/>
      <c r="C114" s="520"/>
      <c r="D114" s="520"/>
      <c r="E114" s="161"/>
      <c r="F114" s="161"/>
      <c r="G114" s="161"/>
      <c r="H114" s="161"/>
      <c r="I114" s="161"/>
      <c r="J114" s="517"/>
      <c r="K114" s="517"/>
      <c r="L114" s="517"/>
      <c r="M114" s="517"/>
      <c r="N114" s="518"/>
    </row>
  </sheetData>
  <mergeCells count="129">
    <mergeCell ref="L76:M76"/>
    <mergeCell ref="L77:M77"/>
    <mergeCell ref="L78:M78"/>
    <mergeCell ref="L79:M79"/>
    <mergeCell ref="L82:M82"/>
    <mergeCell ref="B78:G78"/>
    <mergeCell ref="B79:G79"/>
    <mergeCell ref="B80:G80"/>
    <mergeCell ref="B81:G81"/>
    <mergeCell ref="B82:G82"/>
    <mergeCell ref="L41:M41"/>
    <mergeCell ref="L42:M42"/>
    <mergeCell ref="L43:M43"/>
    <mergeCell ref="B58:I58"/>
    <mergeCell ref="L53:M53"/>
    <mergeCell ref="L54:M54"/>
    <mergeCell ref="L55:M55"/>
    <mergeCell ref="L56:M56"/>
    <mergeCell ref="L57:M57"/>
    <mergeCell ref="L58:M58"/>
    <mergeCell ref="B53:I53"/>
    <mergeCell ref="B54:I54"/>
    <mergeCell ref="B55:I55"/>
    <mergeCell ref="B56:I56"/>
    <mergeCell ref="B57:I57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B37:H37"/>
    <mergeCell ref="I38:J38"/>
    <mergeCell ref="L38:M38"/>
    <mergeCell ref="L44:M44"/>
    <mergeCell ref="B38:H38"/>
    <mergeCell ref="B39:H39"/>
    <mergeCell ref="B40:H40"/>
    <mergeCell ref="B41:H41"/>
    <mergeCell ref="B42:H42"/>
    <mergeCell ref="B43:H43"/>
    <mergeCell ref="B44:H44"/>
    <mergeCell ref="I39:J39"/>
    <mergeCell ref="I40:J40"/>
    <mergeCell ref="I41:J41"/>
    <mergeCell ref="I42:J42"/>
    <mergeCell ref="I43:J43"/>
    <mergeCell ref="I44:J44"/>
    <mergeCell ref="L39:M39"/>
    <mergeCell ref="L40:M40"/>
    <mergeCell ref="B59:I59"/>
    <mergeCell ref="L59:M59"/>
    <mergeCell ref="L45:M45"/>
    <mergeCell ref="I46:J46"/>
    <mergeCell ref="L46:M46"/>
    <mergeCell ref="B47:M47"/>
    <mergeCell ref="B51:I51"/>
    <mergeCell ref="L51:M51"/>
    <mergeCell ref="B52:I52"/>
    <mergeCell ref="L52:M52"/>
    <mergeCell ref="B48:N50"/>
    <mergeCell ref="B45:H45"/>
    <mergeCell ref="B46:H46"/>
    <mergeCell ref="I45:J45"/>
    <mergeCell ref="B60:I60"/>
    <mergeCell ref="L60:M60"/>
    <mergeCell ref="B61:I61"/>
    <mergeCell ref="L61:M61"/>
    <mergeCell ref="B62:I62"/>
    <mergeCell ref="L62:M62"/>
    <mergeCell ref="L81:M81"/>
    <mergeCell ref="B63:M63"/>
    <mergeCell ref="B67:H67"/>
    <mergeCell ref="L67:M67"/>
    <mergeCell ref="B68:H68"/>
    <mergeCell ref="L68:M68"/>
    <mergeCell ref="B69:H69"/>
    <mergeCell ref="L69:M69"/>
    <mergeCell ref="B70:M70"/>
    <mergeCell ref="L74:M74"/>
    <mergeCell ref="L75:M75"/>
    <mergeCell ref="L80:M80"/>
    <mergeCell ref="B64:N66"/>
    <mergeCell ref="B71:N73"/>
    <mergeCell ref="B74:G74"/>
    <mergeCell ref="B75:G75"/>
    <mergeCell ref="B76:G76"/>
    <mergeCell ref="B77:G77"/>
    <mergeCell ref="B83:M83"/>
    <mergeCell ref="B85:M85"/>
    <mergeCell ref="B89:H89"/>
    <mergeCell ref="L89:M89"/>
    <mergeCell ref="B86:N88"/>
    <mergeCell ref="B105:N105"/>
    <mergeCell ref="B106:N106"/>
    <mergeCell ref="J112:N114"/>
    <mergeCell ref="B114:D114"/>
    <mergeCell ref="B90:H90"/>
    <mergeCell ref="L90:M90"/>
    <mergeCell ref="L91:M91"/>
    <mergeCell ref="L92:M92"/>
    <mergeCell ref="B93:M93"/>
    <mergeCell ref="B95:M95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7" orientation="portrait" r:id="rId1"/>
  <headerFooter alignWithMargins="0"/>
  <ignoredErrors>
    <ignoredError sqref="D18:D19" unlocked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7"/>
  <dimension ref="A1:P115"/>
  <sheetViews>
    <sheetView showGridLines="0" view="pageBreakPreview" zoomScaleNormal="55" zoomScaleSheetLayoutView="100" workbookViewId="0">
      <selection activeCell="L61" sqref="L61:M61"/>
    </sheetView>
  </sheetViews>
  <sheetFormatPr baseColWidth="10" defaultRowHeight="12.75"/>
  <cols>
    <col min="1" max="1" width="3.140625" style="113" customWidth="1"/>
    <col min="2" max="9" width="11.42578125" style="113"/>
    <col min="10" max="10" width="12.7109375" style="113" customWidth="1"/>
    <col min="11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6" ht="13.5" thickBot="1">
      <c r="B33" s="236" t="e">
        <f>+'PRESUPUESTO OFICIAL'!#REF!</f>
        <v>#REF!</v>
      </c>
      <c r="C33" s="653" t="e">
        <f>+'PRESUPUESTO OFICIAL'!#REF!</f>
        <v>#REF!</v>
      </c>
      <c r="D33" s="655" t="e">
        <f>+'PRESUPUESTO OFICIAL'!#REF!</f>
        <v>#REF!</v>
      </c>
      <c r="E33" s="655" t="e">
        <f>+'PRESUPUESTO OFICIAL'!#REF!</f>
        <v>#REF!</v>
      </c>
      <c r="F33" s="655" t="e">
        <f>+'PRESUPUESTO OFICIAL'!#REF!</f>
        <v>#REF!</v>
      </c>
      <c r="G33" s="655" t="e">
        <f>+'PRESUPUESTO OFICIAL'!#REF!</f>
        <v>#REF!</v>
      </c>
      <c r="H33" s="655" t="e">
        <f>+'PRESUPUESTO OFICIAL'!#REF!</f>
        <v>#REF!</v>
      </c>
      <c r="I33" s="655" t="e">
        <f>+'PRESUPUESTO OFICIAL'!#REF!</f>
        <v>#REF!</v>
      </c>
      <c r="J33" s="655" t="e">
        <f>+'PRESUPUESTO OFICIAL'!#REF!</f>
        <v>#REF!</v>
      </c>
      <c r="K33" s="654" t="e">
        <f>+'PRESUPUESTO OFICIAL'!#REF!</f>
        <v>#REF!</v>
      </c>
      <c r="L33" s="653" t="e">
        <f>+'PRESUPUESTO OFICIAL'!#REF!</f>
        <v>#REF!</v>
      </c>
      <c r="M33" s="654"/>
      <c r="N33" s="259" t="e">
        <f>+'PRESUPUESTO OFICIAL'!#REF!</f>
        <v>#REF!</v>
      </c>
    </row>
    <row r="34" spans="1:16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6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6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6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6" ht="13.5" customHeight="1">
      <c r="A38" s="113" t="s">
        <v>365</v>
      </c>
      <c r="B38" s="550" t="str">
        <f>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</v>
      </c>
      <c r="M38" s="638"/>
      <c r="N38" s="297">
        <f>+K38/L38</f>
        <v>5084.75</v>
      </c>
    </row>
    <row r="39" spans="1:16" ht="13.5" customHeight="1">
      <c r="A39" s="113" t="s">
        <v>366</v>
      </c>
      <c r="B39" s="550" t="str">
        <f>VLOOKUP(A39,Equipo!$A$4:$D$80,2,0)</f>
        <v>CORTADORA DE ANGULO</v>
      </c>
      <c r="C39" s="551"/>
      <c r="D39" s="551"/>
      <c r="E39" s="551"/>
      <c r="F39" s="551"/>
      <c r="G39" s="551"/>
      <c r="H39" s="552"/>
      <c r="I39" s="203"/>
      <c r="J39" s="202"/>
      <c r="K39" s="315">
        <f>VLOOKUP(A39,Equipo!$A$4:$D$80,4,0)</f>
        <v>20339</v>
      </c>
      <c r="L39" s="637">
        <v>4</v>
      </c>
      <c r="M39" s="638"/>
      <c r="N39" s="297">
        <f t="shared" ref="N39:N44" si="0">+K39/L39</f>
        <v>5084.75</v>
      </c>
    </row>
    <row r="40" spans="1:16" ht="13.5" customHeight="1">
      <c r="A40" s="113" t="s">
        <v>367</v>
      </c>
      <c r="B40" s="550" t="str">
        <f>VLOOKUP(A40,Equipo!$A$4:$D$80,2,0)</f>
        <v>EQUIPO DE SOLDADURA</v>
      </c>
      <c r="C40" s="551"/>
      <c r="D40" s="551"/>
      <c r="E40" s="551"/>
      <c r="F40" s="551"/>
      <c r="G40" s="551"/>
      <c r="H40" s="552"/>
      <c r="I40" s="203"/>
      <c r="J40" s="202"/>
      <c r="K40" s="315">
        <f>VLOOKUP(A40,Equipo!$A$4:$D$80,4,0)</f>
        <v>16271</v>
      </c>
      <c r="L40" s="637">
        <v>4</v>
      </c>
      <c r="M40" s="638"/>
      <c r="N40" s="297">
        <f t="shared" si="0"/>
        <v>4067.75</v>
      </c>
    </row>
    <row r="41" spans="1:16" ht="13.5" customHeight="1">
      <c r="A41" s="113" t="s">
        <v>368</v>
      </c>
      <c r="B41" s="550" t="str">
        <f>VLOOKUP(A41,Equipo!$A$4:$D$80,2,0)</f>
        <v>EQUIPO DE PINTURA</v>
      </c>
      <c r="C41" s="551"/>
      <c r="D41" s="551"/>
      <c r="E41" s="551"/>
      <c r="F41" s="551"/>
      <c r="G41" s="551"/>
      <c r="H41" s="552"/>
      <c r="I41" s="203"/>
      <c r="J41" s="202"/>
      <c r="K41" s="315">
        <f>VLOOKUP(A41,Equipo!$A$4:$D$80,4,0)</f>
        <v>20339</v>
      </c>
      <c r="L41" s="637">
        <v>4</v>
      </c>
      <c r="M41" s="638"/>
      <c r="N41" s="297">
        <f t="shared" si="0"/>
        <v>5084.75</v>
      </c>
    </row>
    <row r="42" spans="1:16" ht="13.5" customHeight="1">
      <c r="A42" s="113" t="s">
        <v>369</v>
      </c>
      <c r="B42" s="550" t="str">
        <f>VLOOKUP(A42,Equipo!$A$4:$D$80,2,0)</f>
        <v>EQUIPO DE SERIGRAFÍA</v>
      </c>
      <c r="C42" s="551"/>
      <c r="D42" s="551"/>
      <c r="E42" s="551"/>
      <c r="F42" s="551"/>
      <c r="G42" s="551"/>
      <c r="H42" s="552"/>
      <c r="I42" s="203"/>
      <c r="J42" s="202"/>
      <c r="K42" s="315">
        <f>VLOOKUP(A42,Equipo!$A$4:$D$80,4,0)</f>
        <v>13574</v>
      </c>
      <c r="L42" s="637">
        <v>3</v>
      </c>
      <c r="M42" s="638"/>
      <c r="N42" s="297">
        <f t="shared" si="0"/>
        <v>4524.666666666667</v>
      </c>
    </row>
    <row r="43" spans="1:16" ht="13.5" customHeight="1">
      <c r="A43" s="113" t="s">
        <v>370</v>
      </c>
      <c r="B43" s="550" t="str">
        <f>VLOOKUP(A43,Equipo!$A$4:$D$80,2,0)</f>
        <v>EQUIPO DE LAMINACIÓN</v>
      </c>
      <c r="C43" s="551"/>
      <c r="D43" s="551"/>
      <c r="E43" s="551"/>
      <c r="F43" s="551"/>
      <c r="G43" s="551"/>
      <c r="H43" s="552"/>
      <c r="I43" s="203"/>
      <c r="J43" s="202"/>
      <c r="K43" s="315">
        <f>VLOOKUP(A43,Equipo!$A$4:$D$80,4,0)</f>
        <v>8003</v>
      </c>
      <c r="L43" s="637">
        <v>3</v>
      </c>
      <c r="M43" s="638"/>
      <c r="N43" s="297">
        <f t="shared" si="0"/>
        <v>2667.6666666666665</v>
      </c>
    </row>
    <row r="44" spans="1:16" ht="13.5" customHeight="1">
      <c r="A44" s="113" t="s">
        <v>371</v>
      </c>
      <c r="B44" s="550" t="str">
        <f>VLOOKUP(A44,Equipo!$A$4:$D$80,2,0)</f>
        <v>TALADRO</v>
      </c>
      <c r="C44" s="551"/>
      <c r="D44" s="551"/>
      <c r="E44" s="551"/>
      <c r="F44" s="551"/>
      <c r="G44" s="551"/>
      <c r="H44" s="552"/>
      <c r="I44" s="203"/>
      <c r="J44" s="202"/>
      <c r="K44" s="315">
        <f>VLOOKUP(A44,Equipo!$A$4:$D$80,4,0)</f>
        <v>2715</v>
      </c>
      <c r="L44" s="637">
        <v>4</v>
      </c>
      <c r="M44" s="638"/>
      <c r="N44" s="297">
        <f t="shared" si="0"/>
        <v>678.75</v>
      </c>
    </row>
    <row r="45" spans="1:16">
      <c r="A45" s="113" t="s">
        <v>466</v>
      </c>
      <c r="B45" s="550" t="str">
        <f>VLOOKUP(A45,Equipo!$A$4:$D$80,2,0)</f>
        <v>HERRAMIENTA MENOR</v>
      </c>
      <c r="C45" s="551"/>
      <c r="D45" s="551"/>
      <c r="E45" s="551"/>
      <c r="F45" s="551"/>
      <c r="G45" s="551"/>
      <c r="H45" s="552"/>
      <c r="I45" s="203"/>
      <c r="J45" s="202"/>
      <c r="K45" s="315"/>
      <c r="L45" s="637"/>
      <c r="M45" s="638"/>
      <c r="N45" s="297">
        <v>2620</v>
      </c>
    </row>
    <row r="46" spans="1:16">
      <c r="B46" s="550"/>
      <c r="C46" s="551"/>
      <c r="D46" s="551"/>
      <c r="E46" s="551"/>
      <c r="F46" s="551"/>
      <c r="G46" s="551"/>
      <c r="H46" s="552"/>
      <c r="I46" s="203"/>
      <c r="J46" s="202"/>
      <c r="K46" s="315"/>
      <c r="L46" s="637"/>
      <c r="M46" s="638"/>
      <c r="N46" s="297"/>
      <c r="P46" s="113">
        <f>110000*1.098</f>
        <v>120780.00000000001</v>
      </c>
    </row>
    <row r="47" spans="1:16" ht="13.5" thickBot="1">
      <c r="B47" s="550"/>
      <c r="C47" s="551"/>
      <c r="D47" s="551"/>
      <c r="E47" s="551"/>
      <c r="F47" s="551"/>
      <c r="G47" s="551"/>
      <c r="H47" s="552"/>
      <c r="I47" s="622"/>
      <c r="J47" s="623"/>
      <c r="K47" s="316"/>
      <c r="L47" s="647"/>
      <c r="M47" s="648"/>
      <c r="N47" s="297"/>
    </row>
    <row r="48" spans="1:16" ht="14.25" thickBot="1">
      <c r="B48" s="524" t="s">
        <v>469</v>
      </c>
      <c r="C48" s="525"/>
      <c r="D48" s="525"/>
      <c r="E48" s="525"/>
      <c r="F48" s="525"/>
      <c r="G48" s="525"/>
      <c r="H48" s="525"/>
      <c r="I48" s="525"/>
      <c r="J48" s="525"/>
      <c r="K48" s="525"/>
      <c r="L48" s="525"/>
      <c r="M48" s="526"/>
      <c r="N48" s="204">
        <f>SUM(N38:N47)</f>
        <v>29813.083333333336</v>
      </c>
    </row>
    <row r="49" spans="1:15">
      <c r="B49" s="574" t="s">
        <v>138</v>
      </c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6"/>
    </row>
    <row r="50" spans="1:15">
      <c r="B50" s="577" t="s">
        <v>138</v>
      </c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9"/>
    </row>
    <row r="51" spans="1:15" ht="13.5" thickBot="1">
      <c r="B51" s="580"/>
      <c r="C51" s="581"/>
      <c r="D51" s="581"/>
      <c r="E51" s="581"/>
      <c r="F51" s="581"/>
      <c r="G51" s="581"/>
      <c r="H51" s="581"/>
      <c r="I51" s="581"/>
      <c r="J51" s="581"/>
      <c r="K51" s="581"/>
      <c r="L51" s="581"/>
      <c r="M51" s="581"/>
      <c r="N51" s="582"/>
    </row>
    <row r="52" spans="1:15" ht="13.5">
      <c r="B52" s="536" t="s">
        <v>125</v>
      </c>
      <c r="C52" s="537"/>
      <c r="D52" s="537"/>
      <c r="E52" s="537"/>
      <c r="F52" s="537"/>
      <c r="G52" s="537"/>
      <c r="H52" s="537"/>
      <c r="I52" s="539"/>
      <c r="J52" s="239" t="s">
        <v>16</v>
      </c>
      <c r="K52" s="237" t="s">
        <v>101</v>
      </c>
      <c r="L52" s="538" t="s">
        <v>139</v>
      </c>
      <c r="M52" s="539"/>
      <c r="N52" s="238" t="s">
        <v>140</v>
      </c>
    </row>
    <row r="53" spans="1:15">
      <c r="A53" s="113" t="s">
        <v>344</v>
      </c>
      <c r="B53" s="540" t="str">
        <f>VLOOKUP(A53,Materiales!$A$4:$D$141,2,0)</f>
        <v>LAMINA GALV. CALIBRE 16</v>
      </c>
      <c r="C53" s="541"/>
      <c r="D53" s="541"/>
      <c r="E53" s="541"/>
      <c r="F53" s="541"/>
      <c r="G53" s="541"/>
      <c r="H53" s="541"/>
      <c r="I53" s="621"/>
      <c r="J53" s="198" t="str">
        <f>VLOOKUP(A53,Materiales!$A$4:$D$141,3,0)</f>
        <v>M2</v>
      </c>
      <c r="K53" s="200">
        <v>0.5</v>
      </c>
      <c r="L53" s="522">
        <f>VLOOKUP(A53,Materiales!$A$4:$D$141,4,0)</f>
        <v>49580</v>
      </c>
      <c r="M53" s="523"/>
      <c r="N53" s="297">
        <f>+K53*L53</f>
        <v>24790</v>
      </c>
      <c r="O53" s="113">
        <f>0.75*0.6*1.03</f>
        <v>0.46349999999999997</v>
      </c>
    </row>
    <row r="54" spans="1:15">
      <c r="A54" s="113" t="s">
        <v>345</v>
      </c>
      <c r="B54" s="540" t="str">
        <f>VLOOKUP(A54,Materiales!$A$4:$D$141,2,0)</f>
        <v>PAPEL REFLECTIVO TIPO III</v>
      </c>
      <c r="C54" s="541"/>
      <c r="D54" s="541"/>
      <c r="E54" s="541"/>
      <c r="F54" s="541"/>
      <c r="G54" s="541"/>
      <c r="H54" s="541"/>
      <c r="I54" s="621"/>
      <c r="J54" s="198" t="str">
        <f>VLOOKUP(A54,Materiales!$A$4:$D$141,3,0)</f>
        <v>M2</v>
      </c>
      <c r="K54" s="200">
        <v>0.46350000000000002</v>
      </c>
      <c r="L54" s="522">
        <f>VLOOKUP(A54,Materiales!$A$4:$D$141,4,0)</f>
        <v>48400</v>
      </c>
      <c r="M54" s="523"/>
      <c r="N54" s="297">
        <f t="shared" ref="N54:N61" si="1">+K54*L54</f>
        <v>22433.4</v>
      </c>
    </row>
    <row r="55" spans="1:15">
      <c r="A55" s="113" t="s">
        <v>346</v>
      </c>
      <c r="B55" s="540" t="str">
        <f>VLOOKUP(A55,Materiales!$A$4:$D$141,2,0)</f>
        <v>ANGULO DE 2" X 1/4"</v>
      </c>
      <c r="C55" s="541"/>
      <c r="D55" s="541"/>
      <c r="E55" s="541"/>
      <c r="F55" s="541"/>
      <c r="G55" s="541"/>
      <c r="H55" s="541"/>
      <c r="I55" s="621"/>
      <c r="J55" s="198" t="str">
        <f>VLOOKUP(A55,Materiales!$A$4:$D$141,3,0)</f>
        <v>ML</v>
      </c>
      <c r="K55" s="200">
        <v>2.75</v>
      </c>
      <c r="L55" s="522">
        <f>VLOOKUP(A55,Materiales!$A$4:$D$141,4,0)</f>
        <v>17710</v>
      </c>
      <c r="M55" s="523"/>
      <c r="N55" s="297">
        <f t="shared" si="1"/>
        <v>48702.5</v>
      </c>
      <c r="O55" s="113">
        <f>0.75+1.2+0.8</f>
        <v>2.75</v>
      </c>
    </row>
    <row r="56" spans="1:15">
      <c r="A56" s="113" t="s">
        <v>347</v>
      </c>
      <c r="B56" s="540" t="str">
        <f>VLOOKUP(A56,Materiales!$A$4:$D$141,2,0)</f>
        <v>ANGULO DE 2" X 1/8"</v>
      </c>
      <c r="C56" s="541"/>
      <c r="D56" s="541"/>
      <c r="E56" s="541"/>
      <c r="F56" s="541"/>
      <c r="G56" s="541"/>
      <c r="H56" s="541"/>
      <c r="I56" s="621"/>
      <c r="J56" s="198" t="str">
        <f>VLOOKUP(A56,Materiales!$A$4:$D$141,3,0)</f>
        <v>ML</v>
      </c>
      <c r="K56" s="200">
        <f>0.6*2</f>
        <v>1.2</v>
      </c>
      <c r="L56" s="522">
        <f>VLOOKUP(A56,Materiales!$A$4:$D$141,4,0)</f>
        <v>9810</v>
      </c>
      <c r="M56" s="523"/>
      <c r="N56" s="297">
        <f t="shared" si="1"/>
        <v>11772</v>
      </c>
    </row>
    <row r="57" spans="1:15">
      <c r="A57" s="113" t="s">
        <v>348</v>
      </c>
      <c r="B57" s="540" t="str">
        <f>VLOOKUP(A57,Materiales!$A$4:$D$141,2,0)</f>
        <v>TORNILLOS Y REMACHES</v>
      </c>
      <c r="C57" s="541"/>
      <c r="D57" s="541"/>
      <c r="E57" s="541"/>
      <c r="F57" s="541"/>
      <c r="G57" s="541"/>
      <c r="H57" s="541"/>
      <c r="I57" s="621"/>
      <c r="J57" s="198" t="str">
        <f>VLOOKUP(A57,Materiales!$A$4:$D$141,3,0)</f>
        <v>UND.</v>
      </c>
      <c r="K57" s="200">
        <v>4</v>
      </c>
      <c r="L57" s="522">
        <f>VLOOKUP(A57,Materiales!$A$4:$D$141,4,0)</f>
        <v>1004</v>
      </c>
      <c r="M57" s="523"/>
      <c r="N57" s="297">
        <f t="shared" si="1"/>
        <v>4016</v>
      </c>
    </row>
    <row r="58" spans="1:15">
      <c r="A58" s="113" t="s">
        <v>349</v>
      </c>
      <c r="B58" s="540" t="str">
        <f>VLOOKUP(A58,Materiales!$A$4:$D$141,2,0)</f>
        <v>PINTURA EN POLVO</v>
      </c>
      <c r="C58" s="541"/>
      <c r="D58" s="541"/>
      <c r="E58" s="541"/>
      <c r="F58" s="541"/>
      <c r="G58" s="541"/>
      <c r="H58" s="541"/>
      <c r="I58" s="621"/>
      <c r="J58" s="198" t="str">
        <f>VLOOKUP(A58,Materiales!$A$4:$D$141,3,0)</f>
        <v>GALON</v>
      </c>
      <c r="K58" s="200">
        <v>0.05</v>
      </c>
      <c r="L58" s="522">
        <f>VLOOKUP(A58,Materiales!$A$4:$D$141,4,0)</f>
        <v>170330</v>
      </c>
      <c r="M58" s="523"/>
      <c r="N58" s="297">
        <f t="shared" si="1"/>
        <v>8516.5</v>
      </c>
    </row>
    <row r="59" spans="1:15">
      <c r="A59" s="113" t="s">
        <v>350</v>
      </c>
      <c r="B59" s="540" t="str">
        <f>VLOOKUP(A59,Materiales!$A$4:$D$141,2,0)</f>
        <v>PINTURA ESMALTE</v>
      </c>
      <c r="C59" s="541"/>
      <c r="D59" s="541"/>
      <c r="E59" s="541"/>
      <c r="F59" s="541"/>
      <c r="G59" s="541"/>
      <c r="H59" s="541"/>
      <c r="I59" s="621"/>
      <c r="J59" s="198" t="str">
        <f>VLOOKUP(A59,Materiales!$A$4:$D$141,3,0)</f>
        <v>GALON</v>
      </c>
      <c r="K59" s="200">
        <v>0.06</v>
      </c>
      <c r="L59" s="522">
        <f>VLOOKUP(A59,Materiales!$A$4:$D$141,4,0)</f>
        <v>59020</v>
      </c>
      <c r="M59" s="523"/>
      <c r="N59" s="297">
        <f t="shared" si="1"/>
        <v>3541.2</v>
      </c>
    </row>
    <row r="60" spans="1:15">
      <c r="A60" s="113" t="s">
        <v>351</v>
      </c>
      <c r="B60" s="540" t="str">
        <f>VLOOKUP(A60,Materiales!$A$4:$D$141,2,0)</f>
        <v>SOLDADURA</v>
      </c>
      <c r="C60" s="541"/>
      <c r="D60" s="541"/>
      <c r="E60" s="541"/>
      <c r="F60" s="541"/>
      <c r="G60" s="541"/>
      <c r="H60" s="541"/>
      <c r="I60" s="621"/>
      <c r="J60" s="198" t="str">
        <f>VLOOKUP(A60,Materiales!$A$4:$D$141,3,0)</f>
        <v>KG</v>
      </c>
      <c r="K60" s="200">
        <v>0.25</v>
      </c>
      <c r="L60" s="522">
        <f>VLOOKUP(A60,Materiales!$A$4:$D$141,4,0)</f>
        <v>7210</v>
      </c>
      <c r="M60" s="523"/>
      <c r="N60" s="297">
        <f t="shared" si="1"/>
        <v>1802.5</v>
      </c>
    </row>
    <row r="61" spans="1:15">
      <c r="A61" s="113" t="s">
        <v>352</v>
      </c>
      <c r="B61" s="540" t="str">
        <f>VLOOKUP(A61,Materiales!$A$4:$D$141,2,0)</f>
        <v>CONCRETO CLASE E</v>
      </c>
      <c r="C61" s="541"/>
      <c r="D61" s="541"/>
      <c r="E61" s="541"/>
      <c r="F61" s="541"/>
      <c r="G61" s="541"/>
      <c r="H61" s="541"/>
      <c r="I61" s="621"/>
      <c r="J61" s="198" t="str">
        <f>VLOOKUP(A61,Materiales!$A$4:$D$141,3,0)</f>
        <v>M3</v>
      </c>
      <c r="K61" s="200">
        <v>0.05</v>
      </c>
      <c r="L61" s="522">
        <f>VLOOKUP(A61,Materiales!$A$4:$D$141,4,0)</f>
        <v>463800</v>
      </c>
      <c r="M61" s="523"/>
      <c r="N61" s="297">
        <f t="shared" si="1"/>
        <v>23190</v>
      </c>
    </row>
    <row r="62" spans="1:15" ht="13.5" thickBot="1">
      <c r="B62" s="540"/>
      <c r="C62" s="541"/>
      <c r="D62" s="541"/>
      <c r="E62" s="541"/>
      <c r="F62" s="541"/>
      <c r="G62" s="541"/>
      <c r="H62" s="541"/>
      <c r="I62" s="621"/>
      <c r="J62" s="195"/>
      <c r="K62" s="169"/>
      <c r="L62" s="522"/>
      <c r="M62" s="523"/>
      <c r="N62" s="297"/>
    </row>
    <row r="63" spans="1:15" ht="14.25" thickBot="1">
      <c r="B63" s="524" t="s">
        <v>469</v>
      </c>
      <c r="C63" s="525"/>
      <c r="D63" s="525"/>
      <c r="E63" s="525"/>
      <c r="F63" s="525"/>
      <c r="G63" s="525"/>
      <c r="H63" s="525"/>
      <c r="I63" s="525"/>
      <c r="J63" s="525"/>
      <c r="K63" s="525"/>
      <c r="L63" s="525"/>
      <c r="M63" s="526"/>
      <c r="N63" s="319">
        <f>SUM(N53:N62)</f>
        <v>148764.09999999998</v>
      </c>
    </row>
    <row r="64" spans="1:15">
      <c r="B64" s="574" t="s">
        <v>89</v>
      </c>
      <c r="C64" s="575"/>
      <c r="D64" s="575"/>
      <c r="E64" s="575"/>
      <c r="F64" s="575"/>
      <c r="G64" s="575"/>
      <c r="H64" s="575"/>
      <c r="I64" s="575"/>
      <c r="J64" s="575"/>
      <c r="K64" s="575"/>
      <c r="L64" s="575"/>
      <c r="M64" s="575"/>
      <c r="N64" s="576"/>
    </row>
    <row r="65" spans="1:14">
      <c r="B65" s="577" t="s">
        <v>89</v>
      </c>
      <c r="C65" s="578"/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9"/>
    </row>
    <row r="66" spans="1:14" ht="13.5" thickBot="1">
      <c r="B66" s="580"/>
      <c r="C66" s="581"/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2"/>
    </row>
    <row r="67" spans="1:14" ht="13.5">
      <c r="B67" s="536" t="s">
        <v>141</v>
      </c>
      <c r="C67" s="537"/>
      <c r="D67" s="537"/>
      <c r="E67" s="537"/>
      <c r="F67" s="537"/>
      <c r="G67" s="537"/>
      <c r="H67" s="537"/>
      <c r="I67" s="237" t="s">
        <v>142</v>
      </c>
      <c r="J67" s="240" t="s">
        <v>143</v>
      </c>
      <c r="K67" s="241" t="s">
        <v>248</v>
      </c>
      <c r="L67" s="538" t="s">
        <v>17</v>
      </c>
      <c r="M67" s="539"/>
      <c r="N67" s="238" t="s">
        <v>140</v>
      </c>
    </row>
    <row r="68" spans="1:14">
      <c r="B68" s="540" t="s">
        <v>467</v>
      </c>
      <c r="C68" s="541"/>
      <c r="D68" s="541"/>
      <c r="E68" s="541"/>
      <c r="F68" s="541"/>
      <c r="G68" s="541"/>
      <c r="H68" s="541"/>
      <c r="I68" s="172"/>
      <c r="J68" s="166"/>
      <c r="K68" s="172"/>
      <c r="L68" s="542"/>
      <c r="M68" s="543"/>
      <c r="N68" s="297">
        <v>22680</v>
      </c>
    </row>
    <row r="69" spans="1:14" ht="13.5" thickBot="1">
      <c r="B69" s="624"/>
      <c r="C69" s="625"/>
      <c r="D69" s="625"/>
      <c r="E69" s="625"/>
      <c r="F69" s="625"/>
      <c r="G69" s="625"/>
      <c r="H69" s="625"/>
      <c r="I69" s="173"/>
      <c r="J69" s="161"/>
      <c r="K69" s="173"/>
      <c r="L69" s="534"/>
      <c r="M69" s="535"/>
      <c r="N69" s="210"/>
    </row>
    <row r="70" spans="1:14" ht="14.25" thickBot="1">
      <c r="B70" s="524" t="s">
        <v>469</v>
      </c>
      <c r="C70" s="525"/>
      <c r="D70" s="525"/>
      <c r="E70" s="525"/>
      <c r="F70" s="525"/>
      <c r="G70" s="525"/>
      <c r="H70" s="525"/>
      <c r="I70" s="525"/>
      <c r="J70" s="525"/>
      <c r="K70" s="525"/>
      <c r="L70" s="525"/>
      <c r="M70" s="526"/>
      <c r="N70" s="164">
        <f>SUM(N68:N69)</f>
        <v>22680</v>
      </c>
    </row>
    <row r="71" spans="1:14">
      <c r="B71" s="574" t="s">
        <v>90</v>
      </c>
      <c r="C71" s="575"/>
      <c r="D71" s="575"/>
      <c r="E71" s="575"/>
      <c r="F71" s="575"/>
      <c r="G71" s="575"/>
      <c r="H71" s="575"/>
      <c r="I71" s="575"/>
      <c r="J71" s="575"/>
      <c r="K71" s="575"/>
      <c r="L71" s="575"/>
      <c r="M71" s="575"/>
      <c r="N71" s="576"/>
    </row>
    <row r="72" spans="1:14">
      <c r="B72" s="577" t="s">
        <v>90</v>
      </c>
      <c r="C72" s="578"/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9"/>
    </row>
    <row r="73" spans="1:14" ht="13.5" thickBot="1"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3.5">
      <c r="B74" s="536" t="s">
        <v>144</v>
      </c>
      <c r="C74" s="537"/>
      <c r="D74" s="537"/>
      <c r="E74" s="537"/>
      <c r="F74" s="537"/>
      <c r="G74" s="537"/>
      <c r="H74" s="237" t="s">
        <v>101</v>
      </c>
      <c r="I74" s="237" t="s">
        <v>145</v>
      </c>
      <c r="J74" s="240" t="s">
        <v>84</v>
      </c>
      <c r="K74" s="241" t="s">
        <v>146</v>
      </c>
      <c r="L74" s="538" t="s">
        <v>136</v>
      </c>
      <c r="M74" s="539"/>
      <c r="N74" s="238" t="s">
        <v>140</v>
      </c>
    </row>
    <row r="75" spans="1:14">
      <c r="A75" s="113" t="s">
        <v>441</v>
      </c>
      <c r="B75" s="550" t="str">
        <f>VLOOKUP(A75,'Mano de Obra'!$A$4:$E$80,2,0)</f>
        <v>CORTADOR</v>
      </c>
      <c r="C75" s="551"/>
      <c r="D75" s="551"/>
      <c r="E75" s="551"/>
      <c r="F75" s="551"/>
      <c r="G75" s="552"/>
      <c r="H75" s="208">
        <v>1</v>
      </c>
      <c r="I75" s="302">
        <f>VLOOKUP(A75,'Mano de Obra'!$A$4:$E$80,3,0)</f>
        <v>72000</v>
      </c>
      <c r="J75" s="177">
        <f>VLOOKUP(A75,'Mano de Obra'!$A$4:$E$80,4,0)</f>
        <v>1.85</v>
      </c>
      <c r="K75" s="307">
        <f>+H75*I75*J75</f>
        <v>133200</v>
      </c>
      <c r="L75" s="529">
        <v>40</v>
      </c>
      <c r="M75" s="530"/>
      <c r="N75" s="326">
        <f>+K75/L75</f>
        <v>3330</v>
      </c>
    </row>
    <row r="76" spans="1:14">
      <c r="A76" s="113" t="s">
        <v>442</v>
      </c>
      <c r="B76" s="550" t="str">
        <f>VLOOKUP(A76,'Mano de Obra'!$A$4:$E$80,2,0)</f>
        <v>SOLDADOR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88000</v>
      </c>
      <c r="J76" s="177">
        <f>VLOOKUP(A76,'Mano de Obra'!$A$4:$E$80,4,0)</f>
        <v>1.85</v>
      </c>
      <c r="K76" s="307">
        <f t="shared" ref="K76:K81" si="2">+H76*I76*J76</f>
        <v>162800</v>
      </c>
      <c r="L76" s="529">
        <v>40</v>
      </c>
      <c r="M76" s="530"/>
      <c r="N76" s="326">
        <f t="shared" ref="N76:N81" si="3">+K76/L76</f>
        <v>4070</v>
      </c>
    </row>
    <row r="77" spans="1:14">
      <c r="A77" s="113" t="s">
        <v>443</v>
      </c>
      <c r="B77" s="550" t="str">
        <f>VLOOKUP(A77,'Mano de Obra'!$A$4:$E$80,2,0)</f>
        <v>PINTOR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177">
        <f>VLOOKUP(A77,'Mano de Obra'!$A$4:$E$80,4,0)</f>
        <v>1.85</v>
      </c>
      <c r="K77" s="307">
        <f t="shared" si="2"/>
        <v>133200</v>
      </c>
      <c r="L77" s="637">
        <v>40</v>
      </c>
      <c r="M77" s="638"/>
      <c r="N77" s="326">
        <f t="shared" si="3"/>
        <v>3330</v>
      </c>
    </row>
    <row r="78" spans="1:14">
      <c r="A78" s="113" t="s">
        <v>444</v>
      </c>
      <c r="B78" s="550" t="str">
        <f>VLOOKUP(A78,'Mano de Obra'!$A$4:$E$80,2,0)</f>
        <v>LAMINADOR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177">
        <f>VLOOKUP(A78,'Mano de Obra'!$A$4:$E$80,4,0)</f>
        <v>1.85</v>
      </c>
      <c r="K78" s="307">
        <f t="shared" si="2"/>
        <v>133200</v>
      </c>
      <c r="L78" s="529">
        <v>40</v>
      </c>
      <c r="M78" s="530"/>
      <c r="N78" s="326">
        <f t="shared" si="3"/>
        <v>3330</v>
      </c>
    </row>
    <row r="79" spans="1:14">
      <c r="A79" s="113" t="s">
        <v>445</v>
      </c>
      <c r="B79" s="550" t="str">
        <f>VLOOKUP(A79,'Mano de Obra'!$A$4:$E$80,2,0)</f>
        <v>SERIGRAFISTA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177">
        <f>VLOOKUP(A79,'Mano de Obra'!$A$4:$E$80,4,0)</f>
        <v>1.85</v>
      </c>
      <c r="K79" s="307">
        <f t="shared" si="2"/>
        <v>133200</v>
      </c>
      <c r="L79" s="637">
        <v>40</v>
      </c>
      <c r="M79" s="638"/>
      <c r="N79" s="326">
        <f t="shared" si="3"/>
        <v>3330</v>
      </c>
    </row>
    <row r="80" spans="1:14">
      <c r="A80" s="113" t="s">
        <v>446</v>
      </c>
      <c r="B80" s="550" t="str">
        <f>VLOOKUP(A80,'Mano de Obra'!$A$4:$E$80,2,0)</f>
        <v>AYUDANTE</v>
      </c>
      <c r="C80" s="551"/>
      <c r="D80" s="551"/>
      <c r="E80" s="551"/>
      <c r="F80" s="551"/>
      <c r="G80" s="552"/>
      <c r="H80" s="208">
        <v>2</v>
      </c>
      <c r="I80" s="302">
        <f>VLOOKUP(A80,'Mano de Obra'!$A$4:$E$80,3,0)</f>
        <v>28000</v>
      </c>
      <c r="J80" s="177">
        <f>VLOOKUP(A80,'Mano de Obra'!$A$4:$E$80,4,0)</f>
        <v>1.85</v>
      </c>
      <c r="K80" s="307">
        <f t="shared" si="2"/>
        <v>103600</v>
      </c>
      <c r="L80" s="529">
        <v>40</v>
      </c>
      <c r="M80" s="530"/>
      <c r="N80" s="326">
        <f t="shared" si="3"/>
        <v>2590</v>
      </c>
    </row>
    <row r="81" spans="1:14">
      <c r="A81" s="113" t="s">
        <v>447</v>
      </c>
      <c r="B81" s="550" t="str">
        <f>VLOOKUP(A81,'Mano de Obra'!$A$4:$E$80,2,0)</f>
        <v>CUADRILLA DE INSTALÑACIÓN (3)</v>
      </c>
      <c r="C81" s="551"/>
      <c r="D81" s="551"/>
      <c r="E81" s="551"/>
      <c r="F81" s="551"/>
      <c r="G81" s="552"/>
      <c r="H81" s="208">
        <v>1</v>
      </c>
      <c r="I81" s="302">
        <f>VLOOKUP(A81,'Mano de Obra'!$A$4:$E$80,3,0)</f>
        <v>83000</v>
      </c>
      <c r="J81" s="177">
        <f>VLOOKUP(A81,'Mano de Obra'!$A$4:$E$80,4,0)</f>
        <v>1.85</v>
      </c>
      <c r="K81" s="307">
        <f t="shared" si="2"/>
        <v>153550</v>
      </c>
      <c r="L81" s="637">
        <v>40</v>
      </c>
      <c r="M81" s="638"/>
      <c r="N81" s="326">
        <f t="shared" si="3"/>
        <v>3838.75</v>
      </c>
    </row>
    <row r="82" spans="1:14">
      <c r="B82" s="550"/>
      <c r="C82" s="551"/>
      <c r="D82" s="551"/>
      <c r="E82" s="551"/>
      <c r="F82" s="551"/>
      <c r="G82" s="552"/>
      <c r="H82" s="176"/>
      <c r="I82" s="302"/>
      <c r="J82" s="177"/>
      <c r="K82" s="307"/>
      <c r="L82" s="529"/>
      <c r="M82" s="530"/>
      <c r="N82" s="326"/>
    </row>
    <row r="83" spans="1:14" ht="13.5" thickBot="1">
      <c r="B83" s="550"/>
      <c r="C83" s="551"/>
      <c r="D83" s="551"/>
      <c r="E83" s="551"/>
      <c r="F83" s="551"/>
      <c r="G83" s="552"/>
      <c r="H83" s="173"/>
      <c r="I83" s="309"/>
      <c r="J83" s="161"/>
      <c r="K83" s="309"/>
      <c r="L83" s="529"/>
      <c r="M83" s="530"/>
      <c r="N83" s="327"/>
    </row>
    <row r="84" spans="1:14" ht="14.25" thickBot="1">
      <c r="B84" s="524" t="s">
        <v>469</v>
      </c>
      <c r="C84" s="525"/>
      <c r="D84" s="525"/>
      <c r="E84" s="525"/>
      <c r="F84" s="525"/>
      <c r="G84" s="525"/>
      <c r="H84" s="525"/>
      <c r="I84" s="525"/>
      <c r="J84" s="525"/>
      <c r="K84" s="525"/>
      <c r="L84" s="525"/>
      <c r="M84" s="526"/>
      <c r="N84" s="319">
        <f>SUM(N75:N83)</f>
        <v>23818.75</v>
      </c>
    </row>
    <row r="85" spans="1:14" ht="13.5" thickBot="1">
      <c r="B85" s="159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7"/>
    </row>
    <row r="86" spans="1:14" ht="13.5" thickBot="1">
      <c r="B86" s="531" t="s">
        <v>470</v>
      </c>
      <c r="C86" s="532"/>
      <c r="D86" s="532"/>
      <c r="E86" s="532"/>
      <c r="F86" s="532"/>
      <c r="G86" s="532"/>
      <c r="H86" s="532"/>
      <c r="I86" s="532"/>
      <c r="J86" s="532"/>
      <c r="K86" s="532"/>
      <c r="L86" s="532"/>
      <c r="M86" s="533"/>
      <c r="N86" s="245">
        <f>+N84+N70+N63+N48</f>
        <v>225075.93333333332</v>
      </c>
    </row>
    <row r="87" spans="1:14">
      <c r="B87" s="574" t="s">
        <v>91</v>
      </c>
      <c r="C87" s="575"/>
      <c r="D87" s="575"/>
      <c r="E87" s="575"/>
      <c r="F87" s="575"/>
      <c r="G87" s="575"/>
      <c r="H87" s="575"/>
      <c r="I87" s="575"/>
      <c r="J87" s="575"/>
      <c r="K87" s="575"/>
      <c r="L87" s="575"/>
      <c r="M87" s="575"/>
      <c r="N87" s="576"/>
    </row>
    <row r="88" spans="1:14">
      <c r="B88" s="577" t="s">
        <v>91</v>
      </c>
      <c r="C88" s="578"/>
      <c r="D88" s="578"/>
      <c r="E88" s="578"/>
      <c r="F88" s="578"/>
      <c r="G88" s="578"/>
      <c r="H88" s="578"/>
      <c r="I88" s="578"/>
      <c r="J88" s="578"/>
      <c r="K88" s="578"/>
      <c r="L88" s="578"/>
      <c r="M88" s="578"/>
      <c r="N88" s="579"/>
    </row>
    <row r="89" spans="1:14" ht="13.5" thickBot="1">
      <c r="B89" s="580"/>
      <c r="C89" s="581"/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2"/>
    </row>
    <row r="90" spans="1:14" ht="13.5">
      <c r="B90" s="536" t="s">
        <v>88</v>
      </c>
      <c r="C90" s="537"/>
      <c r="D90" s="537"/>
      <c r="E90" s="537"/>
      <c r="F90" s="537"/>
      <c r="G90" s="537"/>
      <c r="H90" s="537"/>
      <c r="I90" s="240"/>
      <c r="J90" s="246"/>
      <c r="K90" s="243" t="s">
        <v>92</v>
      </c>
      <c r="L90" s="527" t="s">
        <v>93</v>
      </c>
      <c r="M90" s="528"/>
      <c r="N90" s="244"/>
    </row>
    <row r="91" spans="1:14">
      <c r="B91" s="540" t="s">
        <v>82</v>
      </c>
      <c r="C91" s="541"/>
      <c r="D91" s="541"/>
      <c r="E91" s="541"/>
      <c r="F91" s="541"/>
      <c r="G91" s="541"/>
      <c r="H91" s="541"/>
      <c r="I91" s="182"/>
      <c r="J91" s="183"/>
      <c r="K91" s="251">
        <v>0.25</v>
      </c>
      <c r="L91" s="639">
        <f>+N86*K91</f>
        <v>56268.98333333333</v>
      </c>
      <c r="M91" s="640"/>
      <c r="N91" s="184"/>
    </row>
    <row r="92" spans="1:14">
      <c r="B92" s="185" t="s">
        <v>94</v>
      </c>
      <c r="C92" s="186"/>
      <c r="D92" s="186"/>
      <c r="E92" s="186"/>
      <c r="F92" s="186"/>
      <c r="G92" s="186"/>
      <c r="H92" s="186"/>
      <c r="I92" s="182"/>
      <c r="J92" s="183"/>
      <c r="K92" s="251">
        <v>0.05</v>
      </c>
      <c r="L92" s="639">
        <f>+N86*K92</f>
        <v>11253.796666666667</v>
      </c>
      <c r="M92" s="640"/>
      <c r="N92" s="184"/>
    </row>
    <row r="93" spans="1:14" ht="13.5" thickBot="1">
      <c r="B93" s="187" t="s">
        <v>83</v>
      </c>
      <c r="C93" s="188"/>
      <c r="D93" s="188"/>
      <c r="E93" s="188"/>
      <c r="F93" s="188"/>
      <c r="G93" s="188"/>
      <c r="H93" s="188"/>
      <c r="I93" s="189"/>
      <c r="J93" s="190"/>
      <c r="K93" s="251">
        <v>0.05</v>
      </c>
      <c r="L93" s="641">
        <f>+N86*K93</f>
        <v>11253.796666666667</v>
      </c>
      <c r="M93" s="642"/>
      <c r="N93" s="184"/>
    </row>
    <row r="94" spans="1:14" ht="14.25" thickBot="1">
      <c r="B94" s="524" t="s">
        <v>469</v>
      </c>
      <c r="C94" s="525"/>
      <c r="D94" s="525"/>
      <c r="E94" s="525"/>
      <c r="F94" s="525"/>
      <c r="G94" s="525"/>
      <c r="H94" s="525"/>
      <c r="I94" s="525"/>
      <c r="J94" s="525"/>
      <c r="K94" s="525"/>
      <c r="L94" s="525"/>
      <c r="M94" s="526"/>
      <c r="N94" s="191">
        <f>SUM(L91:M93)</f>
        <v>78776.57666666666</v>
      </c>
    </row>
    <row r="95" spans="1:14" ht="13.5" thickBot="1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1:14" ht="13.5" thickBot="1">
      <c r="B96" s="531" t="s">
        <v>471</v>
      </c>
      <c r="C96" s="532"/>
      <c r="D96" s="532"/>
      <c r="E96" s="532"/>
      <c r="F96" s="532"/>
      <c r="G96" s="532"/>
      <c r="H96" s="532"/>
      <c r="I96" s="532"/>
      <c r="J96" s="532"/>
      <c r="K96" s="532"/>
      <c r="L96" s="532"/>
      <c r="M96" s="533"/>
      <c r="N96" s="247">
        <f>ROUND(N86+N94,0)</f>
        <v>303853</v>
      </c>
    </row>
    <row r="97" spans="2:14">
      <c r="B97" s="138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41"/>
    </row>
    <row r="98" spans="2:14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>
      <c r="B99" s="159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5" t="str">
        <f>+'SV-01'!$G$96</f>
        <v>Firma</v>
      </c>
      <c r="H100" s="145"/>
      <c r="I100" s="145"/>
      <c r="J100" s="145"/>
      <c r="K100" s="140"/>
      <c r="L100" s="140"/>
      <c r="M100" s="140"/>
      <c r="N100" s="147"/>
    </row>
    <row r="101" spans="2:14" ht="13.5">
      <c r="B101" s="192"/>
      <c r="C101" s="193"/>
      <c r="D101" s="193"/>
      <c r="E101" s="193"/>
      <c r="F101" s="193"/>
      <c r="G101" s="145" t="str">
        <f>+'SV-01'!$G$97</f>
        <v>Nombre:</v>
      </c>
      <c r="H101" s="193"/>
      <c r="I101" s="193"/>
      <c r="J101" s="193"/>
      <c r="K101" s="193"/>
      <c r="L101" s="193"/>
      <c r="M101" s="193"/>
      <c r="N101" s="194"/>
    </row>
    <row r="102" spans="2:14" ht="13.5">
      <c r="B102" s="192"/>
      <c r="C102" s="193"/>
      <c r="D102" s="193"/>
      <c r="E102" s="193"/>
      <c r="F102" s="193"/>
      <c r="G102" s="145" t="str">
        <f>+'SV-01'!$G$98</f>
        <v>Representante Legal del Contratista o su Apoderado</v>
      </c>
      <c r="J102" s="193"/>
      <c r="K102" s="193"/>
      <c r="L102" s="193"/>
      <c r="M102" s="193"/>
      <c r="N102" s="194"/>
    </row>
    <row r="103" spans="2:14">
      <c r="B103" s="123"/>
      <c r="C103" s="155"/>
      <c r="D103" s="155"/>
      <c r="E103" s="155"/>
      <c r="F103" s="155"/>
      <c r="G103" s="145" t="str">
        <f>+'SV-01'!$G$99</f>
        <v>Matricula No. :</v>
      </c>
      <c r="H103" s="155"/>
      <c r="I103" s="155"/>
      <c r="J103" s="155"/>
      <c r="K103" s="155"/>
      <c r="L103" s="155"/>
      <c r="M103" s="155"/>
      <c r="N103" s="153"/>
    </row>
    <row r="104" spans="2:14">
      <c r="B104" s="159"/>
      <c r="C104" s="140"/>
      <c r="D104" s="140"/>
      <c r="E104" s="140"/>
      <c r="F104" s="140"/>
      <c r="G104" s="140" t="s">
        <v>206</v>
      </c>
      <c r="H104" s="140"/>
      <c r="I104" s="140"/>
      <c r="J104" s="140"/>
      <c r="K104" s="140"/>
      <c r="L104" s="140"/>
      <c r="M104" s="140"/>
      <c r="N104" s="147"/>
    </row>
    <row r="105" spans="2:14" ht="13.5">
      <c r="B105" s="165" t="str">
        <f>+'SV-01'!$B$101</f>
        <v>OBSERVACIONES INTERVENTORÍA</v>
      </c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7"/>
    </row>
    <row r="106" spans="2:14">
      <c r="B106" s="544"/>
      <c r="C106" s="545"/>
      <c r="D106" s="545"/>
      <c r="E106" s="545"/>
      <c r="F106" s="545"/>
      <c r="G106" s="545"/>
      <c r="H106" s="545"/>
      <c r="I106" s="545"/>
      <c r="J106" s="545"/>
      <c r="K106" s="545"/>
      <c r="L106" s="545"/>
      <c r="M106" s="545"/>
      <c r="N106" s="546"/>
    </row>
    <row r="107" spans="2:14">
      <c r="B107" s="547"/>
      <c r="C107" s="548"/>
      <c r="D107" s="548"/>
      <c r="E107" s="548"/>
      <c r="F107" s="548"/>
      <c r="G107" s="548"/>
      <c r="H107" s="548"/>
      <c r="I107" s="548"/>
      <c r="J107" s="548"/>
      <c r="K107" s="548"/>
      <c r="L107" s="548"/>
      <c r="M107" s="548"/>
      <c r="N107" s="549"/>
    </row>
    <row r="108" spans="2:14">
      <c r="B108" s="123"/>
      <c r="C108" s="155"/>
      <c r="D108" s="155"/>
      <c r="E108" s="155"/>
      <c r="F108" s="155"/>
      <c r="G108" s="155"/>
      <c r="H108" s="155"/>
      <c r="I108" s="155"/>
      <c r="J108" s="155"/>
      <c r="K108" s="155"/>
      <c r="L108" s="155"/>
      <c r="M108" s="155"/>
      <c r="N108" s="153"/>
    </row>
    <row r="109" spans="2:14">
      <c r="B109" s="159"/>
      <c r="C109" s="140"/>
      <c r="D109" s="140"/>
      <c r="E109" s="140"/>
      <c r="F109" s="140"/>
      <c r="G109" s="145" t="str">
        <f>+'SV-01'!$G$105</f>
        <v>Firma</v>
      </c>
      <c r="H109" s="140"/>
      <c r="I109" s="140"/>
      <c r="J109" s="140"/>
      <c r="K109" s="140"/>
      <c r="L109" s="140"/>
      <c r="M109" s="140"/>
      <c r="N109" s="147"/>
    </row>
    <row r="110" spans="2:14">
      <c r="B110" s="159"/>
      <c r="C110" s="140"/>
      <c r="D110" s="140"/>
      <c r="E110" s="140"/>
      <c r="F110" s="140"/>
      <c r="G110" s="140" t="str">
        <f>+'SV-01'!$G$106</f>
        <v>Nombre:</v>
      </c>
      <c r="H110" s="160"/>
      <c r="I110" s="160"/>
      <c r="J110" s="160"/>
      <c r="K110" s="140"/>
      <c r="L110" s="140"/>
      <c r="M110" s="140"/>
      <c r="N110" s="147"/>
    </row>
    <row r="111" spans="2:14">
      <c r="B111" s="159"/>
      <c r="C111" s="140"/>
      <c r="D111" s="140"/>
      <c r="E111" s="140"/>
      <c r="F111" s="140"/>
      <c r="G111" s="140" t="str">
        <f>+'SV-01'!$G$107</f>
        <v>Representante Legal del Interventor o su Apoderado</v>
      </c>
      <c r="H111" s="154"/>
      <c r="I111" s="154"/>
      <c r="J111" s="154"/>
      <c r="M111" s="140"/>
      <c r="N111" s="147"/>
    </row>
    <row r="112" spans="2:14">
      <c r="B112" s="196"/>
      <c r="C112" s="155"/>
      <c r="D112" s="155"/>
      <c r="E112" s="155"/>
      <c r="F112" s="155"/>
      <c r="G112" s="140" t="str">
        <f>+'SV-01'!$G$108</f>
        <v>Matricula No. :</v>
      </c>
      <c r="K112" s="155"/>
      <c r="L112" s="155"/>
      <c r="M112" s="155"/>
      <c r="N112" s="153"/>
    </row>
    <row r="113" spans="2:14" ht="12.75" customHeight="1">
      <c r="B113" s="199" t="str">
        <f>+'SV-01'!$B$109</f>
        <v xml:space="preserve">Original: Archivo de Gestión Contractual ( Subdirecciòn Administrativa) 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2.75" customHeight="1">
      <c r="B114" s="199" t="str">
        <f>+'SV-01'!$B$110</f>
        <v>Copias : Unidad Ejecutora,  Contratista, Interventor y Dirección Territorial.</v>
      </c>
      <c r="C114" s="197"/>
      <c r="D114" s="197"/>
      <c r="E114" s="140"/>
      <c r="F114" s="140"/>
      <c r="G114" s="140"/>
      <c r="H114" s="140"/>
      <c r="I114" s="140"/>
      <c r="J114" s="515"/>
      <c r="K114" s="515"/>
      <c r="L114" s="515"/>
      <c r="M114" s="515"/>
      <c r="N114" s="516"/>
    </row>
    <row r="115" spans="2:14" ht="13.5" customHeight="1" thickBot="1">
      <c r="B115" s="519"/>
      <c r="C115" s="520"/>
      <c r="D115" s="520"/>
      <c r="E115" s="161"/>
      <c r="F115" s="161"/>
      <c r="G115" s="161"/>
      <c r="H115" s="161"/>
      <c r="I115" s="161"/>
      <c r="J115" s="517"/>
      <c r="K115" s="517"/>
      <c r="L115" s="517"/>
      <c r="M115" s="517"/>
      <c r="N115" s="518"/>
    </row>
  </sheetData>
  <mergeCells count="124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B59:I59"/>
    <mergeCell ref="L59:M59"/>
    <mergeCell ref="L46:M46"/>
    <mergeCell ref="I47:J47"/>
    <mergeCell ref="L47:M47"/>
    <mergeCell ref="B48:M48"/>
    <mergeCell ref="B52:I52"/>
    <mergeCell ref="L52:M52"/>
    <mergeCell ref="B53:I53"/>
    <mergeCell ref="L53:M53"/>
    <mergeCell ref="B49:N51"/>
    <mergeCell ref="L37:M37"/>
    <mergeCell ref="C33:K33"/>
    <mergeCell ref="B34:N36"/>
    <mergeCell ref="I38:J38"/>
    <mergeCell ref="L38:M38"/>
    <mergeCell ref="B37:H37"/>
    <mergeCell ref="B38:H38"/>
    <mergeCell ref="I37:J37"/>
    <mergeCell ref="B39:H39"/>
    <mergeCell ref="B40:H40"/>
    <mergeCell ref="B41:H41"/>
    <mergeCell ref="B42:H42"/>
    <mergeCell ref="L81:M81"/>
    <mergeCell ref="B64:N66"/>
    <mergeCell ref="B71:N73"/>
    <mergeCell ref="B74:G74"/>
    <mergeCell ref="B60:I60"/>
    <mergeCell ref="L60:M60"/>
    <mergeCell ref="B61:I61"/>
    <mergeCell ref="L61:M61"/>
    <mergeCell ref="B62:I62"/>
    <mergeCell ref="L62:M62"/>
    <mergeCell ref="L78:M78"/>
    <mergeCell ref="L79:M79"/>
    <mergeCell ref="L80:M80"/>
    <mergeCell ref="B80:G80"/>
    <mergeCell ref="B81:G81"/>
    <mergeCell ref="L75:M75"/>
    <mergeCell ref="B43:H43"/>
    <mergeCell ref="B106:N106"/>
    <mergeCell ref="B107:N107"/>
    <mergeCell ref="J113:N115"/>
    <mergeCell ref="B115:D115"/>
    <mergeCell ref="B91:H91"/>
    <mergeCell ref="L91:M91"/>
    <mergeCell ref="L92:M92"/>
    <mergeCell ref="L93:M93"/>
    <mergeCell ref="B94:M94"/>
    <mergeCell ref="B96:M96"/>
    <mergeCell ref="L83:M83"/>
    <mergeCell ref="B84:M84"/>
    <mergeCell ref="B86:M86"/>
    <mergeCell ref="B90:H90"/>
    <mergeCell ref="L90:M90"/>
    <mergeCell ref="B87:N89"/>
    <mergeCell ref="L82:M82"/>
    <mergeCell ref="B63:M63"/>
    <mergeCell ref="B67:H67"/>
    <mergeCell ref="L54:M54"/>
    <mergeCell ref="L55:M55"/>
    <mergeCell ref="L56:M56"/>
    <mergeCell ref="B57:I57"/>
    <mergeCell ref="B58:I58"/>
    <mergeCell ref="L67:M67"/>
    <mergeCell ref="B68:H68"/>
    <mergeCell ref="L68:M68"/>
    <mergeCell ref="B69:H69"/>
    <mergeCell ref="L69:M69"/>
    <mergeCell ref="B70:M70"/>
    <mergeCell ref="L74:M74"/>
    <mergeCell ref="L57:M57"/>
    <mergeCell ref="B82:G82"/>
    <mergeCell ref="B83:G83"/>
    <mergeCell ref="B75:G75"/>
    <mergeCell ref="B76:G76"/>
    <mergeCell ref="B77:G77"/>
    <mergeCell ref="B78:G78"/>
    <mergeCell ref="B79:G79"/>
    <mergeCell ref="L39:M39"/>
    <mergeCell ref="L40:M40"/>
    <mergeCell ref="L41:M41"/>
    <mergeCell ref="L42:M42"/>
    <mergeCell ref="L43:M43"/>
    <mergeCell ref="L44:M44"/>
    <mergeCell ref="L58:M58"/>
    <mergeCell ref="B44:H44"/>
    <mergeCell ref="B45:H45"/>
    <mergeCell ref="B46:H46"/>
    <mergeCell ref="B47:H47"/>
    <mergeCell ref="B54:I54"/>
    <mergeCell ref="L45:M45"/>
    <mergeCell ref="L76:M76"/>
    <mergeCell ref="L77:M77"/>
    <mergeCell ref="B55:I55"/>
    <mergeCell ref="B56:I56"/>
  </mergeCells>
  <phoneticPr fontId="0" type="noConversion"/>
  <printOptions horizontalCentered="1" verticalCentered="1"/>
  <pageMargins left="1.1811023622047245" right="0.39370078740157483" top="0.19685039370078741" bottom="1.1811023622047245" header="0" footer="0"/>
  <pageSetup scale="46" orientation="portrait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8"/>
  <dimension ref="A1:N105"/>
  <sheetViews>
    <sheetView showGridLines="0" view="pageBreakPreview" topLeftCell="A55" zoomScaleNormal="55" zoomScaleSheetLayoutView="100" workbookViewId="0">
      <selection activeCell="N86" sqref="N86"/>
    </sheetView>
  </sheetViews>
  <sheetFormatPr baseColWidth="10" defaultRowHeight="12.75"/>
  <cols>
    <col min="1" max="1" width="3.140625" style="113" customWidth="1"/>
    <col min="2" max="10" width="11.42578125" style="113"/>
    <col min="11" max="11" width="12.140625" style="113" customWidth="1"/>
    <col min="12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59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377</v>
      </c>
      <c r="B38" s="550" t="str">
        <f>VLOOKUP(A38,Equipo!$A$4:$D$80,2,0)</f>
        <v>VEHICULO DELINEADOR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VLOOKUP(A38,Equipo!A4:D80,4,0)</f>
        <v>105554</v>
      </c>
      <c r="L38" s="637">
        <v>600</v>
      </c>
      <c r="M38" s="638"/>
      <c r="N38" s="297">
        <f>+K38/L38</f>
        <v>175.92333333333335</v>
      </c>
    </row>
    <row r="39" spans="1:14">
      <c r="A39" s="113" t="s">
        <v>374</v>
      </c>
      <c r="B39" s="550" t="str">
        <f>VLOOKUP(A39,Equipo!$A$4:$D$80,2,0)</f>
        <v>Camiontta con Platon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VLOOKUP(A39,Equipo!A5:D81,4,0)</f>
        <v>31870</v>
      </c>
      <c r="L39" s="637">
        <v>600</v>
      </c>
      <c r="M39" s="638"/>
      <c r="N39" s="297">
        <f>+K39/L39</f>
        <v>53.116666666666667</v>
      </c>
    </row>
    <row r="40" spans="1:14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620"/>
      <c r="J40" s="621"/>
      <c r="K40" s="315"/>
      <c r="L40" s="637"/>
      <c r="M40" s="638"/>
      <c r="N40" s="297">
        <v>2.4</v>
      </c>
    </row>
    <row r="41" spans="1:14">
      <c r="B41" s="550"/>
      <c r="C41" s="551"/>
      <c r="D41" s="551"/>
      <c r="E41" s="551"/>
      <c r="F41" s="551"/>
      <c r="G41" s="551"/>
      <c r="H41" s="552"/>
      <c r="I41" s="620"/>
      <c r="J41" s="621"/>
      <c r="K41" s="315"/>
      <c r="L41" s="637"/>
      <c r="M41" s="638"/>
      <c r="N41" s="297"/>
    </row>
    <row r="42" spans="1:14">
      <c r="B42" s="550"/>
      <c r="C42" s="551"/>
      <c r="D42" s="551"/>
      <c r="E42" s="551"/>
      <c r="F42" s="551"/>
      <c r="G42" s="551"/>
      <c r="H42" s="552"/>
      <c r="I42" s="620"/>
      <c r="J42" s="621"/>
      <c r="K42" s="315"/>
      <c r="L42" s="637"/>
      <c r="M42" s="638"/>
      <c r="N42" s="297"/>
    </row>
    <row r="43" spans="1:14">
      <c r="B43" s="550"/>
      <c r="C43" s="551"/>
      <c r="D43" s="551"/>
      <c r="E43" s="551"/>
      <c r="F43" s="551"/>
      <c r="G43" s="551"/>
      <c r="H43" s="552"/>
      <c r="I43" s="620"/>
      <c r="J43" s="621"/>
      <c r="K43" s="315"/>
      <c r="L43" s="637"/>
      <c r="M43" s="638"/>
      <c r="N43" s="297"/>
    </row>
    <row r="44" spans="1:14">
      <c r="B44" s="550"/>
      <c r="C44" s="551"/>
      <c r="D44" s="551"/>
      <c r="E44" s="551"/>
      <c r="F44" s="551"/>
      <c r="G44" s="551"/>
      <c r="H44" s="552"/>
      <c r="I44" s="620"/>
      <c r="J44" s="621"/>
      <c r="K44" s="315"/>
      <c r="L44" s="637"/>
      <c r="M44" s="638"/>
      <c r="N44" s="297"/>
    </row>
    <row r="45" spans="1:14" ht="13.5" thickBot="1">
      <c r="B45" s="550"/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/>
    </row>
    <row r="46" spans="1:14" ht="14.25" thickBot="1">
      <c r="B46" s="524" t="s">
        <v>472</v>
      </c>
      <c r="C46" s="525"/>
      <c r="D46" s="525"/>
      <c r="E46" s="525"/>
      <c r="F46" s="525"/>
      <c r="G46" s="525"/>
      <c r="H46" s="525"/>
      <c r="I46" s="525"/>
      <c r="J46" s="525"/>
      <c r="K46" s="525"/>
      <c r="L46" s="525"/>
      <c r="M46" s="526"/>
      <c r="N46" s="204">
        <f>SUM(N38:N45)</f>
        <v>231.44000000000003</v>
      </c>
    </row>
    <row r="47" spans="1:14">
      <c r="B47" s="574" t="s">
        <v>138</v>
      </c>
      <c r="C47" s="575"/>
      <c r="D47" s="575"/>
      <c r="E47" s="575"/>
      <c r="F47" s="575"/>
      <c r="G47" s="575"/>
      <c r="H47" s="575"/>
      <c r="I47" s="575"/>
      <c r="J47" s="575"/>
      <c r="K47" s="575"/>
      <c r="L47" s="575"/>
      <c r="M47" s="575"/>
      <c r="N47" s="576"/>
    </row>
    <row r="48" spans="1:14">
      <c r="B48" s="577" t="s">
        <v>138</v>
      </c>
      <c r="C48" s="578"/>
      <c r="D48" s="578"/>
      <c r="E48" s="578"/>
      <c r="F48" s="578"/>
      <c r="G48" s="578"/>
      <c r="H48" s="578"/>
      <c r="I48" s="578"/>
      <c r="J48" s="578"/>
      <c r="K48" s="578"/>
      <c r="L48" s="578"/>
      <c r="M48" s="578"/>
      <c r="N48" s="579"/>
    </row>
    <row r="49" spans="1:14" ht="13.5" thickBot="1">
      <c r="B49" s="580"/>
      <c r="C49" s="581"/>
      <c r="D49" s="581"/>
      <c r="E49" s="581"/>
      <c r="F49" s="581"/>
      <c r="G49" s="581"/>
      <c r="H49" s="581"/>
      <c r="I49" s="581"/>
      <c r="J49" s="581"/>
      <c r="K49" s="581"/>
      <c r="L49" s="581"/>
      <c r="M49" s="581"/>
      <c r="N49" s="582"/>
    </row>
    <row r="50" spans="1:14" ht="13.5">
      <c r="B50" s="536" t="s">
        <v>125</v>
      </c>
      <c r="C50" s="537"/>
      <c r="D50" s="537"/>
      <c r="E50" s="537"/>
      <c r="F50" s="537"/>
      <c r="G50" s="537"/>
      <c r="H50" s="537"/>
      <c r="I50" s="539"/>
      <c r="J50" s="239" t="s">
        <v>16</v>
      </c>
      <c r="K50" s="237" t="s">
        <v>101</v>
      </c>
      <c r="L50" s="538" t="s">
        <v>139</v>
      </c>
      <c r="M50" s="539"/>
      <c r="N50" s="238" t="s">
        <v>140</v>
      </c>
    </row>
    <row r="51" spans="1:14">
      <c r="A51" s="113" t="s">
        <v>353</v>
      </c>
      <c r="B51" s="540" t="str">
        <f>VLOOKUP(A51,Materiales!$A$4:$D$141,2,0)</f>
        <v>ESFERAS REFLECTIVAS</v>
      </c>
      <c r="C51" s="541"/>
      <c r="D51" s="541"/>
      <c r="E51" s="541"/>
      <c r="F51" s="541"/>
      <c r="G51" s="541"/>
      <c r="H51" s="541"/>
      <c r="I51" s="621"/>
      <c r="J51" s="198" t="str">
        <f>VLOOKUP(A51,Materiales!$A$4:$D$141,3,0)</f>
        <v>LB</v>
      </c>
      <c r="K51" s="200">
        <v>0.09</v>
      </c>
      <c r="L51" s="522">
        <f>VLOOKUP(A51,Materiales!A4:D141,4,0)</f>
        <v>1900</v>
      </c>
      <c r="M51" s="523"/>
      <c r="N51" s="297">
        <f>+K51*L51</f>
        <v>171</v>
      </c>
    </row>
    <row r="52" spans="1:14">
      <c r="A52" s="113" t="s">
        <v>359</v>
      </c>
      <c r="B52" s="540" t="str">
        <f>VLOOKUP(A52,Materiales!$A$4:$D$141,2,0)</f>
        <v>RESINA TERMOPLASTICA</v>
      </c>
      <c r="C52" s="541"/>
      <c r="D52" s="541"/>
      <c r="E52" s="541"/>
      <c r="F52" s="541"/>
      <c r="G52" s="541"/>
      <c r="H52" s="541"/>
      <c r="I52" s="621"/>
      <c r="J52" s="198" t="str">
        <f>VLOOKUP(A52,Materiales!$A$4:$D$141,3,0)</f>
        <v>KG</v>
      </c>
      <c r="K52" s="200">
        <v>0.64</v>
      </c>
      <c r="L52" s="522">
        <f>VLOOKUP(A52,Materiales!A5:D142,4,0)</f>
        <v>4230</v>
      </c>
      <c r="M52" s="523"/>
      <c r="N52" s="297">
        <f>+K52*L52</f>
        <v>2707.2000000000003</v>
      </c>
    </row>
    <row r="53" spans="1:14">
      <c r="B53" s="540"/>
      <c r="C53" s="541"/>
      <c r="D53" s="541"/>
      <c r="E53" s="541"/>
      <c r="F53" s="541"/>
      <c r="G53" s="541"/>
      <c r="H53" s="541"/>
      <c r="I53" s="621"/>
      <c r="J53" s="198"/>
      <c r="K53" s="200"/>
      <c r="L53" s="522"/>
      <c r="M53" s="523"/>
      <c r="N53" s="297"/>
    </row>
    <row r="54" spans="1:14">
      <c r="B54" s="540"/>
      <c r="C54" s="541"/>
      <c r="D54" s="541"/>
      <c r="E54" s="541"/>
      <c r="F54" s="541"/>
      <c r="G54" s="541"/>
      <c r="H54" s="541"/>
      <c r="I54" s="621"/>
      <c r="J54" s="198"/>
      <c r="K54" s="200"/>
      <c r="L54" s="522"/>
      <c r="M54" s="523"/>
      <c r="N54" s="297"/>
    </row>
    <row r="55" spans="1:14" ht="13.5" thickBot="1">
      <c r="B55" s="540"/>
      <c r="C55" s="541"/>
      <c r="D55" s="541"/>
      <c r="E55" s="541"/>
      <c r="F55" s="541"/>
      <c r="G55" s="541"/>
      <c r="H55" s="541"/>
      <c r="I55" s="621"/>
      <c r="J55" s="195"/>
      <c r="K55" s="169"/>
      <c r="L55" s="522"/>
      <c r="M55" s="523"/>
      <c r="N55" s="297"/>
    </row>
    <row r="56" spans="1:14" ht="14.25" thickBot="1">
      <c r="B56" s="524" t="s">
        <v>472</v>
      </c>
      <c r="C56" s="525"/>
      <c r="D56" s="525"/>
      <c r="E56" s="525"/>
      <c r="F56" s="525"/>
      <c r="G56" s="525"/>
      <c r="H56" s="525"/>
      <c r="I56" s="525"/>
      <c r="J56" s="525"/>
      <c r="K56" s="525"/>
      <c r="L56" s="525"/>
      <c r="M56" s="526"/>
      <c r="N56" s="319">
        <f>SUM(N51:N55)</f>
        <v>2878.2000000000003</v>
      </c>
    </row>
    <row r="57" spans="1:14">
      <c r="B57" s="574" t="s">
        <v>89</v>
      </c>
      <c r="C57" s="575"/>
      <c r="D57" s="575"/>
      <c r="E57" s="575"/>
      <c r="F57" s="575"/>
      <c r="G57" s="575"/>
      <c r="H57" s="575"/>
      <c r="I57" s="575"/>
      <c r="J57" s="575"/>
      <c r="K57" s="575"/>
      <c r="L57" s="575"/>
      <c r="M57" s="575"/>
      <c r="N57" s="576"/>
    </row>
    <row r="58" spans="1:14">
      <c r="B58" s="577" t="s">
        <v>89</v>
      </c>
      <c r="C58" s="578"/>
      <c r="D58" s="578"/>
      <c r="E58" s="578"/>
      <c r="F58" s="578"/>
      <c r="G58" s="578"/>
      <c r="H58" s="578"/>
      <c r="I58" s="578"/>
      <c r="J58" s="578"/>
      <c r="K58" s="578"/>
      <c r="L58" s="578"/>
      <c r="M58" s="578"/>
      <c r="N58" s="579"/>
    </row>
    <row r="59" spans="1:14" ht="13.5" thickBot="1">
      <c r="B59" s="580"/>
      <c r="C59" s="581"/>
      <c r="D59" s="581"/>
      <c r="E59" s="581"/>
      <c r="F59" s="581"/>
      <c r="G59" s="581"/>
      <c r="H59" s="581"/>
      <c r="I59" s="581"/>
      <c r="J59" s="581"/>
      <c r="K59" s="581"/>
      <c r="L59" s="581"/>
      <c r="M59" s="581"/>
      <c r="N59" s="582"/>
    </row>
    <row r="60" spans="1:14" ht="13.5">
      <c r="B60" s="536" t="s">
        <v>141</v>
      </c>
      <c r="C60" s="537"/>
      <c r="D60" s="537"/>
      <c r="E60" s="537"/>
      <c r="F60" s="537"/>
      <c r="G60" s="537"/>
      <c r="H60" s="537"/>
      <c r="I60" s="237" t="s">
        <v>142</v>
      </c>
      <c r="J60" s="240" t="s">
        <v>143</v>
      </c>
      <c r="K60" s="241" t="s">
        <v>248</v>
      </c>
      <c r="L60" s="538" t="s">
        <v>17</v>
      </c>
      <c r="M60" s="539"/>
      <c r="N60" s="238" t="s">
        <v>140</v>
      </c>
    </row>
    <row r="61" spans="1:14">
      <c r="B61" s="540"/>
      <c r="C61" s="541"/>
      <c r="D61" s="541"/>
      <c r="E61" s="541"/>
      <c r="F61" s="541"/>
      <c r="G61" s="541"/>
      <c r="H61" s="541"/>
      <c r="I61" s="205"/>
      <c r="J61" s="209"/>
      <c r="K61" s="205"/>
      <c r="L61" s="637"/>
      <c r="M61" s="638"/>
      <c r="N61" s="163">
        <f>+L61*K61</f>
        <v>0</v>
      </c>
    </row>
    <row r="62" spans="1:14" ht="13.5" thickBot="1">
      <c r="B62" s="624"/>
      <c r="C62" s="625"/>
      <c r="D62" s="625"/>
      <c r="E62" s="625"/>
      <c r="F62" s="625"/>
      <c r="G62" s="625"/>
      <c r="H62" s="625"/>
      <c r="I62" s="173"/>
      <c r="J62" s="161"/>
      <c r="K62" s="173"/>
      <c r="L62" s="534"/>
      <c r="M62" s="535"/>
      <c r="N62" s="210"/>
    </row>
    <row r="63" spans="1:14" ht="14.25" thickBot="1">
      <c r="B63" s="524" t="s">
        <v>469</v>
      </c>
      <c r="C63" s="525"/>
      <c r="D63" s="525"/>
      <c r="E63" s="525"/>
      <c r="F63" s="525"/>
      <c r="G63" s="525"/>
      <c r="H63" s="525"/>
      <c r="I63" s="525"/>
      <c r="J63" s="525"/>
      <c r="K63" s="525"/>
      <c r="L63" s="525"/>
      <c r="M63" s="526"/>
      <c r="N63" s="164">
        <f>SUM(N61:N62)</f>
        <v>0</v>
      </c>
    </row>
    <row r="64" spans="1:14">
      <c r="B64" s="574" t="s">
        <v>90</v>
      </c>
      <c r="C64" s="575"/>
      <c r="D64" s="575"/>
      <c r="E64" s="575"/>
      <c r="F64" s="575"/>
      <c r="G64" s="575"/>
      <c r="H64" s="575"/>
      <c r="I64" s="575"/>
      <c r="J64" s="575"/>
      <c r="K64" s="575"/>
      <c r="L64" s="575"/>
      <c r="M64" s="575"/>
      <c r="N64" s="576"/>
    </row>
    <row r="65" spans="1:14">
      <c r="B65" s="577" t="s">
        <v>90</v>
      </c>
      <c r="C65" s="578"/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9"/>
    </row>
    <row r="66" spans="1:14" ht="13.5" thickBot="1">
      <c r="B66" s="580"/>
      <c r="C66" s="581"/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2"/>
    </row>
    <row r="67" spans="1:14" ht="13.5">
      <c r="B67" s="536" t="s">
        <v>144</v>
      </c>
      <c r="C67" s="537"/>
      <c r="D67" s="537"/>
      <c r="E67" s="537"/>
      <c r="F67" s="537"/>
      <c r="G67" s="537"/>
      <c r="H67" s="237" t="s">
        <v>101</v>
      </c>
      <c r="I67" s="237" t="s">
        <v>145</v>
      </c>
      <c r="J67" s="240" t="s">
        <v>84</v>
      </c>
      <c r="K67" s="241" t="s">
        <v>146</v>
      </c>
      <c r="L67" s="538" t="s">
        <v>136</v>
      </c>
      <c r="M67" s="539"/>
      <c r="N67" s="238" t="s">
        <v>140</v>
      </c>
    </row>
    <row r="68" spans="1:14">
      <c r="A68" s="113" t="s">
        <v>479</v>
      </c>
      <c r="B68" s="550" t="str">
        <f>VLOOKUP(A68,'Mano de Obra'!$A$4:$E$80,2,0)</f>
        <v>OPERADOR DE EQUIPO</v>
      </c>
      <c r="C68" s="551"/>
      <c r="D68" s="551"/>
      <c r="E68" s="551"/>
      <c r="F68" s="551"/>
      <c r="G68" s="552"/>
      <c r="H68" s="176">
        <v>2</v>
      </c>
      <c r="I68" s="302">
        <f>VLOOKUP(A68,'Mano de Obra'!$A$4:$E$80,3,0)</f>
        <v>72000</v>
      </c>
      <c r="J68" s="302">
        <f>VLOOKUP(A68,'Mano de Obra'!$A$4:$E$80,4,0)</f>
        <v>1.85</v>
      </c>
      <c r="K68" s="307">
        <f>+H68*I68*J68</f>
        <v>266400</v>
      </c>
      <c r="L68" s="529">
        <v>320</v>
      </c>
      <c r="M68" s="530"/>
      <c r="N68" s="326">
        <f>+K68/L68</f>
        <v>832.5</v>
      </c>
    </row>
    <row r="69" spans="1:14">
      <c r="A69" s="113" t="s">
        <v>446</v>
      </c>
      <c r="B69" s="550" t="str">
        <f>VLOOKUP(A69,'Mano de Obra'!$A$4:$E$80,2,0)</f>
        <v>AYUDANTE</v>
      </c>
      <c r="C69" s="551"/>
      <c r="D69" s="551"/>
      <c r="E69" s="551"/>
      <c r="F69" s="551"/>
      <c r="G69" s="552"/>
      <c r="H69" s="176">
        <v>4</v>
      </c>
      <c r="I69" s="302">
        <f>VLOOKUP(A69,'Mano de Obra'!$A$4:$E$80,3,0)</f>
        <v>28000</v>
      </c>
      <c r="J69" s="302">
        <f>VLOOKUP(A69,'Mano de Obra'!$A$4:$E$80,4,0)</f>
        <v>1.85</v>
      </c>
      <c r="K69" s="307">
        <f>+H69*I69*J69</f>
        <v>207200</v>
      </c>
      <c r="L69" s="529">
        <v>320</v>
      </c>
      <c r="M69" s="530"/>
      <c r="N69" s="326">
        <f t="shared" ref="N69" si="0">+K69/L69</f>
        <v>647.5</v>
      </c>
    </row>
    <row r="70" spans="1:14">
      <c r="B70" s="547"/>
      <c r="C70" s="548"/>
      <c r="D70" s="548"/>
      <c r="E70" s="548"/>
      <c r="F70" s="548"/>
      <c r="G70" s="548"/>
      <c r="H70" s="176"/>
      <c r="I70" s="302"/>
      <c r="J70" s="177"/>
      <c r="K70" s="307"/>
      <c r="L70" s="529"/>
      <c r="M70" s="530"/>
      <c r="N70" s="326"/>
    </row>
    <row r="71" spans="1:14">
      <c r="B71" s="547"/>
      <c r="C71" s="548"/>
      <c r="D71" s="548"/>
      <c r="E71" s="548"/>
      <c r="F71" s="548"/>
      <c r="G71" s="548"/>
      <c r="H71" s="176"/>
      <c r="I71" s="302"/>
      <c r="J71" s="177"/>
      <c r="K71" s="307"/>
      <c r="L71" s="529"/>
      <c r="M71" s="530"/>
      <c r="N71" s="326"/>
    </row>
    <row r="72" spans="1:14">
      <c r="B72" s="547"/>
      <c r="C72" s="548"/>
      <c r="D72" s="548"/>
      <c r="E72" s="548"/>
      <c r="F72" s="548"/>
      <c r="G72" s="548"/>
      <c r="H72" s="176"/>
      <c r="I72" s="302"/>
      <c r="J72" s="177"/>
      <c r="K72" s="307"/>
      <c r="L72" s="529"/>
      <c r="M72" s="530"/>
      <c r="N72" s="326"/>
    </row>
    <row r="73" spans="1:14" ht="13.5" thickBot="1">
      <c r="B73" s="547"/>
      <c r="C73" s="548"/>
      <c r="D73" s="548"/>
      <c r="E73" s="548"/>
      <c r="F73" s="548"/>
      <c r="G73" s="548"/>
      <c r="H73" s="362"/>
      <c r="I73" s="309"/>
      <c r="J73" s="161"/>
      <c r="K73" s="309"/>
      <c r="L73" s="529"/>
      <c r="M73" s="530"/>
      <c r="N73" s="327"/>
    </row>
    <row r="74" spans="1:14" ht="14.25" thickBot="1">
      <c r="B74" s="524" t="s">
        <v>469</v>
      </c>
      <c r="C74" s="525"/>
      <c r="D74" s="525"/>
      <c r="E74" s="525"/>
      <c r="F74" s="525"/>
      <c r="G74" s="525"/>
      <c r="H74" s="525"/>
      <c r="I74" s="525"/>
      <c r="J74" s="525"/>
      <c r="K74" s="525"/>
      <c r="L74" s="525"/>
      <c r="M74" s="526"/>
      <c r="N74" s="319">
        <f>SUM(N68:N73)</f>
        <v>1480</v>
      </c>
    </row>
    <row r="75" spans="1:14" ht="13.5" thickBot="1">
      <c r="B75" s="159"/>
      <c r="C75" s="140"/>
      <c r="D75" s="140"/>
      <c r="E75" s="140"/>
      <c r="F75" s="140"/>
      <c r="G75" s="140"/>
      <c r="H75" s="140"/>
      <c r="I75" s="140"/>
      <c r="J75" s="140"/>
      <c r="K75" s="140"/>
      <c r="L75" s="140"/>
      <c r="M75" s="140"/>
      <c r="N75" s="147"/>
    </row>
    <row r="76" spans="1:14" ht="13.5" thickBot="1">
      <c r="B76" s="531" t="s">
        <v>470</v>
      </c>
      <c r="C76" s="532"/>
      <c r="D76" s="532"/>
      <c r="E76" s="532"/>
      <c r="F76" s="532"/>
      <c r="G76" s="532"/>
      <c r="H76" s="532"/>
      <c r="I76" s="532"/>
      <c r="J76" s="532"/>
      <c r="K76" s="532"/>
      <c r="L76" s="532"/>
      <c r="M76" s="533"/>
      <c r="N76" s="245">
        <f>+N74+N63+N56+N46</f>
        <v>4589.6400000000003</v>
      </c>
    </row>
    <row r="77" spans="1:14">
      <c r="B77" s="574" t="s">
        <v>91</v>
      </c>
      <c r="C77" s="575"/>
      <c r="D77" s="575"/>
      <c r="E77" s="575"/>
      <c r="F77" s="575"/>
      <c r="G77" s="575"/>
      <c r="H77" s="575"/>
      <c r="I77" s="575"/>
      <c r="J77" s="575"/>
      <c r="K77" s="575"/>
      <c r="L77" s="575"/>
      <c r="M77" s="575"/>
      <c r="N77" s="576"/>
    </row>
    <row r="78" spans="1:14">
      <c r="B78" s="577" t="s">
        <v>91</v>
      </c>
      <c r="C78" s="578"/>
      <c r="D78" s="578"/>
      <c r="E78" s="578"/>
      <c r="F78" s="578"/>
      <c r="G78" s="578"/>
      <c r="H78" s="578"/>
      <c r="I78" s="578"/>
      <c r="J78" s="578"/>
      <c r="K78" s="578"/>
      <c r="L78" s="578"/>
      <c r="M78" s="578"/>
      <c r="N78" s="579"/>
    </row>
    <row r="79" spans="1:14" ht="13.5" thickBot="1">
      <c r="B79" s="580"/>
      <c r="C79" s="581"/>
      <c r="D79" s="581"/>
      <c r="E79" s="581"/>
      <c r="F79" s="581"/>
      <c r="G79" s="581"/>
      <c r="H79" s="581"/>
      <c r="I79" s="581"/>
      <c r="J79" s="581"/>
      <c r="K79" s="581"/>
      <c r="L79" s="581"/>
      <c r="M79" s="581"/>
      <c r="N79" s="582"/>
    </row>
    <row r="80" spans="1:14" ht="13.5">
      <c r="B80" s="536" t="s">
        <v>88</v>
      </c>
      <c r="C80" s="537"/>
      <c r="D80" s="537"/>
      <c r="E80" s="537"/>
      <c r="F80" s="537"/>
      <c r="G80" s="537"/>
      <c r="H80" s="537"/>
      <c r="I80" s="240"/>
      <c r="J80" s="246"/>
      <c r="K80" s="243" t="s">
        <v>92</v>
      </c>
      <c r="L80" s="527" t="s">
        <v>93</v>
      </c>
      <c r="M80" s="528"/>
      <c r="N80" s="244"/>
    </row>
    <row r="81" spans="2:14">
      <c r="B81" s="540" t="s">
        <v>82</v>
      </c>
      <c r="C81" s="541"/>
      <c r="D81" s="541"/>
      <c r="E81" s="541"/>
      <c r="F81" s="541"/>
      <c r="G81" s="541"/>
      <c r="H81" s="541"/>
      <c r="I81" s="182"/>
      <c r="J81" s="183"/>
      <c r="K81" s="251">
        <v>0.25</v>
      </c>
      <c r="L81" s="639">
        <f>+N76*K81</f>
        <v>1147.4100000000001</v>
      </c>
      <c r="M81" s="640"/>
      <c r="N81" s="184"/>
    </row>
    <row r="82" spans="2:14">
      <c r="B82" s="185" t="s">
        <v>94</v>
      </c>
      <c r="C82" s="186"/>
      <c r="D82" s="186"/>
      <c r="E82" s="186"/>
      <c r="F82" s="186"/>
      <c r="G82" s="186"/>
      <c r="H82" s="186"/>
      <c r="I82" s="182"/>
      <c r="J82" s="183"/>
      <c r="K82" s="251">
        <v>0.05</v>
      </c>
      <c r="L82" s="639">
        <f>+N76*K82</f>
        <v>229.48200000000003</v>
      </c>
      <c r="M82" s="640"/>
      <c r="N82" s="184"/>
    </row>
    <row r="83" spans="2:14" ht="13.5" thickBot="1">
      <c r="B83" s="187" t="s">
        <v>83</v>
      </c>
      <c r="C83" s="188"/>
      <c r="D83" s="188"/>
      <c r="E83" s="188"/>
      <c r="F83" s="188"/>
      <c r="G83" s="188"/>
      <c r="H83" s="188"/>
      <c r="I83" s="189"/>
      <c r="J83" s="190"/>
      <c r="K83" s="251">
        <v>0.05</v>
      </c>
      <c r="L83" s="641">
        <f>+N76*K83</f>
        <v>229.48200000000003</v>
      </c>
      <c r="M83" s="642"/>
      <c r="N83" s="184"/>
    </row>
    <row r="84" spans="2:14" ht="14.25" thickBot="1">
      <c r="B84" s="524" t="s">
        <v>469</v>
      </c>
      <c r="C84" s="525"/>
      <c r="D84" s="525"/>
      <c r="E84" s="525"/>
      <c r="F84" s="525"/>
      <c r="G84" s="525"/>
      <c r="H84" s="525"/>
      <c r="I84" s="525"/>
      <c r="J84" s="525"/>
      <c r="K84" s="525"/>
      <c r="L84" s="525"/>
      <c r="M84" s="526"/>
      <c r="N84" s="191">
        <f>SUM(L81:M83)</f>
        <v>1606.374</v>
      </c>
    </row>
    <row r="85" spans="2:14" ht="13.5" thickBot="1">
      <c r="B85" s="159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7"/>
    </row>
    <row r="86" spans="2:14" ht="13.5" thickBot="1">
      <c r="B86" s="531" t="s">
        <v>471</v>
      </c>
      <c r="C86" s="532"/>
      <c r="D86" s="532"/>
      <c r="E86" s="532"/>
      <c r="F86" s="532"/>
      <c r="G86" s="532"/>
      <c r="H86" s="532"/>
      <c r="I86" s="532"/>
      <c r="J86" s="532"/>
      <c r="K86" s="532"/>
      <c r="L86" s="532"/>
      <c r="M86" s="533"/>
      <c r="N86" s="247">
        <f>ROUND(N76+N84,0)</f>
        <v>6196</v>
      </c>
    </row>
    <row r="87" spans="2:14">
      <c r="B87" s="138"/>
      <c r="C87" s="139"/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41"/>
    </row>
    <row r="88" spans="2:14">
      <c r="B88" s="159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7"/>
    </row>
    <row r="89" spans="2:14">
      <c r="B89" s="159"/>
      <c r="C89" s="140"/>
      <c r="D89" s="140"/>
      <c r="E89" s="140"/>
      <c r="F89" s="140"/>
      <c r="G89" s="140"/>
      <c r="H89" s="140"/>
      <c r="I89" s="140"/>
      <c r="J89" s="140"/>
      <c r="K89" s="140"/>
      <c r="L89" s="140"/>
      <c r="M89" s="140"/>
      <c r="N89" s="147"/>
    </row>
    <row r="90" spans="2:14">
      <c r="B90" s="159"/>
      <c r="C90" s="140"/>
      <c r="D90" s="140"/>
      <c r="E90" s="140"/>
      <c r="F90" s="140"/>
      <c r="G90" s="145" t="str">
        <f>+'SV-01'!$G$96</f>
        <v>Firma</v>
      </c>
      <c r="H90" s="145"/>
      <c r="I90" s="145"/>
      <c r="J90" s="145"/>
      <c r="K90" s="140"/>
      <c r="L90" s="140"/>
      <c r="M90" s="140"/>
      <c r="N90" s="147"/>
    </row>
    <row r="91" spans="2:14" ht="13.5">
      <c r="B91" s="192"/>
      <c r="C91" s="193"/>
      <c r="D91" s="193"/>
      <c r="E91" s="193"/>
      <c r="F91" s="193"/>
      <c r="G91" s="145" t="str">
        <f>+'SV-01'!$G$97</f>
        <v>Nombre:</v>
      </c>
      <c r="H91" s="193"/>
      <c r="I91" s="193"/>
      <c r="J91" s="193"/>
      <c r="K91" s="193"/>
      <c r="L91" s="193"/>
      <c r="M91" s="193"/>
      <c r="N91" s="194"/>
    </row>
    <row r="92" spans="2:14" ht="13.5">
      <c r="B92" s="192"/>
      <c r="C92" s="193"/>
      <c r="D92" s="193"/>
      <c r="E92" s="193"/>
      <c r="F92" s="193"/>
      <c r="G92" s="145" t="str">
        <f>+'SV-01'!$G$98</f>
        <v>Representante Legal del Contratista o su Apoderado</v>
      </c>
      <c r="J92" s="193"/>
      <c r="K92" s="193"/>
      <c r="L92" s="193"/>
      <c r="M92" s="193"/>
      <c r="N92" s="194"/>
    </row>
    <row r="93" spans="2:14">
      <c r="B93" s="123"/>
      <c r="C93" s="155"/>
      <c r="D93" s="155"/>
      <c r="E93" s="155"/>
      <c r="F93" s="155"/>
      <c r="G93" s="145" t="str">
        <f>+'SV-01'!$G$99</f>
        <v>Matricula No. :</v>
      </c>
      <c r="H93" s="155"/>
      <c r="I93" s="155"/>
      <c r="J93" s="155"/>
      <c r="K93" s="155"/>
      <c r="L93" s="155"/>
      <c r="M93" s="155"/>
      <c r="N93" s="153"/>
    </row>
    <row r="94" spans="2:14">
      <c r="B94" s="159"/>
      <c r="C94" s="140"/>
      <c r="D94" s="140"/>
      <c r="E94" s="140"/>
      <c r="F94" s="140"/>
      <c r="G94" s="140" t="s">
        <v>206</v>
      </c>
      <c r="H94" s="140"/>
      <c r="I94" s="140"/>
      <c r="J94" s="140"/>
      <c r="K94" s="140"/>
      <c r="L94" s="140"/>
      <c r="M94" s="140"/>
      <c r="N94" s="147"/>
    </row>
    <row r="95" spans="2:14" ht="13.5">
      <c r="B95" s="165" t="str">
        <f>+'SV-01'!$B$101</f>
        <v>OBSERVACIONES INTERVENTORÍA</v>
      </c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7"/>
    </row>
    <row r="96" spans="2:14">
      <c r="B96" s="544"/>
      <c r="C96" s="545"/>
      <c r="D96" s="545"/>
      <c r="E96" s="545"/>
      <c r="F96" s="545"/>
      <c r="G96" s="545"/>
      <c r="H96" s="545"/>
      <c r="I96" s="545"/>
      <c r="J96" s="545"/>
      <c r="K96" s="545"/>
      <c r="L96" s="545"/>
      <c r="M96" s="545"/>
      <c r="N96" s="546"/>
    </row>
    <row r="97" spans="2:14">
      <c r="B97" s="547"/>
      <c r="C97" s="548"/>
      <c r="D97" s="548"/>
      <c r="E97" s="548"/>
      <c r="F97" s="548"/>
      <c r="G97" s="548"/>
      <c r="H97" s="548"/>
      <c r="I97" s="548"/>
      <c r="J97" s="548"/>
      <c r="K97" s="548"/>
      <c r="L97" s="548"/>
      <c r="M97" s="548"/>
      <c r="N97" s="549"/>
    </row>
    <row r="98" spans="2:14">
      <c r="B98" s="123"/>
      <c r="C98" s="155"/>
      <c r="D98" s="155"/>
      <c r="E98" s="155"/>
      <c r="F98" s="155"/>
      <c r="G98" s="155"/>
      <c r="H98" s="155"/>
      <c r="I98" s="155"/>
      <c r="J98" s="155"/>
      <c r="K98" s="155"/>
      <c r="L98" s="155"/>
      <c r="M98" s="155"/>
      <c r="N98" s="153"/>
    </row>
    <row r="99" spans="2:14">
      <c r="B99" s="159"/>
      <c r="C99" s="140"/>
      <c r="D99" s="140"/>
      <c r="E99" s="140"/>
      <c r="F99" s="140"/>
      <c r="G99" s="145" t="str">
        <f>+'SV-01'!$G$105</f>
        <v>Firma</v>
      </c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0" t="str">
        <f>+'SV-01'!$G$106</f>
        <v>Nombre:</v>
      </c>
      <c r="H100" s="160"/>
      <c r="I100" s="160"/>
      <c r="J100" s="160"/>
      <c r="K100" s="140"/>
      <c r="L100" s="140"/>
      <c r="M100" s="140"/>
      <c r="N100" s="147"/>
    </row>
    <row r="101" spans="2:14">
      <c r="B101" s="159"/>
      <c r="C101" s="140"/>
      <c r="D101" s="140"/>
      <c r="E101" s="140"/>
      <c r="F101" s="140"/>
      <c r="G101" s="140" t="str">
        <f>+'SV-01'!$G$107</f>
        <v>Representante Legal del Interventor o su Apoderado</v>
      </c>
      <c r="H101" s="154"/>
      <c r="I101" s="154"/>
      <c r="J101" s="154"/>
      <c r="M101" s="140"/>
      <c r="N101" s="147"/>
    </row>
    <row r="102" spans="2:14">
      <c r="B102" s="196"/>
      <c r="C102" s="155"/>
      <c r="D102" s="155"/>
      <c r="E102" s="155"/>
      <c r="F102" s="155"/>
      <c r="G102" s="140" t="str">
        <f>+'SV-01'!$G$108</f>
        <v>Matricula No. :</v>
      </c>
      <c r="K102" s="155"/>
      <c r="L102" s="155"/>
      <c r="M102" s="155"/>
      <c r="N102" s="153"/>
    </row>
    <row r="103" spans="2:14" ht="12.75" customHeight="1">
      <c r="B103" s="199" t="str">
        <f>+'SV-01'!$B$109</f>
        <v xml:space="preserve">Original: Archivo de Gestión Contractual ( Subdirecciòn Administrativa) </v>
      </c>
      <c r="C103" s="197"/>
      <c r="D103" s="197"/>
      <c r="E103" s="140"/>
      <c r="F103" s="140"/>
      <c r="G103" s="140"/>
      <c r="H103" s="140"/>
      <c r="I103" s="140"/>
      <c r="J103" s="515"/>
      <c r="K103" s="515"/>
      <c r="L103" s="515"/>
      <c r="M103" s="515"/>
      <c r="N103" s="516"/>
    </row>
    <row r="104" spans="2:14" ht="12.75" customHeight="1">
      <c r="B104" s="199" t="str">
        <f>+'SV-01'!$B$110</f>
        <v>Copias : Unidad Ejecutora,  Contratista, Interventor y Dirección Territorial.</v>
      </c>
      <c r="C104" s="197"/>
      <c r="D104" s="197"/>
      <c r="E104" s="140"/>
      <c r="F104" s="140"/>
      <c r="G104" s="140"/>
      <c r="H104" s="140"/>
      <c r="I104" s="140"/>
      <c r="J104" s="515"/>
      <c r="K104" s="515"/>
      <c r="L104" s="515"/>
      <c r="M104" s="515"/>
      <c r="N104" s="516"/>
    </row>
    <row r="105" spans="2:14" ht="13.5" customHeight="1" thickBot="1">
      <c r="B105" s="519"/>
      <c r="C105" s="520"/>
      <c r="D105" s="520"/>
      <c r="E105" s="161"/>
      <c r="F105" s="161"/>
      <c r="G105" s="161"/>
      <c r="H105" s="161"/>
      <c r="I105" s="161"/>
      <c r="J105" s="517"/>
      <c r="K105" s="517"/>
      <c r="L105" s="517"/>
      <c r="M105" s="517"/>
      <c r="N105" s="518"/>
    </row>
  </sheetData>
  <mergeCells count="110">
    <mergeCell ref="L2:N3"/>
    <mergeCell ref="C3:J3"/>
    <mergeCell ref="C4:J4"/>
    <mergeCell ref="K4:K5"/>
    <mergeCell ref="C5:J5"/>
    <mergeCell ref="B30:N30"/>
    <mergeCell ref="D22:M22"/>
    <mergeCell ref="L4:N5"/>
    <mergeCell ref="D24:M24"/>
    <mergeCell ref="E26:M26"/>
    <mergeCell ref="G28:M28"/>
    <mergeCell ref="C8:J8"/>
    <mergeCell ref="B2:B8"/>
    <mergeCell ref="L13:N13"/>
    <mergeCell ref="C6:J7"/>
    <mergeCell ref="H18:M18"/>
    <mergeCell ref="D19:M20"/>
    <mergeCell ref="C2:J2"/>
    <mergeCell ref="D12:G12"/>
    <mergeCell ref="J12:M12"/>
    <mergeCell ref="K2:K3"/>
    <mergeCell ref="K6:K8"/>
    <mergeCell ref="L6:L8"/>
    <mergeCell ref="M6:M8"/>
    <mergeCell ref="N6:N8"/>
    <mergeCell ref="L52:M52"/>
    <mergeCell ref="L43:M43"/>
    <mergeCell ref="L44:M44"/>
    <mergeCell ref="C32:K32"/>
    <mergeCell ref="C33:K33"/>
    <mergeCell ref="B34:N36"/>
    <mergeCell ref="I38:J38"/>
    <mergeCell ref="L38:M38"/>
    <mergeCell ref="B47:N49"/>
    <mergeCell ref="I45:J45"/>
    <mergeCell ref="L45:M45"/>
    <mergeCell ref="B46:M46"/>
    <mergeCell ref="I41:J41"/>
    <mergeCell ref="L41:M41"/>
    <mergeCell ref="I42:J42"/>
    <mergeCell ref="L42:M42"/>
    <mergeCell ref="I43:J43"/>
    <mergeCell ref="I44:J44"/>
    <mergeCell ref="I37:J37"/>
    <mergeCell ref="L37:M37"/>
    <mergeCell ref="L33:M33"/>
    <mergeCell ref="L32:M32"/>
    <mergeCell ref="B37:H37"/>
    <mergeCell ref="L51:M51"/>
    <mergeCell ref="L72:M72"/>
    <mergeCell ref="B56:M56"/>
    <mergeCell ref="B60:H60"/>
    <mergeCell ref="L60:M60"/>
    <mergeCell ref="B61:H61"/>
    <mergeCell ref="L61:M61"/>
    <mergeCell ref="B62:H62"/>
    <mergeCell ref="L62:M62"/>
    <mergeCell ref="B63:M63"/>
    <mergeCell ref="L67:M67"/>
    <mergeCell ref="B52:I52"/>
    <mergeCell ref="B57:N59"/>
    <mergeCell ref="B64:N66"/>
    <mergeCell ref="B97:N97"/>
    <mergeCell ref="J103:N105"/>
    <mergeCell ref="B105:D105"/>
    <mergeCell ref="B81:H81"/>
    <mergeCell ref="L81:M81"/>
    <mergeCell ref="L82:M82"/>
    <mergeCell ref="L83:M83"/>
    <mergeCell ref="B84:M84"/>
    <mergeCell ref="B86:M86"/>
    <mergeCell ref="B96:N96"/>
    <mergeCell ref="B80:H80"/>
    <mergeCell ref="L80:M80"/>
    <mergeCell ref="L68:M68"/>
    <mergeCell ref="L71:M71"/>
    <mergeCell ref="B53:I53"/>
    <mergeCell ref="L53:M53"/>
    <mergeCell ref="B54:I54"/>
    <mergeCell ref="I39:J39"/>
    <mergeCell ref="L39:M39"/>
    <mergeCell ref="B40:H40"/>
    <mergeCell ref="I40:J40"/>
    <mergeCell ref="L40:M40"/>
    <mergeCell ref="L69:M69"/>
    <mergeCell ref="L70:M70"/>
    <mergeCell ref="L54:M54"/>
    <mergeCell ref="B55:I55"/>
    <mergeCell ref="L55:M55"/>
    <mergeCell ref="L73:M73"/>
    <mergeCell ref="B74:M74"/>
    <mergeCell ref="B77:N79"/>
    <mergeCell ref="B76:M76"/>
    <mergeCell ref="B50:I50"/>
    <mergeCell ref="L50:M50"/>
    <mergeCell ref="B51:I51"/>
    <mergeCell ref="B38:H38"/>
    <mergeCell ref="B43:H43"/>
    <mergeCell ref="B44:H44"/>
    <mergeCell ref="B45:H45"/>
    <mergeCell ref="B39:H39"/>
    <mergeCell ref="B41:H41"/>
    <mergeCell ref="B42:H42"/>
    <mergeCell ref="B72:G72"/>
    <mergeCell ref="B73:G73"/>
    <mergeCell ref="B67:G67"/>
    <mergeCell ref="B68:G68"/>
    <mergeCell ref="B69:G69"/>
    <mergeCell ref="B70:G70"/>
    <mergeCell ref="B71:G71"/>
  </mergeCells>
  <pageMargins left="0.7" right="0.7" top="0.75" bottom="0.75" header="0.3" footer="0.3"/>
  <pageSetup scale="5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9">
    <tabColor rgb="FFFF0000"/>
  </sheetPr>
  <dimension ref="A1:O111"/>
  <sheetViews>
    <sheetView showGridLines="0" view="pageBreakPreview" topLeftCell="A55" zoomScaleNormal="55" zoomScaleSheetLayoutView="100" workbookViewId="0">
      <selection activeCell="L54" sqref="L54:M54"/>
    </sheetView>
  </sheetViews>
  <sheetFormatPr baseColWidth="10" defaultRowHeight="12.75"/>
  <cols>
    <col min="1" max="1" width="3.140625" style="113" customWidth="1"/>
    <col min="2" max="2" width="11.5703125" style="113" bestFit="1" customWidth="1"/>
    <col min="3" max="10" width="11.42578125" style="113"/>
    <col min="11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str">
        <f>+'PRESUPUESTO OFICIAL'!D17</f>
        <v>SV-12</v>
      </c>
      <c r="C33" s="653" t="str">
        <f>+'PRESUPUESTO OFICIAL'!G17</f>
        <v>LÍNEA DEMARCACION EN PINTURA ACRILICA CON MICROESFERAS</v>
      </c>
      <c r="D33" s="655"/>
      <c r="E33" s="655"/>
      <c r="F33" s="655"/>
      <c r="G33" s="655"/>
      <c r="H33" s="655"/>
      <c r="I33" s="655"/>
      <c r="J33" s="655"/>
      <c r="K33" s="654"/>
      <c r="L33" s="653" t="str">
        <f>+'PRESUPUESTO OFICIAL'!H17</f>
        <v>M</v>
      </c>
      <c r="M33" s="654"/>
      <c r="N33" s="259">
        <f>+'PRESUPUESTO OFICIAL'!I17</f>
        <v>15000</v>
      </c>
    </row>
    <row r="34" spans="1:14" ht="12.75" customHeight="1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 ht="12.75" customHeight="1">
      <c r="B35" s="577"/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customHeight="1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377</v>
      </c>
      <c r="B38" s="550" t="str">
        <f>VLOOKUP(A38,Equipo!$A$4:$D$80,2,0)</f>
        <v>VEHICULO DELINEADOR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105554</v>
      </c>
      <c r="L38" s="637">
        <v>12000</v>
      </c>
      <c r="M38" s="638"/>
      <c r="N38" s="297">
        <f>+K38/L38</f>
        <v>8.7961666666666662</v>
      </c>
    </row>
    <row r="39" spans="1:14">
      <c r="A39" s="113" t="s">
        <v>374</v>
      </c>
      <c r="B39" s="550" t="str">
        <f>VLOOKUP(A39,Equipo!$A$4:$D$80,2,0)</f>
        <v>Camiontta con Platon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31870</v>
      </c>
      <c r="L39" s="637">
        <v>12000</v>
      </c>
      <c r="M39" s="638"/>
      <c r="N39" s="297">
        <f>+K39/L39</f>
        <v>2.6558333333333333</v>
      </c>
    </row>
    <row r="40" spans="1:14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620"/>
      <c r="J40" s="621"/>
      <c r="K40" s="315"/>
      <c r="L40" s="637"/>
      <c r="M40" s="638"/>
      <c r="N40" s="297">
        <v>0.12</v>
      </c>
    </row>
    <row r="41" spans="1:14">
      <c r="B41" s="550"/>
      <c r="C41" s="551"/>
      <c r="D41" s="551"/>
      <c r="E41" s="551"/>
      <c r="F41" s="551"/>
      <c r="G41" s="551"/>
      <c r="H41" s="552"/>
      <c r="I41" s="620"/>
      <c r="J41" s="621"/>
      <c r="K41" s="315"/>
      <c r="L41" s="637"/>
      <c r="M41" s="638"/>
      <c r="N41" s="297"/>
    </row>
    <row r="42" spans="1:14">
      <c r="B42" s="550"/>
      <c r="C42" s="551"/>
      <c r="D42" s="551"/>
      <c r="E42" s="551"/>
      <c r="F42" s="551"/>
      <c r="G42" s="551"/>
      <c r="H42" s="552"/>
      <c r="I42" s="620"/>
      <c r="J42" s="621"/>
      <c r="K42" s="315"/>
      <c r="L42" s="637"/>
      <c r="M42" s="638"/>
      <c r="N42" s="297"/>
    </row>
    <row r="43" spans="1:14">
      <c r="B43" s="550"/>
      <c r="C43" s="551"/>
      <c r="D43" s="551"/>
      <c r="E43" s="551"/>
      <c r="F43" s="551"/>
      <c r="G43" s="551"/>
      <c r="H43" s="552"/>
      <c r="I43" s="620"/>
      <c r="J43" s="621"/>
      <c r="K43" s="315"/>
      <c r="L43" s="637"/>
      <c r="M43" s="638"/>
      <c r="N43" s="297"/>
    </row>
    <row r="44" spans="1:14">
      <c r="B44" s="550"/>
      <c r="C44" s="551"/>
      <c r="D44" s="551"/>
      <c r="E44" s="551"/>
      <c r="F44" s="551"/>
      <c r="G44" s="551"/>
      <c r="H44" s="552"/>
      <c r="I44" s="620"/>
      <c r="J44" s="621"/>
      <c r="K44" s="315"/>
      <c r="L44" s="637"/>
      <c r="M44" s="638"/>
      <c r="N44" s="297"/>
    </row>
    <row r="45" spans="1:14">
      <c r="B45" s="550"/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/>
    </row>
    <row r="46" spans="1:14" ht="13.5" thickBot="1">
      <c r="B46" s="550"/>
      <c r="C46" s="551"/>
      <c r="D46" s="551"/>
      <c r="E46" s="551"/>
      <c r="F46" s="551"/>
      <c r="G46" s="551"/>
      <c r="H46" s="552"/>
      <c r="I46" s="620"/>
      <c r="J46" s="621"/>
      <c r="K46" s="315"/>
      <c r="L46" s="637"/>
      <c r="M46" s="638"/>
      <c r="N46" s="297"/>
    </row>
    <row r="47" spans="1:14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11.571999999999999</v>
      </c>
    </row>
    <row r="48" spans="1:14" ht="13.5" customHeight="1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5" ht="12.75" customHeight="1">
      <c r="B49" s="577"/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5" ht="13.5" customHeight="1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5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5">
      <c r="A52" s="113" t="s">
        <v>353</v>
      </c>
      <c r="B52" s="540" t="str">
        <f>VLOOKUP(A52,Materiales!$A$4:$D$141,2,0)</f>
        <v>ESFERAS REFLECTIVAS</v>
      </c>
      <c r="C52" s="541"/>
      <c r="D52" s="541"/>
      <c r="E52" s="541"/>
      <c r="F52" s="541"/>
      <c r="G52" s="541"/>
      <c r="H52" s="541"/>
      <c r="I52" s="621"/>
      <c r="J52" s="198" t="str">
        <f>VLOOKUP(A52,Materiales!$A$4:$D$141,3,0)</f>
        <v>LB</v>
      </c>
      <c r="K52" s="200">
        <v>0.09</v>
      </c>
      <c r="L52" s="522">
        <f>VLOOKUP(A52,Materiales!$A$4:$D$141,4,0)</f>
        <v>1900</v>
      </c>
      <c r="M52" s="523"/>
      <c r="N52" s="297">
        <f>+K52*L52</f>
        <v>171</v>
      </c>
    </row>
    <row r="53" spans="1:15">
      <c r="A53" s="113" t="s">
        <v>354</v>
      </c>
      <c r="B53" s="540" t="str">
        <f>VLOOKUP(A53,Materiales!$A$4:$D$141,2,0)</f>
        <v>PINTURA ACRILICA PURA PARA TRAFICO</v>
      </c>
      <c r="C53" s="541"/>
      <c r="D53" s="541"/>
      <c r="E53" s="541"/>
      <c r="F53" s="541"/>
      <c r="G53" s="541"/>
      <c r="H53" s="541"/>
      <c r="I53" s="621"/>
      <c r="J53" s="198" t="str">
        <f>VLOOKUP(A53,Materiales!$A$4:$D$141,3,0)</f>
        <v>GALON</v>
      </c>
      <c r="K53" s="200">
        <v>1.0999999999999999E-2</v>
      </c>
      <c r="L53" s="522">
        <v>64000</v>
      </c>
      <c r="M53" s="523"/>
      <c r="N53" s="297">
        <f>+K53*L53</f>
        <v>704</v>
      </c>
    </row>
    <row r="54" spans="1:15">
      <c r="B54" s="540"/>
      <c r="C54" s="541"/>
      <c r="D54" s="541"/>
      <c r="E54" s="541"/>
      <c r="F54" s="541"/>
      <c r="G54" s="541"/>
      <c r="H54" s="541"/>
      <c r="I54" s="621"/>
      <c r="J54" s="198"/>
      <c r="K54" s="200"/>
      <c r="L54" s="522"/>
      <c r="M54" s="523"/>
      <c r="N54" s="297"/>
      <c r="O54" s="363"/>
    </row>
    <row r="55" spans="1:15">
      <c r="B55" s="540"/>
      <c r="C55" s="541"/>
      <c r="D55" s="541"/>
      <c r="E55" s="541"/>
      <c r="F55" s="541"/>
      <c r="G55" s="541"/>
      <c r="H55" s="541"/>
      <c r="I55" s="621"/>
      <c r="J55" s="198"/>
      <c r="K55" s="200"/>
      <c r="L55" s="522"/>
      <c r="M55" s="523"/>
      <c r="N55" s="297"/>
    </row>
    <row r="56" spans="1:15">
      <c r="B56" s="540"/>
      <c r="C56" s="541"/>
      <c r="D56" s="541"/>
      <c r="E56" s="541"/>
      <c r="F56" s="541"/>
      <c r="G56" s="541"/>
      <c r="H56" s="541"/>
      <c r="I56" s="621"/>
      <c r="J56" s="198"/>
      <c r="K56" s="200"/>
      <c r="L56" s="522"/>
      <c r="M56" s="523"/>
      <c r="N56" s="297"/>
    </row>
    <row r="57" spans="1:15">
      <c r="B57" s="540"/>
      <c r="C57" s="541"/>
      <c r="D57" s="541"/>
      <c r="E57" s="541"/>
      <c r="F57" s="541"/>
      <c r="G57" s="541"/>
      <c r="H57" s="541"/>
      <c r="I57" s="621"/>
      <c r="J57" s="198"/>
      <c r="K57" s="200"/>
      <c r="L57" s="522"/>
      <c r="M57" s="523"/>
      <c r="N57" s="297"/>
    </row>
    <row r="58" spans="1:15">
      <c r="B58" s="540"/>
      <c r="C58" s="541"/>
      <c r="D58" s="541"/>
      <c r="E58" s="541"/>
      <c r="F58" s="541"/>
      <c r="G58" s="541"/>
      <c r="H58" s="541"/>
      <c r="I58" s="621"/>
      <c r="J58" s="198"/>
      <c r="K58" s="200"/>
      <c r="L58" s="522"/>
      <c r="M58" s="523"/>
      <c r="N58" s="297"/>
    </row>
    <row r="59" spans="1:15" ht="13.5" thickBot="1">
      <c r="B59" s="540"/>
      <c r="C59" s="541"/>
      <c r="D59" s="541"/>
      <c r="E59" s="541"/>
      <c r="F59" s="541"/>
      <c r="G59" s="541"/>
      <c r="H59" s="541"/>
      <c r="I59" s="621"/>
      <c r="J59" s="195"/>
      <c r="K59" s="169"/>
      <c r="L59" s="522"/>
      <c r="M59" s="523"/>
      <c r="N59" s="297"/>
    </row>
    <row r="60" spans="1:15" ht="14.25" thickBot="1">
      <c r="B60" s="524" t="s">
        <v>469</v>
      </c>
      <c r="C60" s="525"/>
      <c r="D60" s="525"/>
      <c r="E60" s="525"/>
      <c r="F60" s="525"/>
      <c r="G60" s="525"/>
      <c r="H60" s="525"/>
      <c r="I60" s="525"/>
      <c r="J60" s="525"/>
      <c r="K60" s="525"/>
      <c r="L60" s="525"/>
      <c r="M60" s="526"/>
      <c r="N60" s="319">
        <f>SUM(N52:N59)</f>
        <v>875</v>
      </c>
    </row>
    <row r="61" spans="1:15" ht="12.75" customHeight="1">
      <c r="B61" s="574" t="s">
        <v>89</v>
      </c>
      <c r="C61" s="575"/>
      <c r="D61" s="575"/>
      <c r="E61" s="575"/>
      <c r="F61" s="575"/>
      <c r="G61" s="575"/>
      <c r="H61" s="575"/>
      <c r="I61" s="575"/>
      <c r="J61" s="575"/>
      <c r="K61" s="575"/>
      <c r="L61" s="575"/>
      <c r="M61" s="575"/>
      <c r="N61" s="576"/>
    </row>
    <row r="62" spans="1:15" ht="12.75" customHeight="1">
      <c r="B62" s="577"/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9"/>
    </row>
    <row r="63" spans="1:15" ht="13.5" customHeight="1" thickBot="1">
      <c r="B63" s="580"/>
      <c r="C63" s="581"/>
      <c r="D63" s="581"/>
      <c r="E63" s="581"/>
      <c r="F63" s="581"/>
      <c r="G63" s="581"/>
      <c r="H63" s="581"/>
      <c r="I63" s="581"/>
      <c r="J63" s="581"/>
      <c r="K63" s="581"/>
      <c r="L63" s="581"/>
      <c r="M63" s="581"/>
      <c r="N63" s="582"/>
    </row>
    <row r="64" spans="1:15" ht="13.5">
      <c r="B64" s="536" t="s">
        <v>141</v>
      </c>
      <c r="C64" s="537"/>
      <c r="D64" s="537"/>
      <c r="E64" s="537"/>
      <c r="F64" s="537"/>
      <c r="G64" s="537"/>
      <c r="H64" s="537"/>
      <c r="I64" s="237" t="s">
        <v>142</v>
      </c>
      <c r="J64" s="240" t="s">
        <v>143</v>
      </c>
      <c r="K64" s="241" t="s">
        <v>248</v>
      </c>
      <c r="L64" s="538" t="s">
        <v>17</v>
      </c>
      <c r="M64" s="539"/>
      <c r="N64" s="238" t="s">
        <v>140</v>
      </c>
    </row>
    <row r="65" spans="1:14">
      <c r="B65" s="540"/>
      <c r="C65" s="541"/>
      <c r="D65" s="541"/>
      <c r="E65" s="541"/>
      <c r="F65" s="541"/>
      <c r="G65" s="541"/>
      <c r="H65" s="541"/>
      <c r="I65" s="205"/>
      <c r="J65" s="209"/>
      <c r="K65" s="205"/>
      <c r="L65" s="637"/>
      <c r="M65" s="638"/>
      <c r="N65" s="163"/>
    </row>
    <row r="66" spans="1:14" ht="13.5" thickBot="1">
      <c r="B66" s="624"/>
      <c r="C66" s="625"/>
      <c r="D66" s="625"/>
      <c r="E66" s="625"/>
      <c r="F66" s="625"/>
      <c r="G66" s="625"/>
      <c r="H66" s="625"/>
      <c r="I66" s="173"/>
      <c r="J66" s="161"/>
      <c r="K66" s="173"/>
      <c r="L66" s="534"/>
      <c r="M66" s="535"/>
      <c r="N66" s="210"/>
    </row>
    <row r="67" spans="1:14" ht="14.25" thickBot="1">
      <c r="B67" s="524" t="s">
        <v>469</v>
      </c>
      <c r="C67" s="525"/>
      <c r="D67" s="525"/>
      <c r="E67" s="525"/>
      <c r="F67" s="525"/>
      <c r="G67" s="525"/>
      <c r="H67" s="525"/>
      <c r="I67" s="525"/>
      <c r="J67" s="525"/>
      <c r="K67" s="525"/>
      <c r="L67" s="525"/>
      <c r="M67" s="526"/>
      <c r="N67" s="164">
        <f>SUM(N65:N66)</f>
        <v>0</v>
      </c>
    </row>
    <row r="68" spans="1:14">
      <c r="B68" s="574" t="s">
        <v>90</v>
      </c>
      <c r="C68" s="575"/>
      <c r="D68" s="575"/>
      <c r="E68" s="575"/>
      <c r="F68" s="575"/>
      <c r="G68" s="575"/>
      <c r="H68" s="575"/>
      <c r="I68" s="575"/>
      <c r="J68" s="575"/>
      <c r="K68" s="575"/>
      <c r="L68" s="575"/>
      <c r="M68" s="575"/>
      <c r="N68" s="576"/>
    </row>
    <row r="69" spans="1:14">
      <c r="B69" s="577" t="s">
        <v>90</v>
      </c>
      <c r="C69" s="578"/>
      <c r="D69" s="578"/>
      <c r="E69" s="578"/>
      <c r="F69" s="578"/>
      <c r="G69" s="578"/>
      <c r="H69" s="578"/>
      <c r="I69" s="578"/>
      <c r="J69" s="578"/>
      <c r="K69" s="578"/>
      <c r="L69" s="578"/>
      <c r="M69" s="578"/>
      <c r="N69" s="579"/>
    </row>
    <row r="70" spans="1:14" ht="13.5" thickBot="1">
      <c r="B70" s="580"/>
      <c r="C70" s="581"/>
      <c r="D70" s="581"/>
      <c r="E70" s="581"/>
      <c r="F70" s="581"/>
      <c r="G70" s="581"/>
      <c r="H70" s="581"/>
      <c r="I70" s="581"/>
      <c r="J70" s="581"/>
      <c r="K70" s="581"/>
      <c r="L70" s="581"/>
      <c r="M70" s="581"/>
      <c r="N70" s="582"/>
    </row>
    <row r="71" spans="1:14" ht="13.5">
      <c r="B71" s="536" t="s">
        <v>144</v>
      </c>
      <c r="C71" s="537"/>
      <c r="D71" s="537"/>
      <c r="E71" s="537"/>
      <c r="F71" s="537"/>
      <c r="G71" s="537"/>
      <c r="H71" s="237" t="s">
        <v>101</v>
      </c>
      <c r="I71" s="237" t="s">
        <v>145</v>
      </c>
      <c r="J71" s="240" t="s">
        <v>84</v>
      </c>
      <c r="K71" s="241" t="s">
        <v>146</v>
      </c>
      <c r="L71" s="538" t="s">
        <v>136</v>
      </c>
      <c r="M71" s="539"/>
      <c r="N71" s="238" t="s">
        <v>140</v>
      </c>
    </row>
    <row r="72" spans="1:14">
      <c r="A72" s="113" t="s">
        <v>479</v>
      </c>
      <c r="B72" s="550" t="str">
        <f>VLOOKUP(A72,'Mano de Obra'!$A$4:$E$80,2,0)</f>
        <v>OPERADOR DE EQUIPO</v>
      </c>
      <c r="C72" s="551"/>
      <c r="D72" s="551"/>
      <c r="E72" s="551"/>
      <c r="F72" s="551"/>
      <c r="G72" s="552"/>
      <c r="H72" s="176">
        <v>1</v>
      </c>
      <c r="I72" s="302">
        <f>VLOOKUP(A72,'Mano de Obra'!$A$4:$E$80,3,0)</f>
        <v>72000</v>
      </c>
      <c r="J72" s="335">
        <f>VLOOKUP(A72,'Mano de Obra'!$A$4:$E$80,4,0)</f>
        <v>1.85</v>
      </c>
      <c r="K72" s="307">
        <f>+H72*I72*J72</f>
        <v>133200</v>
      </c>
      <c r="L72" s="529">
        <v>520</v>
      </c>
      <c r="M72" s="530"/>
      <c r="N72" s="326">
        <f>+K72/L72</f>
        <v>256.15384615384613</v>
      </c>
    </row>
    <row r="73" spans="1:14">
      <c r="A73" s="113" t="s">
        <v>446</v>
      </c>
      <c r="B73" s="550" t="str">
        <f>VLOOKUP(A73,'Mano de Obra'!$A$4:$E$80,2,0)</f>
        <v>AYUDANTE</v>
      </c>
      <c r="C73" s="551"/>
      <c r="D73" s="551"/>
      <c r="E73" s="551"/>
      <c r="F73" s="551"/>
      <c r="G73" s="552"/>
      <c r="H73" s="176">
        <v>4</v>
      </c>
      <c r="I73" s="302">
        <f>VLOOKUP(A73,'Mano de Obra'!$A$4:$E$80,3,0)</f>
        <v>28000</v>
      </c>
      <c r="J73" s="335">
        <f>VLOOKUP(A73,'Mano de Obra'!$A$4:$E$80,4,0)</f>
        <v>1.85</v>
      </c>
      <c r="K73" s="307">
        <f>+H73*I73*J73</f>
        <v>207200</v>
      </c>
      <c r="L73" s="529">
        <v>520</v>
      </c>
      <c r="M73" s="530"/>
      <c r="N73" s="326">
        <f>+K73/L73</f>
        <v>398.46153846153845</v>
      </c>
    </row>
    <row r="74" spans="1:14">
      <c r="B74" s="550"/>
      <c r="C74" s="551"/>
      <c r="D74" s="551"/>
      <c r="E74" s="551"/>
      <c r="F74" s="551"/>
      <c r="G74" s="552"/>
      <c r="H74" s="176"/>
      <c r="I74" s="302"/>
      <c r="J74" s="352"/>
      <c r="K74" s="307"/>
      <c r="L74" s="529"/>
      <c r="M74" s="530"/>
      <c r="N74" s="326"/>
    </row>
    <row r="75" spans="1:14">
      <c r="B75" s="550"/>
      <c r="C75" s="551"/>
      <c r="D75" s="551"/>
      <c r="E75" s="551"/>
      <c r="F75" s="551"/>
      <c r="G75" s="552"/>
      <c r="H75" s="176"/>
      <c r="I75" s="302"/>
      <c r="J75" s="352"/>
      <c r="K75" s="307"/>
      <c r="L75" s="529"/>
      <c r="M75" s="530"/>
      <c r="N75" s="326"/>
    </row>
    <row r="76" spans="1:14">
      <c r="B76" s="550"/>
      <c r="C76" s="551"/>
      <c r="D76" s="551"/>
      <c r="E76" s="551"/>
      <c r="F76" s="551"/>
      <c r="G76" s="552"/>
      <c r="H76" s="176"/>
      <c r="I76" s="302"/>
      <c r="J76" s="352"/>
      <c r="K76" s="307"/>
      <c r="L76" s="529"/>
      <c r="M76" s="530"/>
      <c r="N76" s="326"/>
    </row>
    <row r="77" spans="1:14">
      <c r="B77" s="550"/>
      <c r="C77" s="551"/>
      <c r="D77" s="551"/>
      <c r="E77" s="551"/>
      <c r="F77" s="551"/>
      <c r="G77" s="552"/>
      <c r="H77" s="176"/>
      <c r="I77" s="302"/>
      <c r="J77" s="352"/>
      <c r="K77" s="307"/>
      <c r="L77" s="529"/>
      <c r="M77" s="530"/>
      <c r="N77" s="326"/>
    </row>
    <row r="78" spans="1:14">
      <c r="B78" s="550"/>
      <c r="C78" s="551"/>
      <c r="D78" s="551"/>
      <c r="E78" s="551"/>
      <c r="F78" s="551"/>
      <c r="G78" s="552"/>
      <c r="H78" s="176"/>
      <c r="I78" s="302"/>
      <c r="J78" s="352"/>
      <c r="K78" s="307"/>
      <c r="L78" s="529"/>
      <c r="M78" s="530"/>
      <c r="N78" s="326"/>
    </row>
    <row r="79" spans="1:14" ht="13.5" thickBot="1">
      <c r="B79" s="550"/>
      <c r="C79" s="551"/>
      <c r="D79" s="551"/>
      <c r="E79" s="551"/>
      <c r="F79" s="551"/>
      <c r="G79" s="552"/>
      <c r="H79" s="173"/>
      <c r="I79" s="309"/>
      <c r="J79" s="355"/>
      <c r="K79" s="309"/>
      <c r="L79" s="529"/>
      <c r="M79" s="530"/>
      <c r="N79" s="327"/>
    </row>
    <row r="80" spans="1:14" ht="14.25" thickBot="1">
      <c r="B80" s="524" t="s">
        <v>469</v>
      </c>
      <c r="C80" s="525"/>
      <c r="D80" s="525"/>
      <c r="E80" s="525"/>
      <c r="F80" s="525"/>
      <c r="G80" s="525"/>
      <c r="H80" s="525"/>
      <c r="I80" s="525"/>
      <c r="J80" s="525"/>
      <c r="K80" s="525"/>
      <c r="L80" s="525"/>
      <c r="M80" s="526"/>
      <c r="N80" s="319">
        <f>SUM(N72:N79)</f>
        <v>654.61538461538453</v>
      </c>
    </row>
    <row r="81" spans="2:14" ht="13.5" thickBot="1">
      <c r="B81" s="159"/>
      <c r="C81" s="140"/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7"/>
    </row>
    <row r="82" spans="2:14" ht="13.5" thickBot="1">
      <c r="B82" s="531" t="s">
        <v>470</v>
      </c>
      <c r="C82" s="532"/>
      <c r="D82" s="532"/>
      <c r="E82" s="532"/>
      <c r="F82" s="532"/>
      <c r="G82" s="532"/>
      <c r="H82" s="532"/>
      <c r="I82" s="532"/>
      <c r="J82" s="532"/>
      <c r="K82" s="532"/>
      <c r="L82" s="532"/>
      <c r="M82" s="533"/>
      <c r="N82" s="245">
        <f>+N80+N67+N60+N47</f>
        <v>1541.1873846153844</v>
      </c>
    </row>
    <row r="83" spans="2:14">
      <c r="B83" s="574" t="s">
        <v>91</v>
      </c>
      <c r="C83" s="575"/>
      <c r="D83" s="575"/>
      <c r="E83" s="575"/>
      <c r="F83" s="575"/>
      <c r="G83" s="575"/>
      <c r="H83" s="575"/>
      <c r="I83" s="575"/>
      <c r="J83" s="575"/>
      <c r="K83" s="575"/>
      <c r="L83" s="575"/>
      <c r="M83" s="575"/>
      <c r="N83" s="576"/>
    </row>
    <row r="84" spans="2:14">
      <c r="B84" s="577" t="s">
        <v>91</v>
      </c>
      <c r="C84" s="578"/>
      <c r="D84" s="578"/>
      <c r="E84" s="578"/>
      <c r="F84" s="578"/>
      <c r="G84" s="578"/>
      <c r="H84" s="578"/>
      <c r="I84" s="578"/>
      <c r="J84" s="578"/>
      <c r="K84" s="578"/>
      <c r="L84" s="578"/>
      <c r="M84" s="578"/>
      <c r="N84" s="579"/>
    </row>
    <row r="85" spans="2:14" ht="13.5" thickBot="1">
      <c r="B85" s="580"/>
      <c r="C85" s="581"/>
      <c r="D85" s="581"/>
      <c r="E85" s="581"/>
      <c r="F85" s="581"/>
      <c r="G85" s="581"/>
      <c r="H85" s="581"/>
      <c r="I85" s="581"/>
      <c r="J85" s="581"/>
      <c r="K85" s="581"/>
      <c r="L85" s="581"/>
      <c r="M85" s="581"/>
      <c r="N85" s="582"/>
    </row>
    <row r="86" spans="2:14" ht="13.5">
      <c r="B86" s="536" t="s">
        <v>88</v>
      </c>
      <c r="C86" s="537"/>
      <c r="D86" s="537"/>
      <c r="E86" s="537"/>
      <c r="F86" s="537"/>
      <c r="G86" s="537"/>
      <c r="H86" s="537"/>
      <c r="I86" s="240"/>
      <c r="J86" s="246"/>
      <c r="K86" s="243" t="s">
        <v>92</v>
      </c>
      <c r="L86" s="527" t="s">
        <v>93</v>
      </c>
      <c r="M86" s="528"/>
      <c r="N86" s="244"/>
    </row>
    <row r="87" spans="2:14">
      <c r="B87" s="540" t="s">
        <v>82</v>
      </c>
      <c r="C87" s="541"/>
      <c r="D87" s="541"/>
      <c r="E87" s="541"/>
      <c r="F87" s="541"/>
      <c r="G87" s="541"/>
      <c r="H87" s="541"/>
      <c r="I87" s="182"/>
      <c r="J87" s="183"/>
      <c r="K87" s="251">
        <v>0.25</v>
      </c>
      <c r="L87" s="639">
        <f>+N82*K87</f>
        <v>385.2968461538461</v>
      </c>
      <c r="M87" s="640"/>
      <c r="N87" s="184"/>
    </row>
    <row r="88" spans="2:14">
      <c r="B88" s="185" t="s">
        <v>94</v>
      </c>
      <c r="C88" s="186"/>
      <c r="D88" s="186"/>
      <c r="E88" s="186"/>
      <c r="F88" s="186"/>
      <c r="G88" s="186"/>
      <c r="H88" s="186"/>
      <c r="I88" s="182"/>
      <c r="J88" s="183"/>
      <c r="K88" s="251">
        <v>0.05</v>
      </c>
      <c r="L88" s="639">
        <f>+N82*K88</f>
        <v>77.059369230769221</v>
      </c>
      <c r="M88" s="640"/>
      <c r="N88" s="184"/>
    </row>
    <row r="89" spans="2:14" ht="13.5" thickBot="1">
      <c r="B89" s="187" t="s">
        <v>83</v>
      </c>
      <c r="C89" s="188"/>
      <c r="D89" s="188"/>
      <c r="E89" s="188"/>
      <c r="F89" s="188"/>
      <c r="G89" s="188"/>
      <c r="H89" s="188"/>
      <c r="I89" s="189"/>
      <c r="J89" s="190"/>
      <c r="K89" s="251">
        <v>0.05</v>
      </c>
      <c r="L89" s="641">
        <f>+N82*K89</f>
        <v>77.059369230769221</v>
      </c>
      <c r="M89" s="642"/>
      <c r="N89" s="184"/>
    </row>
    <row r="90" spans="2:14" ht="14.25" thickBot="1">
      <c r="B90" s="524" t="s">
        <v>469</v>
      </c>
      <c r="C90" s="525"/>
      <c r="D90" s="525"/>
      <c r="E90" s="525"/>
      <c r="F90" s="525"/>
      <c r="G90" s="525"/>
      <c r="H90" s="525"/>
      <c r="I90" s="525"/>
      <c r="J90" s="525"/>
      <c r="K90" s="525"/>
      <c r="L90" s="525"/>
      <c r="M90" s="526"/>
      <c r="N90" s="191">
        <f>SUM(L87:M89)</f>
        <v>539.41558461538455</v>
      </c>
    </row>
    <row r="91" spans="2:14" ht="13.5" thickBot="1">
      <c r="B91" s="159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7"/>
    </row>
    <row r="92" spans="2:14" ht="13.5" thickBot="1">
      <c r="B92" s="531" t="s">
        <v>471</v>
      </c>
      <c r="C92" s="532"/>
      <c r="D92" s="532"/>
      <c r="E92" s="532"/>
      <c r="F92" s="532"/>
      <c r="G92" s="532"/>
      <c r="H92" s="532"/>
      <c r="I92" s="532"/>
      <c r="J92" s="532"/>
      <c r="K92" s="532"/>
      <c r="L92" s="532"/>
      <c r="M92" s="533"/>
      <c r="N92" s="247">
        <f>ROUND(N82+N90,0)</f>
        <v>2081</v>
      </c>
    </row>
    <row r="93" spans="2:14">
      <c r="B93" s="138"/>
      <c r="C93" s="139"/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41"/>
    </row>
    <row r="94" spans="2:14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2:14">
      <c r="B96" s="159"/>
      <c r="C96" s="140"/>
      <c r="D96" s="140"/>
      <c r="E96" s="140"/>
      <c r="F96" s="140"/>
      <c r="G96" s="145" t="str">
        <f>+'SV-01'!$G$96</f>
        <v>Firma</v>
      </c>
      <c r="H96" s="145"/>
      <c r="I96" s="145"/>
      <c r="J96" s="145"/>
      <c r="K96" s="140"/>
      <c r="L96" s="140"/>
      <c r="M96" s="140"/>
      <c r="N96" s="147"/>
    </row>
    <row r="97" spans="2:14" ht="13.5">
      <c r="B97" s="192"/>
      <c r="C97" s="193"/>
      <c r="D97" s="193"/>
      <c r="E97" s="193"/>
      <c r="F97" s="193"/>
      <c r="G97" s="145" t="str">
        <f>+'SV-01'!$G$97</f>
        <v>Nombre:</v>
      </c>
      <c r="H97" s="193"/>
      <c r="I97" s="193"/>
      <c r="J97" s="193"/>
      <c r="K97" s="193"/>
      <c r="L97" s="193"/>
      <c r="M97" s="193"/>
      <c r="N97" s="194"/>
    </row>
    <row r="98" spans="2:14" ht="13.5">
      <c r="B98" s="192"/>
      <c r="C98" s="193"/>
      <c r="D98" s="193"/>
      <c r="E98" s="193"/>
      <c r="F98" s="193"/>
      <c r="G98" s="145" t="str">
        <f>+'SV-01'!$G$98</f>
        <v>Representante Legal del Contratista o su Apoderado</v>
      </c>
      <c r="J98" s="193"/>
      <c r="K98" s="193"/>
      <c r="L98" s="193"/>
      <c r="M98" s="193"/>
      <c r="N98" s="194"/>
    </row>
    <row r="99" spans="2:14">
      <c r="B99" s="123"/>
      <c r="C99" s="155"/>
      <c r="D99" s="155"/>
      <c r="E99" s="155"/>
      <c r="F99" s="155"/>
      <c r="G99" s="145" t="str">
        <f>+'SV-01'!$G$99</f>
        <v>Matricula No. :</v>
      </c>
      <c r="H99" s="155"/>
      <c r="I99" s="155"/>
      <c r="J99" s="155"/>
      <c r="K99" s="155"/>
      <c r="L99" s="155"/>
      <c r="M99" s="155"/>
      <c r="N99" s="153"/>
    </row>
    <row r="100" spans="2:14">
      <c r="B100" s="159"/>
      <c r="C100" s="140"/>
      <c r="D100" s="140"/>
      <c r="E100" s="140"/>
      <c r="F100" s="140"/>
      <c r="G100" s="140" t="s">
        <v>206</v>
      </c>
      <c r="H100" s="140"/>
      <c r="I100" s="140"/>
      <c r="J100" s="140"/>
      <c r="K100" s="140"/>
      <c r="L100" s="140"/>
      <c r="M100" s="140"/>
      <c r="N100" s="147"/>
    </row>
    <row r="101" spans="2:14" ht="13.5">
      <c r="B101" s="165" t="str">
        <f>+'SV-01'!$B$101</f>
        <v>OBSERVACIONES INTERVENTORÍA</v>
      </c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7"/>
    </row>
    <row r="102" spans="2:14">
      <c r="B102" s="544"/>
      <c r="C102" s="545"/>
      <c r="D102" s="545"/>
      <c r="E102" s="545"/>
      <c r="F102" s="545"/>
      <c r="G102" s="545"/>
      <c r="H102" s="545"/>
      <c r="I102" s="545"/>
      <c r="J102" s="545"/>
      <c r="K102" s="545"/>
      <c r="L102" s="545"/>
      <c r="M102" s="545"/>
      <c r="N102" s="546"/>
    </row>
    <row r="103" spans="2:14">
      <c r="B103" s="547"/>
      <c r="C103" s="548"/>
      <c r="D103" s="548"/>
      <c r="E103" s="548"/>
      <c r="F103" s="548"/>
      <c r="G103" s="548"/>
      <c r="H103" s="548"/>
      <c r="I103" s="548"/>
      <c r="J103" s="548"/>
      <c r="K103" s="548"/>
      <c r="L103" s="548"/>
      <c r="M103" s="548"/>
      <c r="N103" s="549"/>
    </row>
    <row r="104" spans="2:14">
      <c r="B104" s="123"/>
      <c r="C104" s="155"/>
      <c r="D104" s="155"/>
      <c r="E104" s="155"/>
      <c r="F104" s="155"/>
      <c r="G104" s="155"/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5" t="str">
        <f>+'SV-01'!$G$105</f>
        <v>Firma</v>
      </c>
      <c r="H105" s="140"/>
      <c r="I105" s="140"/>
      <c r="J105" s="140"/>
      <c r="K105" s="140"/>
      <c r="L105" s="140"/>
      <c r="M105" s="140"/>
      <c r="N105" s="147"/>
    </row>
    <row r="106" spans="2:14">
      <c r="B106" s="159"/>
      <c r="C106" s="140"/>
      <c r="D106" s="140"/>
      <c r="E106" s="140"/>
      <c r="F106" s="140"/>
      <c r="G106" s="140" t="str">
        <f>+'SV-01'!$G$106</f>
        <v>Nombre:</v>
      </c>
      <c r="H106" s="160"/>
      <c r="I106" s="160"/>
      <c r="J106" s="160"/>
      <c r="K106" s="140"/>
      <c r="L106" s="140"/>
      <c r="M106" s="140"/>
      <c r="N106" s="147"/>
    </row>
    <row r="107" spans="2:14">
      <c r="B107" s="159"/>
      <c r="C107" s="140"/>
      <c r="D107" s="140"/>
      <c r="E107" s="140"/>
      <c r="F107" s="140"/>
      <c r="G107" s="140" t="str">
        <f>+'SV-01'!$G$107</f>
        <v>Representante Legal del Interventor o su Apoderado</v>
      </c>
      <c r="H107" s="154"/>
      <c r="I107" s="154"/>
      <c r="J107" s="154"/>
      <c r="M107" s="140"/>
      <c r="N107" s="147"/>
    </row>
    <row r="108" spans="2:14">
      <c r="B108" s="196"/>
      <c r="C108" s="155"/>
      <c r="D108" s="155"/>
      <c r="E108" s="155"/>
      <c r="F108" s="155"/>
      <c r="G108" s="140" t="str">
        <f>+'SV-01'!$G$108</f>
        <v>Matricula No. :</v>
      </c>
      <c r="K108" s="155"/>
      <c r="L108" s="155"/>
      <c r="M108" s="155"/>
      <c r="N108" s="153"/>
    </row>
    <row r="109" spans="2:14" ht="12.75" customHeight="1">
      <c r="B109" s="199" t="str">
        <f>+'SV-01'!$B$109</f>
        <v xml:space="preserve">Original: Archivo de Gestión Contractual ( Subdirecciòn Administrativa) </v>
      </c>
      <c r="C109" s="197"/>
      <c r="D109" s="197"/>
      <c r="E109" s="140"/>
      <c r="F109" s="140"/>
      <c r="G109" s="140"/>
      <c r="H109" s="140"/>
      <c r="I109" s="140"/>
      <c r="J109" s="515"/>
      <c r="K109" s="515"/>
      <c r="L109" s="515"/>
      <c r="M109" s="515"/>
      <c r="N109" s="516"/>
    </row>
    <row r="110" spans="2:14" ht="12.75" customHeight="1">
      <c r="B110" s="199" t="str">
        <f>+'SV-01'!$B$110</f>
        <v>Copias : Unidad Ejecutora,  Contratista, Interventor y Dirección Territorial.</v>
      </c>
      <c r="C110" s="197"/>
      <c r="D110" s="197"/>
      <c r="E110" s="140"/>
      <c r="F110" s="140"/>
      <c r="G110" s="140"/>
      <c r="H110" s="140"/>
      <c r="I110" s="140"/>
      <c r="J110" s="515"/>
      <c r="K110" s="515"/>
      <c r="L110" s="515"/>
      <c r="M110" s="515"/>
      <c r="N110" s="516"/>
    </row>
    <row r="111" spans="2:14" ht="13.5" customHeight="1" thickBot="1">
      <c r="B111" s="519"/>
      <c r="C111" s="520"/>
      <c r="D111" s="520"/>
      <c r="E111" s="161"/>
      <c r="F111" s="161"/>
      <c r="G111" s="161"/>
      <c r="H111" s="161"/>
      <c r="I111" s="161"/>
      <c r="J111" s="517"/>
      <c r="K111" s="517"/>
      <c r="L111" s="517"/>
      <c r="M111" s="517"/>
      <c r="N111" s="518"/>
    </row>
  </sheetData>
  <mergeCells count="123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3:M33"/>
    <mergeCell ref="I37:J37"/>
    <mergeCell ref="L37:M37"/>
    <mergeCell ref="C33:K33"/>
    <mergeCell ref="B34:N36"/>
    <mergeCell ref="B37:H3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I38:J38"/>
    <mergeCell ref="B51:I51"/>
    <mergeCell ref="I46:J46"/>
    <mergeCell ref="B48:N50"/>
    <mergeCell ref="L38:M38"/>
    <mergeCell ref="I44:J44"/>
    <mergeCell ref="L44:M44"/>
    <mergeCell ref="L51:M51"/>
    <mergeCell ref="B38:H38"/>
    <mergeCell ref="B39:H39"/>
    <mergeCell ref="B44:H44"/>
    <mergeCell ref="B86:H86"/>
    <mergeCell ref="L86:M86"/>
    <mergeCell ref="B52:I52"/>
    <mergeCell ref="L52:M52"/>
    <mergeCell ref="B65:H65"/>
    <mergeCell ref="L65:M65"/>
    <mergeCell ref="L46:M46"/>
    <mergeCell ref="B47:M47"/>
    <mergeCell ref="B61:N63"/>
    <mergeCell ref="B59:I59"/>
    <mergeCell ref="L59:M59"/>
    <mergeCell ref="B60:M60"/>
    <mergeCell ref="B64:H64"/>
    <mergeCell ref="L64:M64"/>
    <mergeCell ref="L56:M56"/>
    <mergeCell ref="B57:I57"/>
    <mergeCell ref="L57:M57"/>
    <mergeCell ref="B58:I58"/>
    <mergeCell ref="B71:G71"/>
    <mergeCell ref="B79:G79"/>
    <mergeCell ref="B72:G72"/>
    <mergeCell ref="B73:G73"/>
    <mergeCell ref="B74:G74"/>
    <mergeCell ref="B75:G75"/>
    <mergeCell ref="J109:N111"/>
    <mergeCell ref="B111:D111"/>
    <mergeCell ref="L89:M89"/>
    <mergeCell ref="B90:M90"/>
    <mergeCell ref="B92:M92"/>
    <mergeCell ref="B102:N102"/>
    <mergeCell ref="B103:N103"/>
    <mergeCell ref="B87:H87"/>
    <mergeCell ref="L87:M87"/>
    <mergeCell ref="L88:M88"/>
    <mergeCell ref="L58:M58"/>
    <mergeCell ref="B56:I56"/>
    <mergeCell ref="B80:M80"/>
    <mergeCell ref="B82:M82"/>
    <mergeCell ref="B83:N85"/>
    <mergeCell ref="L66:M66"/>
    <mergeCell ref="B67:M67"/>
    <mergeCell ref="B68:N70"/>
    <mergeCell ref="L72:M72"/>
    <mergeCell ref="L77:M77"/>
    <mergeCell ref="L79:M79"/>
    <mergeCell ref="B66:H66"/>
    <mergeCell ref="L71:M71"/>
    <mergeCell ref="L78:M78"/>
    <mergeCell ref="B76:G76"/>
    <mergeCell ref="B77:G77"/>
    <mergeCell ref="B78:G78"/>
    <mergeCell ref="L73:M73"/>
    <mergeCell ref="L74:M74"/>
    <mergeCell ref="L75:M75"/>
    <mergeCell ref="L76:M76"/>
    <mergeCell ref="B53:I53"/>
    <mergeCell ref="B54:I54"/>
    <mergeCell ref="B55:I55"/>
    <mergeCell ref="L53:M53"/>
    <mergeCell ref="L54:M54"/>
    <mergeCell ref="L55:M55"/>
    <mergeCell ref="B45:H45"/>
    <mergeCell ref="B46:H46"/>
    <mergeCell ref="L39:M39"/>
    <mergeCell ref="L40:M40"/>
    <mergeCell ref="L41:M41"/>
    <mergeCell ref="L42:M42"/>
    <mergeCell ref="L43:M43"/>
    <mergeCell ref="L45:M45"/>
    <mergeCell ref="I39:J39"/>
    <mergeCell ref="I40:J40"/>
    <mergeCell ref="I41:J41"/>
    <mergeCell ref="I42:J42"/>
    <mergeCell ref="I43:J43"/>
    <mergeCell ref="I45:J45"/>
    <mergeCell ref="B40:H40"/>
    <mergeCell ref="B41:H41"/>
    <mergeCell ref="B42:H42"/>
    <mergeCell ref="B43:H43"/>
  </mergeCells>
  <printOptions horizontalCentered="1" verticalCentered="1"/>
  <pageMargins left="1.1811023622047245" right="0.39370078740157483" top="0.19685039370078741" bottom="1.1811023622047245" header="0" footer="0"/>
  <pageSetup scale="4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0"/>
  <dimension ref="A1:P114"/>
  <sheetViews>
    <sheetView showGridLines="0" view="pageBreakPreview" topLeftCell="A40" zoomScaleNormal="85" zoomScaleSheetLayoutView="100" workbookViewId="0">
      <selection activeCell="L75" sqref="L75:M75"/>
    </sheetView>
  </sheetViews>
  <sheetFormatPr baseColWidth="10" defaultRowHeight="12.75"/>
  <cols>
    <col min="1" max="1" width="3.140625" style="113" customWidth="1"/>
    <col min="2" max="10" width="11.42578125" style="113"/>
    <col min="11" max="11" width="12.85546875" style="113" customWidth="1"/>
    <col min="12" max="14" width="11.42578125" style="113"/>
    <col min="15" max="16" width="12.42578125" style="113" bestFit="1" customWidth="1"/>
    <col min="17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60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377</v>
      </c>
      <c r="B38" s="550" t="str">
        <f>VLOOKUP(A38,Equipo!$A$4:$D$80,2,0)</f>
        <v>VEHICULO DELINEADOR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105554</v>
      </c>
      <c r="L38" s="637">
        <v>500</v>
      </c>
      <c r="M38" s="638"/>
      <c r="N38" s="297">
        <f>+K38/L38</f>
        <v>211.108</v>
      </c>
    </row>
    <row r="39" spans="1:14">
      <c r="A39" s="113" t="s">
        <v>374</v>
      </c>
      <c r="B39" s="550" t="str">
        <f>VLOOKUP(A39,Equipo!$A$4:$D$80,2,0)</f>
        <v>Camiontta con Platon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31870</v>
      </c>
      <c r="L39" s="637">
        <v>500</v>
      </c>
      <c r="M39" s="638"/>
      <c r="N39" s="297">
        <f>+K39/L39</f>
        <v>63.74</v>
      </c>
    </row>
    <row r="40" spans="1:14">
      <c r="A40" s="113" t="s">
        <v>466</v>
      </c>
      <c r="B40" s="550" t="str">
        <f>VLOOKUP(A40,Equipo!$A$4:$D$80,2,0)</f>
        <v>HERRAMIENTA MENOR</v>
      </c>
      <c r="C40" s="551"/>
      <c r="D40" s="551"/>
      <c r="E40" s="551"/>
      <c r="F40" s="551"/>
      <c r="G40" s="551"/>
      <c r="H40" s="552"/>
      <c r="I40" s="203"/>
      <c r="J40" s="202"/>
      <c r="K40" s="315"/>
      <c r="L40" s="637"/>
      <c r="M40" s="638"/>
      <c r="N40" s="297">
        <v>25</v>
      </c>
    </row>
    <row r="41" spans="1:14">
      <c r="B41" s="550"/>
      <c r="C41" s="551"/>
      <c r="D41" s="551"/>
      <c r="E41" s="551"/>
      <c r="F41" s="551"/>
      <c r="G41" s="551"/>
      <c r="H41" s="552"/>
      <c r="I41" s="620"/>
      <c r="J41" s="621"/>
      <c r="K41" s="315"/>
      <c r="L41" s="637"/>
      <c r="M41" s="638"/>
      <c r="N41" s="297"/>
    </row>
    <row r="42" spans="1:14">
      <c r="B42" s="550"/>
      <c r="C42" s="551"/>
      <c r="D42" s="551"/>
      <c r="E42" s="551"/>
      <c r="F42" s="551"/>
      <c r="G42" s="551"/>
      <c r="H42" s="552"/>
      <c r="I42" s="203"/>
      <c r="J42" s="202"/>
      <c r="K42" s="315"/>
      <c r="L42" s="637"/>
      <c r="M42" s="638"/>
      <c r="N42" s="297"/>
    </row>
    <row r="43" spans="1:14">
      <c r="B43" s="550"/>
      <c r="C43" s="551"/>
      <c r="D43" s="551"/>
      <c r="E43" s="551"/>
      <c r="F43" s="551"/>
      <c r="G43" s="551"/>
      <c r="H43" s="552"/>
      <c r="I43" s="203"/>
      <c r="J43" s="202"/>
      <c r="K43" s="315"/>
      <c r="L43" s="637"/>
      <c r="M43" s="638"/>
      <c r="N43" s="297"/>
    </row>
    <row r="44" spans="1:14">
      <c r="B44" s="550"/>
      <c r="C44" s="551"/>
      <c r="D44" s="551"/>
      <c r="E44" s="551"/>
      <c r="F44" s="551"/>
      <c r="G44" s="551"/>
      <c r="H44" s="552"/>
      <c r="I44" s="620"/>
      <c r="J44" s="621"/>
      <c r="K44" s="315"/>
      <c r="L44" s="637"/>
      <c r="M44" s="638"/>
      <c r="N44" s="297"/>
    </row>
    <row r="45" spans="1:14">
      <c r="B45" s="550"/>
      <c r="C45" s="551"/>
      <c r="D45" s="551"/>
      <c r="E45" s="551"/>
      <c r="F45" s="551"/>
      <c r="G45" s="551"/>
      <c r="H45" s="552"/>
      <c r="I45" s="203"/>
      <c r="J45" s="202"/>
      <c r="K45" s="315"/>
      <c r="L45" s="637"/>
      <c r="M45" s="638"/>
      <c r="N45" s="297"/>
    </row>
    <row r="46" spans="1:14" ht="13.5" thickBot="1">
      <c r="B46" s="550"/>
      <c r="C46" s="551"/>
      <c r="D46" s="551"/>
      <c r="E46" s="551"/>
      <c r="F46" s="551"/>
      <c r="G46" s="551"/>
      <c r="H46" s="552"/>
      <c r="I46" s="622"/>
      <c r="J46" s="623"/>
      <c r="K46" s="315"/>
      <c r="L46" s="647"/>
      <c r="M46" s="648"/>
      <c r="N46" s="297"/>
    </row>
    <row r="47" spans="1:14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299.84800000000001</v>
      </c>
    </row>
    <row r="48" spans="1:14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6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6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6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6">
      <c r="A52" s="113" t="s">
        <v>353</v>
      </c>
      <c r="B52" s="540" t="str">
        <f>VLOOKUP(A52,Materiales!$A$4:$D$141,2,0)</f>
        <v>ESFERAS REFLECTIVAS</v>
      </c>
      <c r="C52" s="541"/>
      <c r="D52" s="541"/>
      <c r="E52" s="541"/>
      <c r="F52" s="541"/>
      <c r="G52" s="541"/>
      <c r="H52" s="541"/>
      <c r="I52" s="621"/>
      <c r="J52" s="198" t="str">
        <f>VLOOKUP(A52,Materiales!$A$4:$D$141,3,0)</f>
        <v>LB</v>
      </c>
      <c r="K52" s="200">
        <v>0.09</v>
      </c>
      <c r="L52" s="522">
        <f>VLOOKUP(A52,Materiales!$A$4:$D$141,4,0)</f>
        <v>1900</v>
      </c>
      <c r="M52" s="523"/>
      <c r="N52" s="297">
        <f>+K52*L52</f>
        <v>171</v>
      </c>
      <c r="O52" s="363">
        <f>0.1016*0.3048</f>
        <v>3.0967680000000001E-2</v>
      </c>
      <c r="P52" s="113">
        <f>+O52*3.28</f>
        <v>0.10157399039999999</v>
      </c>
    </row>
    <row r="53" spans="1:16">
      <c r="A53" s="113" t="s">
        <v>359</v>
      </c>
      <c r="B53" s="540" t="str">
        <f>VLOOKUP(A53,Materiales!$A$4:$D$141,2,0)</f>
        <v>RESINA TERMOPLASTICA</v>
      </c>
      <c r="C53" s="541"/>
      <c r="D53" s="541"/>
      <c r="E53" s="541"/>
      <c r="F53" s="541"/>
      <c r="G53" s="541"/>
      <c r="H53" s="541"/>
      <c r="I53" s="621"/>
      <c r="J53" s="198" t="str">
        <f>VLOOKUP(A53,Materiales!$A$4:$D$141,3,0)</f>
        <v>KG</v>
      </c>
      <c r="K53" s="200">
        <v>0.69</v>
      </c>
      <c r="L53" s="522">
        <f>VLOOKUP(A53,Materiales!$A$4:$D$141,4,0)</f>
        <v>4230</v>
      </c>
      <c r="M53" s="523"/>
      <c r="N53" s="297">
        <f>+K53*L53</f>
        <v>2918.7</v>
      </c>
      <c r="O53" s="113">
        <f>100/30.48</f>
        <v>3.2808398950131235</v>
      </c>
      <c r="P53" s="113">
        <f>1.62/0.22</f>
        <v>7.3636363636363642</v>
      </c>
    </row>
    <row r="54" spans="1:16">
      <c r="B54" s="540"/>
      <c r="C54" s="541"/>
      <c r="D54" s="541"/>
      <c r="E54" s="541"/>
      <c r="F54" s="541"/>
      <c r="G54" s="541"/>
      <c r="H54" s="541"/>
      <c r="I54" s="621"/>
      <c r="J54" s="198"/>
      <c r="K54" s="200"/>
      <c r="L54" s="522"/>
      <c r="M54" s="523"/>
      <c r="N54" s="297"/>
      <c r="P54" s="347">
        <f>+P53*4190*3.71</f>
        <v>114466.99090909092</v>
      </c>
    </row>
    <row r="55" spans="1:16">
      <c r="B55" s="540"/>
      <c r="C55" s="541"/>
      <c r="D55" s="541"/>
      <c r="E55" s="541"/>
      <c r="F55" s="541"/>
      <c r="G55" s="541"/>
      <c r="H55" s="541"/>
      <c r="I55" s="621"/>
      <c r="J55" s="198"/>
      <c r="K55" s="200"/>
      <c r="L55" s="522"/>
      <c r="M55" s="523"/>
      <c r="N55" s="297"/>
      <c r="P55" s="113">
        <f>0.3564/0.22</f>
        <v>1.6199999999999999</v>
      </c>
    </row>
    <row r="56" spans="1:16">
      <c r="B56" s="540"/>
      <c r="C56" s="541"/>
      <c r="D56" s="541"/>
      <c r="E56" s="541"/>
      <c r="F56" s="541"/>
      <c r="G56" s="541"/>
      <c r="H56" s="541"/>
      <c r="I56" s="621"/>
      <c r="J56" s="198"/>
      <c r="K56" s="200"/>
      <c r="L56" s="522"/>
      <c r="M56" s="523"/>
      <c r="N56" s="297"/>
      <c r="P56" s="113">
        <f>4190*0.22</f>
        <v>921.8</v>
      </c>
    </row>
    <row r="57" spans="1:16">
      <c r="B57" s="540"/>
      <c r="C57" s="541"/>
      <c r="D57" s="541"/>
      <c r="E57" s="541"/>
      <c r="F57" s="541"/>
      <c r="G57" s="541"/>
      <c r="H57" s="541"/>
      <c r="I57" s="621"/>
      <c r="J57" s="198"/>
      <c r="K57" s="200"/>
      <c r="L57" s="522"/>
      <c r="M57" s="523"/>
      <c r="N57" s="297"/>
      <c r="P57" s="113">
        <f>+P56*4.54</f>
        <v>4184.9719999999998</v>
      </c>
    </row>
    <row r="58" spans="1:16">
      <c r="B58" s="540"/>
      <c r="C58" s="541"/>
      <c r="D58" s="541"/>
      <c r="E58" s="541"/>
      <c r="F58" s="541"/>
      <c r="G58" s="541"/>
      <c r="H58" s="541"/>
      <c r="I58" s="621"/>
      <c r="J58" s="198"/>
      <c r="K58" s="200"/>
      <c r="L58" s="522"/>
      <c r="M58" s="523"/>
      <c r="N58" s="297"/>
    </row>
    <row r="59" spans="1:16">
      <c r="B59" s="540"/>
      <c r="C59" s="541"/>
      <c r="D59" s="541"/>
      <c r="E59" s="541"/>
      <c r="F59" s="541"/>
      <c r="G59" s="541"/>
      <c r="H59" s="541"/>
      <c r="I59" s="621"/>
      <c r="J59" s="198"/>
      <c r="K59" s="200"/>
      <c r="L59" s="522"/>
      <c r="M59" s="523"/>
      <c r="N59" s="297"/>
    </row>
    <row r="60" spans="1:16" ht="13.5" thickBot="1">
      <c r="B60" s="540"/>
      <c r="C60" s="541"/>
      <c r="D60" s="541"/>
      <c r="E60" s="541"/>
      <c r="F60" s="541"/>
      <c r="G60" s="541"/>
      <c r="H60" s="541"/>
      <c r="I60" s="621"/>
      <c r="J60" s="195"/>
      <c r="K60" s="169"/>
      <c r="L60" s="522"/>
      <c r="M60" s="523"/>
      <c r="N60" s="297"/>
    </row>
    <row r="61" spans="1:16" ht="14.25" thickBot="1">
      <c r="B61" s="524" t="s">
        <v>469</v>
      </c>
      <c r="C61" s="525"/>
      <c r="D61" s="525"/>
      <c r="E61" s="525"/>
      <c r="F61" s="525"/>
      <c r="G61" s="525"/>
      <c r="H61" s="525"/>
      <c r="I61" s="525"/>
      <c r="J61" s="525"/>
      <c r="K61" s="525"/>
      <c r="L61" s="525"/>
      <c r="M61" s="526"/>
      <c r="N61" s="319">
        <f>SUM(N52:N60)</f>
        <v>3089.7</v>
      </c>
    </row>
    <row r="62" spans="1:16">
      <c r="B62" s="574" t="s">
        <v>89</v>
      </c>
      <c r="C62" s="575"/>
      <c r="D62" s="575"/>
      <c r="E62" s="575"/>
      <c r="F62" s="575"/>
      <c r="G62" s="575"/>
      <c r="H62" s="575"/>
      <c r="I62" s="575"/>
      <c r="J62" s="575"/>
      <c r="K62" s="575"/>
      <c r="L62" s="575"/>
      <c r="M62" s="575"/>
      <c r="N62" s="576"/>
    </row>
    <row r="63" spans="1:16">
      <c r="B63" s="577" t="s">
        <v>89</v>
      </c>
      <c r="C63" s="578"/>
      <c r="D63" s="578"/>
      <c r="E63" s="578"/>
      <c r="F63" s="578"/>
      <c r="G63" s="578"/>
      <c r="H63" s="578"/>
      <c r="I63" s="578"/>
      <c r="J63" s="578"/>
      <c r="K63" s="578"/>
      <c r="L63" s="578"/>
      <c r="M63" s="578"/>
      <c r="N63" s="579"/>
    </row>
    <row r="64" spans="1:16" ht="13.5" thickBot="1">
      <c r="B64" s="580"/>
      <c r="C64" s="581"/>
      <c r="D64" s="581"/>
      <c r="E64" s="581"/>
      <c r="F64" s="581"/>
      <c r="G64" s="581"/>
      <c r="H64" s="581"/>
      <c r="I64" s="581"/>
      <c r="J64" s="581"/>
      <c r="K64" s="581"/>
      <c r="L64" s="581"/>
      <c r="M64" s="581"/>
      <c r="N64" s="582"/>
    </row>
    <row r="65" spans="1:14" ht="13.5">
      <c r="B65" s="536" t="s">
        <v>141</v>
      </c>
      <c r="C65" s="537"/>
      <c r="D65" s="537"/>
      <c r="E65" s="537"/>
      <c r="F65" s="537"/>
      <c r="G65" s="537"/>
      <c r="H65" s="537"/>
      <c r="I65" s="237" t="s">
        <v>142</v>
      </c>
      <c r="J65" s="240" t="s">
        <v>143</v>
      </c>
      <c r="K65" s="241" t="s">
        <v>248</v>
      </c>
      <c r="L65" s="538" t="s">
        <v>17</v>
      </c>
      <c r="M65" s="539"/>
      <c r="N65" s="238" t="s">
        <v>140</v>
      </c>
    </row>
    <row r="66" spans="1:14">
      <c r="B66" s="540"/>
      <c r="C66" s="541"/>
      <c r="D66" s="541"/>
      <c r="E66" s="541"/>
      <c r="F66" s="541"/>
      <c r="G66" s="541"/>
      <c r="H66" s="541"/>
      <c r="I66" s="205"/>
      <c r="J66" s="209"/>
      <c r="K66" s="205"/>
      <c r="L66" s="637"/>
      <c r="M66" s="638"/>
      <c r="N66" s="163">
        <f>+L66*K66</f>
        <v>0</v>
      </c>
    </row>
    <row r="67" spans="1:14" ht="13.5" thickBot="1">
      <c r="B67" s="624"/>
      <c r="C67" s="625"/>
      <c r="D67" s="625"/>
      <c r="E67" s="625"/>
      <c r="F67" s="625"/>
      <c r="G67" s="625"/>
      <c r="H67" s="625"/>
      <c r="I67" s="173"/>
      <c r="J67" s="161"/>
      <c r="K67" s="173"/>
      <c r="L67" s="534"/>
      <c r="M67" s="535"/>
      <c r="N67" s="210"/>
    </row>
    <row r="68" spans="1:14" ht="14.25" thickBot="1">
      <c r="B68" s="524" t="s">
        <v>469</v>
      </c>
      <c r="C68" s="525"/>
      <c r="D68" s="525"/>
      <c r="E68" s="525"/>
      <c r="F68" s="525"/>
      <c r="G68" s="525"/>
      <c r="H68" s="525"/>
      <c r="I68" s="525"/>
      <c r="J68" s="525"/>
      <c r="K68" s="525"/>
      <c r="L68" s="525"/>
      <c r="M68" s="526"/>
      <c r="N68" s="164">
        <f>SUM(N66:N67)</f>
        <v>0</v>
      </c>
    </row>
    <row r="69" spans="1:14">
      <c r="B69" s="574" t="s">
        <v>90</v>
      </c>
      <c r="C69" s="575"/>
      <c r="D69" s="575"/>
      <c r="E69" s="575"/>
      <c r="F69" s="575"/>
      <c r="G69" s="575"/>
      <c r="H69" s="575"/>
      <c r="I69" s="575"/>
      <c r="J69" s="575"/>
      <c r="K69" s="575"/>
      <c r="L69" s="575"/>
      <c r="M69" s="575"/>
      <c r="N69" s="576"/>
    </row>
    <row r="70" spans="1:14">
      <c r="B70" s="577" t="s">
        <v>90</v>
      </c>
      <c r="C70" s="578"/>
      <c r="D70" s="578"/>
      <c r="E70" s="578"/>
      <c r="F70" s="578"/>
      <c r="G70" s="578"/>
      <c r="H70" s="578"/>
      <c r="I70" s="578"/>
      <c r="J70" s="578"/>
      <c r="K70" s="578"/>
      <c r="L70" s="578"/>
      <c r="M70" s="578"/>
      <c r="N70" s="579"/>
    </row>
    <row r="71" spans="1:14" ht="13.5" thickBot="1">
      <c r="B71" s="580"/>
      <c r="C71" s="581"/>
      <c r="D71" s="581"/>
      <c r="E71" s="581"/>
      <c r="F71" s="581"/>
      <c r="G71" s="581"/>
      <c r="H71" s="581"/>
      <c r="I71" s="581"/>
      <c r="J71" s="581"/>
      <c r="K71" s="581"/>
      <c r="L71" s="581"/>
      <c r="M71" s="581"/>
      <c r="N71" s="582"/>
    </row>
    <row r="72" spans="1:14" ht="13.5">
      <c r="B72" s="536" t="s">
        <v>144</v>
      </c>
      <c r="C72" s="537"/>
      <c r="D72" s="537"/>
      <c r="E72" s="537"/>
      <c r="F72" s="537"/>
      <c r="G72" s="539"/>
      <c r="H72" s="237" t="s">
        <v>101</v>
      </c>
      <c r="I72" s="237" t="s">
        <v>145</v>
      </c>
      <c r="J72" s="240" t="s">
        <v>84</v>
      </c>
      <c r="K72" s="241" t="s">
        <v>146</v>
      </c>
      <c r="L72" s="538" t="s">
        <v>136</v>
      </c>
      <c r="M72" s="539"/>
      <c r="N72" s="238" t="s">
        <v>140</v>
      </c>
    </row>
    <row r="73" spans="1:14">
      <c r="A73" s="113" t="s">
        <v>479</v>
      </c>
      <c r="B73" s="550" t="str">
        <f>VLOOKUP(A73,'Mano de Obra'!$A$4:$E$80,2,0)</f>
        <v>OPERADOR DE EQUIPO</v>
      </c>
      <c r="C73" s="551"/>
      <c r="D73" s="551"/>
      <c r="E73" s="551"/>
      <c r="F73" s="551"/>
      <c r="G73" s="552"/>
      <c r="H73" s="176">
        <v>2</v>
      </c>
      <c r="I73" s="302">
        <f>VLOOKUP(A73,'Mano de Obra'!$A$4:$E$80,3,0)</f>
        <v>72000</v>
      </c>
      <c r="J73" s="177">
        <f>VLOOKUP(A73,'Mano de Obra'!$A$4:$E$80,4,0)</f>
        <v>1.85</v>
      </c>
      <c r="K73" s="307">
        <f>+H73*I73*J73</f>
        <v>266400</v>
      </c>
      <c r="L73" s="529">
        <v>500</v>
      </c>
      <c r="M73" s="530"/>
      <c r="N73" s="326">
        <f>+K73/L73</f>
        <v>532.79999999999995</v>
      </c>
    </row>
    <row r="74" spans="1:14">
      <c r="A74" s="113" t="s">
        <v>446</v>
      </c>
      <c r="B74" s="550" t="str">
        <f>VLOOKUP(A74,'Mano de Obra'!$A$4:$E$80,2,0)</f>
        <v>AYUDANTE</v>
      </c>
      <c r="C74" s="551"/>
      <c r="D74" s="551"/>
      <c r="E74" s="551"/>
      <c r="F74" s="551"/>
      <c r="G74" s="552"/>
      <c r="H74" s="176">
        <v>4</v>
      </c>
      <c r="I74" s="302">
        <f>VLOOKUP(A74,'Mano de Obra'!$A$4:$E$80,3,0)</f>
        <v>28000</v>
      </c>
      <c r="J74" s="177">
        <f>VLOOKUP(A74,'Mano de Obra'!$A$4:$E$80,4,0)</f>
        <v>1.85</v>
      </c>
      <c r="K74" s="307">
        <f>+H74*I74*J74</f>
        <v>207200</v>
      </c>
      <c r="L74" s="529">
        <v>500</v>
      </c>
      <c r="M74" s="530"/>
      <c r="N74" s="326">
        <f>+K74/L74</f>
        <v>414.4</v>
      </c>
    </row>
    <row r="75" spans="1:14">
      <c r="B75" s="550"/>
      <c r="C75" s="551"/>
      <c r="D75" s="551"/>
      <c r="E75" s="551"/>
      <c r="F75" s="551"/>
      <c r="G75" s="552"/>
      <c r="H75" s="176"/>
      <c r="I75" s="302"/>
      <c r="J75" s="177"/>
      <c r="K75" s="307"/>
      <c r="L75" s="637"/>
      <c r="M75" s="638"/>
      <c r="N75" s="326"/>
    </row>
    <row r="76" spans="1:14">
      <c r="B76" s="550"/>
      <c r="C76" s="551"/>
      <c r="D76" s="551"/>
      <c r="E76" s="551"/>
      <c r="F76" s="551"/>
      <c r="G76" s="552"/>
      <c r="H76" s="176"/>
      <c r="I76" s="302"/>
      <c r="J76" s="177"/>
      <c r="K76" s="307"/>
      <c r="L76" s="529"/>
      <c r="M76" s="530"/>
      <c r="N76" s="326"/>
    </row>
    <row r="77" spans="1:14">
      <c r="B77" s="550"/>
      <c r="C77" s="551"/>
      <c r="D77" s="551"/>
      <c r="E77" s="551"/>
      <c r="F77" s="551"/>
      <c r="G77" s="552"/>
      <c r="H77" s="176"/>
      <c r="I77" s="302"/>
      <c r="J77" s="177"/>
      <c r="K77" s="307"/>
      <c r="L77" s="637"/>
      <c r="M77" s="638"/>
      <c r="N77" s="326"/>
    </row>
    <row r="78" spans="1:14">
      <c r="B78" s="550"/>
      <c r="C78" s="551"/>
      <c r="D78" s="551"/>
      <c r="E78" s="551"/>
      <c r="F78" s="551"/>
      <c r="G78" s="552"/>
      <c r="H78" s="176"/>
      <c r="I78" s="302"/>
      <c r="J78" s="177"/>
      <c r="K78" s="307"/>
      <c r="L78" s="529"/>
      <c r="M78" s="530"/>
      <c r="N78" s="326"/>
    </row>
    <row r="79" spans="1:14">
      <c r="B79" s="550"/>
      <c r="C79" s="551"/>
      <c r="D79" s="551"/>
      <c r="E79" s="551"/>
      <c r="F79" s="551"/>
      <c r="G79" s="552"/>
      <c r="H79" s="176"/>
      <c r="I79" s="302"/>
      <c r="J79" s="177"/>
      <c r="K79" s="307"/>
      <c r="L79" s="637"/>
      <c r="M79" s="638"/>
      <c r="N79" s="326"/>
    </row>
    <row r="80" spans="1:14">
      <c r="B80" s="550"/>
      <c r="C80" s="551"/>
      <c r="D80" s="551"/>
      <c r="E80" s="551"/>
      <c r="F80" s="551"/>
      <c r="G80" s="552"/>
      <c r="H80" s="176"/>
      <c r="I80" s="302"/>
      <c r="J80" s="177"/>
      <c r="K80" s="307"/>
      <c r="L80" s="529"/>
      <c r="M80" s="530"/>
      <c r="N80" s="326"/>
    </row>
    <row r="81" spans="2:14">
      <c r="B81" s="550"/>
      <c r="C81" s="551"/>
      <c r="D81" s="551"/>
      <c r="E81" s="551"/>
      <c r="F81" s="551"/>
      <c r="G81" s="552"/>
      <c r="H81" s="176"/>
      <c r="I81" s="302"/>
      <c r="J81" s="177"/>
      <c r="K81" s="307"/>
      <c r="L81" s="637"/>
      <c r="M81" s="638"/>
      <c r="N81" s="326"/>
    </row>
    <row r="82" spans="2:14" ht="13.5" thickBot="1">
      <c r="B82" s="550"/>
      <c r="C82" s="551"/>
      <c r="D82" s="551"/>
      <c r="E82" s="551"/>
      <c r="F82" s="551"/>
      <c r="G82" s="552"/>
      <c r="H82" s="173"/>
      <c r="I82" s="309"/>
      <c r="J82" s="161"/>
      <c r="K82" s="309"/>
      <c r="L82" s="534"/>
      <c r="M82" s="535"/>
      <c r="N82" s="327"/>
    </row>
    <row r="83" spans="2:14" ht="14.25" thickBot="1">
      <c r="B83" s="524" t="s">
        <v>469</v>
      </c>
      <c r="C83" s="525"/>
      <c r="D83" s="525"/>
      <c r="E83" s="525"/>
      <c r="F83" s="525"/>
      <c r="G83" s="525"/>
      <c r="H83" s="525"/>
      <c r="I83" s="525"/>
      <c r="J83" s="525"/>
      <c r="K83" s="525"/>
      <c r="L83" s="525"/>
      <c r="M83" s="526"/>
      <c r="N83" s="319">
        <f>SUM(N73:N82)</f>
        <v>947.19999999999993</v>
      </c>
    </row>
    <row r="84" spans="2:14" ht="13.5" thickBot="1">
      <c r="B84" s="15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7"/>
    </row>
    <row r="85" spans="2:14" ht="13.5" thickBot="1">
      <c r="B85" s="531" t="s">
        <v>470</v>
      </c>
      <c r="C85" s="532"/>
      <c r="D85" s="532"/>
      <c r="E85" s="532"/>
      <c r="F85" s="532"/>
      <c r="G85" s="532"/>
      <c r="H85" s="532"/>
      <c r="I85" s="532"/>
      <c r="J85" s="532"/>
      <c r="K85" s="532"/>
      <c r="L85" s="532"/>
      <c r="M85" s="533"/>
      <c r="N85" s="245">
        <f>+N83+N68+N61+N47</f>
        <v>4336.7479999999996</v>
      </c>
    </row>
    <row r="86" spans="2:14">
      <c r="B86" s="574" t="s">
        <v>91</v>
      </c>
      <c r="C86" s="575"/>
      <c r="D86" s="575"/>
      <c r="E86" s="575"/>
      <c r="F86" s="575"/>
      <c r="G86" s="575"/>
      <c r="H86" s="575"/>
      <c r="I86" s="575"/>
      <c r="J86" s="575"/>
      <c r="K86" s="575"/>
      <c r="L86" s="575"/>
      <c r="M86" s="575"/>
      <c r="N86" s="576"/>
    </row>
    <row r="87" spans="2:14">
      <c r="B87" s="577" t="s">
        <v>91</v>
      </c>
      <c r="C87" s="578"/>
      <c r="D87" s="578"/>
      <c r="E87" s="578"/>
      <c r="F87" s="578"/>
      <c r="G87" s="578"/>
      <c r="H87" s="578"/>
      <c r="I87" s="578"/>
      <c r="J87" s="578"/>
      <c r="K87" s="578"/>
      <c r="L87" s="578"/>
      <c r="M87" s="578"/>
      <c r="N87" s="579"/>
    </row>
    <row r="88" spans="2:14" ht="13.5" thickBot="1">
      <c r="B88" s="580"/>
      <c r="C88" s="581"/>
      <c r="D88" s="581"/>
      <c r="E88" s="581"/>
      <c r="F88" s="581"/>
      <c r="G88" s="581"/>
      <c r="H88" s="581"/>
      <c r="I88" s="581"/>
      <c r="J88" s="581"/>
      <c r="K88" s="581"/>
      <c r="L88" s="581"/>
      <c r="M88" s="581"/>
      <c r="N88" s="582"/>
    </row>
    <row r="89" spans="2:14" ht="13.5">
      <c r="B89" s="536" t="s">
        <v>88</v>
      </c>
      <c r="C89" s="537"/>
      <c r="D89" s="537"/>
      <c r="E89" s="537"/>
      <c r="F89" s="537"/>
      <c r="G89" s="537"/>
      <c r="H89" s="537"/>
      <c r="I89" s="240"/>
      <c r="J89" s="246"/>
      <c r="K89" s="243" t="s">
        <v>92</v>
      </c>
      <c r="L89" s="527" t="s">
        <v>93</v>
      </c>
      <c r="M89" s="528"/>
      <c r="N89" s="244"/>
    </row>
    <row r="90" spans="2:14">
      <c r="B90" s="540" t="s">
        <v>82</v>
      </c>
      <c r="C90" s="541"/>
      <c r="D90" s="541"/>
      <c r="E90" s="541"/>
      <c r="F90" s="541"/>
      <c r="G90" s="541"/>
      <c r="H90" s="541"/>
      <c r="I90" s="182"/>
      <c r="J90" s="183"/>
      <c r="K90" s="251">
        <v>0.25</v>
      </c>
      <c r="L90" s="639">
        <f>+N85*K90</f>
        <v>1084.1869999999999</v>
      </c>
      <c r="M90" s="640"/>
      <c r="N90" s="184"/>
    </row>
    <row r="91" spans="2:14">
      <c r="B91" s="185" t="s">
        <v>94</v>
      </c>
      <c r="C91" s="186"/>
      <c r="D91" s="186"/>
      <c r="E91" s="186"/>
      <c r="F91" s="186"/>
      <c r="G91" s="186"/>
      <c r="H91" s="186"/>
      <c r="I91" s="182"/>
      <c r="J91" s="183"/>
      <c r="K91" s="251">
        <v>0.05</v>
      </c>
      <c r="L91" s="639">
        <f>+N85*K91</f>
        <v>216.8374</v>
      </c>
      <c r="M91" s="640"/>
      <c r="N91" s="184"/>
    </row>
    <row r="92" spans="2:14" ht="13.5" thickBot="1">
      <c r="B92" s="187" t="s">
        <v>83</v>
      </c>
      <c r="C92" s="188"/>
      <c r="D92" s="188"/>
      <c r="E92" s="188"/>
      <c r="F92" s="188"/>
      <c r="G92" s="188"/>
      <c r="H92" s="188"/>
      <c r="I92" s="189"/>
      <c r="J92" s="190"/>
      <c r="K92" s="251">
        <v>0.05</v>
      </c>
      <c r="L92" s="641">
        <f>+N85*K92</f>
        <v>216.8374</v>
      </c>
      <c r="M92" s="642"/>
      <c r="N92" s="184"/>
    </row>
    <row r="93" spans="2:14" ht="14.25" thickBot="1">
      <c r="B93" s="524" t="s">
        <v>469</v>
      </c>
      <c r="C93" s="525"/>
      <c r="D93" s="525"/>
      <c r="E93" s="525"/>
      <c r="F93" s="525"/>
      <c r="G93" s="525"/>
      <c r="H93" s="525"/>
      <c r="I93" s="525"/>
      <c r="J93" s="525"/>
      <c r="K93" s="525"/>
      <c r="L93" s="525"/>
      <c r="M93" s="526"/>
      <c r="N93" s="191">
        <f>SUM(L90:M92)</f>
        <v>1517.8617999999997</v>
      </c>
    </row>
    <row r="94" spans="2:14" ht="13.5" thickBot="1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 ht="13.5" thickBot="1">
      <c r="B95" s="531" t="s">
        <v>471</v>
      </c>
      <c r="C95" s="532"/>
      <c r="D95" s="532"/>
      <c r="E95" s="532"/>
      <c r="F95" s="532"/>
      <c r="G95" s="532"/>
      <c r="H95" s="532"/>
      <c r="I95" s="532"/>
      <c r="J95" s="532"/>
      <c r="K95" s="532"/>
      <c r="L95" s="532"/>
      <c r="M95" s="533"/>
      <c r="N95" s="247">
        <f>ROUND(N85+N93,0)</f>
        <v>5855</v>
      </c>
    </row>
    <row r="96" spans="2:14">
      <c r="B96" s="138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41"/>
    </row>
    <row r="97" spans="2:16">
      <c r="B97" s="159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7"/>
    </row>
    <row r="98" spans="2:16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  <c r="O98" s="113">
        <v>16.2</v>
      </c>
      <c r="P98" s="113">
        <f>1620*0.22</f>
        <v>356.4</v>
      </c>
    </row>
    <row r="99" spans="2:16">
      <c r="B99" s="159"/>
      <c r="C99" s="140"/>
      <c r="D99" s="140"/>
      <c r="E99" s="140"/>
      <c r="F99" s="140"/>
      <c r="G99" s="145" t="str">
        <f>+'SV-01'!$G$96</f>
        <v>Firma</v>
      </c>
      <c r="H99" s="145"/>
      <c r="I99" s="145"/>
      <c r="J99" s="145"/>
      <c r="K99" s="140"/>
      <c r="L99" s="140"/>
      <c r="M99" s="140"/>
      <c r="N99" s="147"/>
      <c r="O99" s="113">
        <v>4190</v>
      </c>
    </row>
    <row r="100" spans="2:16" ht="13.5">
      <c r="B100" s="192"/>
      <c r="C100" s="193"/>
      <c r="D100" s="193"/>
      <c r="E100" s="193"/>
      <c r="F100" s="193"/>
      <c r="G100" s="145" t="str">
        <f>+'SV-01'!$G$97</f>
        <v>Nombre:</v>
      </c>
      <c r="H100" s="193"/>
      <c r="I100" s="193"/>
      <c r="J100" s="193"/>
      <c r="K100" s="193"/>
      <c r="L100" s="193"/>
      <c r="M100" s="193"/>
      <c r="N100" s="194"/>
      <c r="O100" s="347">
        <f>+O98*O99</f>
        <v>67878</v>
      </c>
      <c r="P100" s="347">
        <f>+P98*O99</f>
        <v>1493316</v>
      </c>
    </row>
    <row r="101" spans="2:16" ht="13.5">
      <c r="B101" s="192"/>
      <c r="C101" s="193"/>
      <c r="D101" s="193"/>
      <c r="E101" s="193"/>
      <c r="F101" s="193"/>
      <c r="G101" s="145" t="str">
        <f>+'SV-01'!$G$98</f>
        <v>Representante Legal del Contratista o su Apoderado</v>
      </c>
      <c r="J101" s="193"/>
      <c r="K101" s="193"/>
      <c r="L101" s="193"/>
      <c r="M101" s="193"/>
      <c r="N101" s="194"/>
    </row>
    <row r="102" spans="2:16">
      <c r="B102" s="123"/>
      <c r="C102" s="155"/>
      <c r="D102" s="155"/>
      <c r="E102" s="155"/>
      <c r="F102" s="155"/>
      <c r="G102" s="145" t="str">
        <f>+'SV-01'!$G$99</f>
        <v>Matricula No. :</v>
      </c>
      <c r="H102" s="155"/>
      <c r="I102" s="155"/>
      <c r="J102" s="155"/>
      <c r="K102" s="155"/>
      <c r="L102" s="155"/>
      <c r="M102" s="155"/>
      <c r="N102" s="153"/>
    </row>
    <row r="103" spans="2:16">
      <c r="B103" s="159"/>
      <c r="C103" s="140"/>
      <c r="D103" s="140"/>
      <c r="E103" s="140"/>
      <c r="F103" s="140"/>
      <c r="G103" s="140" t="s">
        <v>206</v>
      </c>
      <c r="H103" s="140"/>
      <c r="I103" s="140"/>
      <c r="J103" s="140"/>
      <c r="K103" s="140"/>
      <c r="L103" s="140"/>
      <c r="M103" s="140"/>
      <c r="N103" s="147"/>
    </row>
    <row r="104" spans="2:16" ht="13.5">
      <c r="B104" s="165" t="str">
        <f>+'SV-01'!$B$101</f>
        <v>OBSERVACIONES INTERVENTORÍA</v>
      </c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7"/>
    </row>
    <row r="105" spans="2:16">
      <c r="B105" s="544"/>
      <c r="C105" s="545"/>
      <c r="D105" s="545"/>
      <c r="E105" s="545"/>
      <c r="F105" s="545"/>
      <c r="G105" s="545"/>
      <c r="H105" s="545"/>
      <c r="I105" s="545"/>
      <c r="J105" s="545"/>
      <c r="K105" s="545"/>
      <c r="L105" s="545"/>
      <c r="M105" s="545"/>
      <c r="N105" s="546"/>
    </row>
    <row r="106" spans="2:16">
      <c r="B106" s="547"/>
      <c r="C106" s="548"/>
      <c r="D106" s="548"/>
      <c r="E106" s="548"/>
      <c r="F106" s="548"/>
      <c r="G106" s="548"/>
      <c r="H106" s="548"/>
      <c r="I106" s="548"/>
      <c r="J106" s="548"/>
      <c r="K106" s="548"/>
      <c r="L106" s="548"/>
      <c r="M106" s="548"/>
      <c r="N106" s="549"/>
    </row>
    <row r="107" spans="2:16">
      <c r="B107" s="123"/>
      <c r="C107" s="155"/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3"/>
    </row>
    <row r="108" spans="2:16">
      <c r="B108" s="159"/>
      <c r="C108" s="140"/>
      <c r="D108" s="140"/>
      <c r="E108" s="140"/>
      <c r="F108" s="140"/>
      <c r="G108" s="145" t="str">
        <f>+'SV-01'!$G$105</f>
        <v>Firma</v>
      </c>
      <c r="H108" s="140"/>
      <c r="I108" s="140"/>
      <c r="J108" s="140"/>
      <c r="K108" s="140"/>
      <c r="L108" s="140"/>
      <c r="M108" s="140"/>
      <c r="N108" s="147"/>
    </row>
    <row r="109" spans="2:16">
      <c r="B109" s="159"/>
      <c r="C109" s="140"/>
      <c r="D109" s="140"/>
      <c r="E109" s="140"/>
      <c r="F109" s="140"/>
      <c r="G109" s="140" t="str">
        <f>+'SV-01'!$G$106</f>
        <v>Nombre:</v>
      </c>
      <c r="H109" s="160"/>
      <c r="I109" s="160"/>
      <c r="J109" s="160"/>
      <c r="K109" s="140"/>
      <c r="L109" s="140"/>
      <c r="M109" s="140"/>
      <c r="N109" s="147"/>
    </row>
    <row r="110" spans="2:16">
      <c r="B110" s="159"/>
      <c r="C110" s="140"/>
      <c r="D110" s="140"/>
      <c r="E110" s="140"/>
      <c r="F110" s="140"/>
      <c r="G110" s="140" t="str">
        <f>+'SV-01'!$G$107</f>
        <v>Representante Legal del Interventor o su Apoderado</v>
      </c>
      <c r="H110" s="154"/>
      <c r="I110" s="154"/>
      <c r="J110" s="154"/>
      <c r="M110" s="140"/>
      <c r="N110" s="147"/>
    </row>
    <row r="111" spans="2:16">
      <c r="B111" s="196"/>
      <c r="C111" s="155"/>
      <c r="D111" s="155"/>
      <c r="E111" s="155"/>
      <c r="F111" s="155"/>
      <c r="G111" s="140" t="str">
        <f>+'SV-01'!$G$108</f>
        <v>Matricula No. :</v>
      </c>
      <c r="K111" s="155"/>
      <c r="L111" s="155"/>
      <c r="M111" s="155"/>
      <c r="N111" s="153"/>
    </row>
    <row r="112" spans="2:16" ht="12.75" customHeight="1">
      <c r="B112" s="199" t="str">
        <f>+'SV-01'!$B$109</f>
        <v xml:space="preserve">Original: Archivo de Gestión Contractual ( Subdirecciòn Administrativa) </v>
      </c>
      <c r="C112" s="197"/>
      <c r="D112" s="197"/>
      <c r="E112" s="140"/>
      <c r="F112" s="140"/>
      <c r="G112" s="140"/>
      <c r="H112" s="140"/>
      <c r="I112" s="140"/>
      <c r="J112" s="515"/>
      <c r="K112" s="515"/>
      <c r="L112" s="515"/>
      <c r="M112" s="515"/>
      <c r="N112" s="516"/>
    </row>
    <row r="113" spans="2:14" ht="12.75" customHeight="1">
      <c r="B113" s="199" t="str">
        <f>+'SV-01'!$B$110</f>
        <v>Copias : Unidad Ejecutora,  Contratista, Interventor y Dirección Territorial.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3.5" customHeight="1" thickBot="1">
      <c r="B114" s="519"/>
      <c r="C114" s="520"/>
      <c r="D114" s="520"/>
      <c r="E114" s="161"/>
      <c r="F114" s="161"/>
      <c r="G114" s="161"/>
      <c r="H114" s="161"/>
      <c r="I114" s="161"/>
      <c r="J114" s="517"/>
      <c r="K114" s="517"/>
      <c r="L114" s="517"/>
      <c r="M114" s="517"/>
      <c r="N114" s="518"/>
    </row>
  </sheetData>
  <mergeCells count="125">
    <mergeCell ref="B59:I59"/>
    <mergeCell ref="L59:M59"/>
    <mergeCell ref="B60:I60"/>
    <mergeCell ref="L60:M60"/>
    <mergeCell ref="L81:M81"/>
    <mergeCell ref="B61:M61"/>
    <mergeCell ref="B65:H65"/>
    <mergeCell ref="L65:M65"/>
    <mergeCell ref="B66:H66"/>
    <mergeCell ref="L66:M66"/>
    <mergeCell ref="B67:H67"/>
    <mergeCell ref="L67:M67"/>
    <mergeCell ref="B68:M68"/>
    <mergeCell ref="L72:M72"/>
    <mergeCell ref="L73:M73"/>
    <mergeCell ref="L78:M78"/>
    <mergeCell ref="B79:G79"/>
    <mergeCell ref="L79:M79"/>
    <mergeCell ref="B74:G74"/>
    <mergeCell ref="L74:M74"/>
    <mergeCell ref="B75:G75"/>
    <mergeCell ref="L75:M75"/>
    <mergeCell ref="B76:G76"/>
    <mergeCell ref="L76:M76"/>
    <mergeCell ref="L45:M45"/>
    <mergeCell ref="B37:H37"/>
    <mergeCell ref="B38:H38"/>
    <mergeCell ref="B44:H44"/>
    <mergeCell ref="B45:H45"/>
    <mergeCell ref="B39:H39"/>
    <mergeCell ref="I39:J39"/>
    <mergeCell ref="L39:M39"/>
    <mergeCell ref="B43:H43"/>
    <mergeCell ref="L43:M43"/>
    <mergeCell ref="B40:H40"/>
    <mergeCell ref="L40:M40"/>
    <mergeCell ref="B41:H41"/>
    <mergeCell ref="I41:J41"/>
    <mergeCell ref="L41:M41"/>
    <mergeCell ref="B42:H4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I38:J38"/>
    <mergeCell ref="L38:M38"/>
    <mergeCell ref="L44:M44"/>
    <mergeCell ref="I44:J44"/>
    <mergeCell ref="L42:M42"/>
    <mergeCell ref="B47:M47"/>
    <mergeCell ref="B51:I51"/>
    <mergeCell ref="L51:M51"/>
    <mergeCell ref="B52:I52"/>
    <mergeCell ref="L52:M52"/>
    <mergeCell ref="B48:N50"/>
    <mergeCell ref="B46:H46"/>
    <mergeCell ref="B58:I58"/>
    <mergeCell ref="L58:M58"/>
    <mergeCell ref="B54:I54"/>
    <mergeCell ref="L54:M54"/>
    <mergeCell ref="B55:I55"/>
    <mergeCell ref="L55:M55"/>
    <mergeCell ref="B53:I53"/>
    <mergeCell ref="L53:M53"/>
    <mergeCell ref="I46:J46"/>
    <mergeCell ref="L46:M46"/>
    <mergeCell ref="B56:I56"/>
    <mergeCell ref="L56:M56"/>
    <mergeCell ref="B57:I57"/>
    <mergeCell ref="L57:M57"/>
    <mergeCell ref="L80:M80"/>
    <mergeCell ref="B62:N64"/>
    <mergeCell ref="B69:N71"/>
    <mergeCell ref="B72:G72"/>
    <mergeCell ref="L82:M82"/>
    <mergeCell ref="B83:M83"/>
    <mergeCell ref="B85:M85"/>
    <mergeCell ref="B89:H89"/>
    <mergeCell ref="L89:M89"/>
    <mergeCell ref="B86:N88"/>
    <mergeCell ref="B73:G73"/>
    <mergeCell ref="B80:G80"/>
    <mergeCell ref="B81:G81"/>
    <mergeCell ref="B82:G82"/>
    <mergeCell ref="B78:G78"/>
    <mergeCell ref="B77:G77"/>
    <mergeCell ref="L77:M77"/>
    <mergeCell ref="B105:N105"/>
    <mergeCell ref="B106:N106"/>
    <mergeCell ref="J112:N114"/>
    <mergeCell ref="B114:D114"/>
    <mergeCell ref="B90:H90"/>
    <mergeCell ref="L90:M90"/>
    <mergeCell ref="L91:M91"/>
    <mergeCell ref="L92:M92"/>
    <mergeCell ref="B93:M93"/>
    <mergeCell ref="B95:M95"/>
  </mergeCells>
  <printOptions horizontalCentered="1" verticalCentered="1"/>
  <pageMargins left="1.1811023622047245" right="0.39370078740157483" top="0.19685039370078741" bottom="1.1811023622047245" header="0" footer="0"/>
  <pageSetup scale="47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1">
    <pageSetUpPr fitToPage="1"/>
  </sheetPr>
  <dimension ref="A1:O114"/>
  <sheetViews>
    <sheetView showGridLines="0" view="pageBreakPreview" zoomScaleNormal="55" zoomScaleSheetLayoutView="100" workbookViewId="0">
      <selection activeCell="C6" sqref="C6:J7"/>
    </sheetView>
  </sheetViews>
  <sheetFormatPr baseColWidth="10" defaultRowHeight="12.75"/>
  <cols>
    <col min="1" max="1" width="3.140625" style="113" customWidth="1"/>
    <col min="2" max="10" width="11.42578125" style="113"/>
    <col min="11" max="11" width="12.42578125" style="113" customWidth="1"/>
    <col min="12" max="13" width="11.42578125" style="113"/>
    <col min="14" max="14" width="12.4257812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5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e">
        <f>+'PRESUPUESTO OFICIAL'!#REF!</f>
        <v>#REF!</v>
      </c>
      <c r="M33" s="654"/>
      <c r="N33" s="260" t="e">
        <f>+'PRESUPUESTO OFICIAL'!#REF!</f>
        <v>#REF!</v>
      </c>
    </row>
    <row r="34" spans="1:15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5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5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5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5">
      <c r="A38" s="350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62">
        <v>0.5</v>
      </c>
      <c r="M38" s="663"/>
      <c r="N38" s="163">
        <f>+K38/L38</f>
        <v>40678</v>
      </c>
      <c r="O38" s="113">
        <f>0.5*2</f>
        <v>1</v>
      </c>
    </row>
    <row r="39" spans="1:15">
      <c r="A39" s="350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662">
        <v>0.5</v>
      </c>
      <c r="M39" s="663">
        <v>0.5</v>
      </c>
      <c r="N39" s="163">
        <f t="shared" ref="N39:N44" si="0">+K39/L39</f>
        <v>40678</v>
      </c>
    </row>
    <row r="40" spans="1:15">
      <c r="A40" s="350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203"/>
      <c r="J40" s="202"/>
      <c r="K40" s="315">
        <f>VLOOKUP(A40,Equipo!$A$4:$D$80,4,0)</f>
        <v>16271</v>
      </c>
      <c r="L40" s="662">
        <v>0.5</v>
      </c>
      <c r="M40" s="663">
        <v>0.5</v>
      </c>
      <c r="N40" s="163">
        <f t="shared" si="0"/>
        <v>32542</v>
      </c>
    </row>
    <row r="41" spans="1:15">
      <c r="A41" s="350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662">
        <v>0.5</v>
      </c>
      <c r="M41" s="663">
        <v>0.5</v>
      </c>
      <c r="N41" s="163">
        <f t="shared" si="0"/>
        <v>40678</v>
      </c>
    </row>
    <row r="42" spans="1:15">
      <c r="A42" s="350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662">
        <v>0.5</v>
      </c>
      <c r="M42" s="663">
        <v>0.5</v>
      </c>
      <c r="N42" s="163">
        <f t="shared" si="0"/>
        <v>27148</v>
      </c>
    </row>
    <row r="43" spans="1:15">
      <c r="A43" s="350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203"/>
      <c r="J43" s="202"/>
      <c r="K43" s="315">
        <f>VLOOKUP(A43,Equipo!$A$4:$D$80,4,0)</f>
        <v>8003</v>
      </c>
      <c r="L43" s="662">
        <v>0.5</v>
      </c>
      <c r="M43" s="663">
        <v>0.5</v>
      </c>
      <c r="N43" s="163">
        <f t="shared" si="0"/>
        <v>16006</v>
      </c>
    </row>
    <row r="44" spans="1:15">
      <c r="A44" s="350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62">
        <v>0.5</v>
      </c>
      <c r="M44" s="663">
        <v>0.5</v>
      </c>
      <c r="N44" s="163">
        <f t="shared" si="0"/>
        <v>5430</v>
      </c>
    </row>
    <row r="45" spans="1:15">
      <c r="A45" s="350" t="s">
        <v>466</v>
      </c>
      <c r="B45" s="550" t="str">
        <f>+VLOOKUP(A45,Equipo!$A$4:$D$80,2,0)</f>
        <v>HERRAMIENTA MENOR</v>
      </c>
      <c r="C45" s="551"/>
      <c r="D45" s="551"/>
      <c r="E45" s="551"/>
      <c r="F45" s="551"/>
      <c r="G45" s="551"/>
      <c r="H45" s="552"/>
      <c r="I45" s="203"/>
      <c r="J45" s="202"/>
      <c r="K45" s="162"/>
      <c r="L45" s="637"/>
      <c r="M45" s="638"/>
      <c r="N45" s="163">
        <v>15000</v>
      </c>
    </row>
    <row r="46" spans="1:15" ht="13.5" thickBot="1">
      <c r="B46" s="550"/>
      <c r="C46" s="551"/>
      <c r="D46" s="551"/>
      <c r="E46" s="551"/>
      <c r="F46" s="551"/>
      <c r="G46" s="551"/>
      <c r="H46" s="552"/>
      <c r="I46" s="622"/>
      <c r="J46" s="623"/>
      <c r="K46" s="162"/>
      <c r="L46" s="637"/>
      <c r="M46" s="638"/>
      <c r="N46" s="163"/>
    </row>
    <row r="47" spans="1:15" ht="14.25" thickBot="1">
      <c r="B47" s="524" t="s">
        <v>469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164">
        <f>SUM(N38:N46)</f>
        <v>218160</v>
      </c>
    </row>
    <row r="48" spans="1:15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4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4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4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239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4">
      <c r="A52" s="350" t="s">
        <v>489</v>
      </c>
      <c r="B52" s="540" t="str">
        <f>VLOOKUP(A52,Materiales!$A$4:$D$141,2,0)</f>
        <v>LÁMINA GALVANIZADA CAL 20</v>
      </c>
      <c r="C52" s="541"/>
      <c r="D52" s="541"/>
      <c r="E52" s="541"/>
      <c r="F52" s="541"/>
      <c r="G52" s="541"/>
      <c r="H52" s="541"/>
      <c r="I52" s="621"/>
      <c r="J52" s="364" t="str">
        <f>VLOOKUP(A52,Materiales!$A$4:$D$141,3,0)</f>
        <v>M2</v>
      </c>
      <c r="K52" s="369">
        <v>2.0499999999999998</v>
      </c>
      <c r="L52" s="553">
        <f>VLOOKUP(A52,Materiales!$A$4:$D$141,4,0)</f>
        <v>56860</v>
      </c>
      <c r="M52" s="554"/>
      <c r="N52" s="163">
        <f>+K52*L52</f>
        <v>116562.99999999999</v>
      </c>
    </row>
    <row r="53" spans="1:14">
      <c r="A53" s="350" t="s">
        <v>345</v>
      </c>
      <c r="B53" s="540" t="str">
        <f>VLOOKUP(A53,Materiales!$A$4:$D$141,2,0)</f>
        <v>PAPEL REFLECTIVO TIPO III</v>
      </c>
      <c r="C53" s="541"/>
      <c r="D53" s="541"/>
      <c r="E53" s="541"/>
      <c r="F53" s="541"/>
      <c r="G53" s="541"/>
      <c r="H53" s="541"/>
      <c r="I53" s="621"/>
      <c r="J53" s="364" t="str">
        <f>VLOOKUP(A53,Materiales!$A$4:$D$141,3,0)</f>
        <v>M2</v>
      </c>
      <c r="K53" s="369">
        <v>2.0499999999999998</v>
      </c>
      <c r="L53" s="553">
        <f>VLOOKUP(A53,Materiales!$A$4:$D$141,4,0)</f>
        <v>48400</v>
      </c>
      <c r="M53" s="554"/>
      <c r="N53" s="163">
        <f t="shared" ref="N53:N60" si="1">+K53*L53</f>
        <v>99219.999999999985</v>
      </c>
    </row>
    <row r="54" spans="1:14">
      <c r="A54" s="350" t="s">
        <v>490</v>
      </c>
      <c r="B54" s="550" t="str">
        <f>VLOOKUP(A54,Materiales!$A$4:$D$141,2,0)</f>
        <v>TUBO GALVANIZADO DE 4" DE DIÁMETRO</v>
      </c>
      <c r="C54" s="551"/>
      <c r="D54" s="551"/>
      <c r="E54" s="551"/>
      <c r="F54" s="551"/>
      <c r="G54" s="551"/>
      <c r="H54" s="551"/>
      <c r="I54" s="552"/>
      <c r="J54" s="364" t="str">
        <f>VLOOKUP(A54,Materiales!$A$4:$D$141,3,0)</f>
        <v>m</v>
      </c>
      <c r="K54" s="369">
        <v>7.1</v>
      </c>
      <c r="L54" s="553">
        <f>VLOOKUP(A54,Materiales!$A$4:$D$141,4,0)</f>
        <v>34140</v>
      </c>
      <c r="M54" s="554"/>
      <c r="N54" s="163">
        <f t="shared" si="1"/>
        <v>242394</v>
      </c>
    </row>
    <row r="55" spans="1:14">
      <c r="A55" s="350" t="s">
        <v>491</v>
      </c>
      <c r="B55" s="550" t="str">
        <f>VLOOKUP(A55,Materiales!$A$4:$D$141,2,0)</f>
        <v>TUBO GALVANIZADO DE 1 1/2" DE DIAMETRO</v>
      </c>
      <c r="C55" s="551"/>
      <c r="D55" s="551"/>
      <c r="E55" s="551"/>
      <c r="F55" s="551"/>
      <c r="G55" s="551"/>
      <c r="H55" s="551"/>
      <c r="I55" s="552"/>
      <c r="J55" s="364" t="str">
        <f>VLOOKUP(A55,Materiales!$A$4:$D$141,3,0)</f>
        <v>m</v>
      </c>
      <c r="K55" s="369">
        <v>4.2</v>
      </c>
      <c r="L55" s="553">
        <f>VLOOKUP(A55,Materiales!$A$4:$D$141,4,0)</f>
        <v>22380</v>
      </c>
      <c r="M55" s="554"/>
      <c r="N55" s="163">
        <f t="shared" si="1"/>
        <v>93996</v>
      </c>
    </row>
    <row r="56" spans="1:14">
      <c r="A56" s="350" t="s">
        <v>348</v>
      </c>
      <c r="B56" s="550" t="str">
        <f>VLOOKUP(A56,Materiales!$A$4:$D$141,2,0)</f>
        <v>TORNILLOS Y REMACHES</v>
      </c>
      <c r="C56" s="551"/>
      <c r="D56" s="551"/>
      <c r="E56" s="551"/>
      <c r="F56" s="551"/>
      <c r="G56" s="551"/>
      <c r="H56" s="551"/>
      <c r="I56" s="552"/>
      <c r="J56" s="364" t="str">
        <f>VLOOKUP(A56,Materiales!$A$4:$D$141,3,0)</f>
        <v>UND.</v>
      </c>
      <c r="K56" s="369">
        <v>8</v>
      </c>
      <c r="L56" s="553">
        <f>VLOOKUP(A56,Materiales!$A$4:$D$141,4,0)</f>
        <v>1004</v>
      </c>
      <c r="M56" s="554"/>
      <c r="N56" s="163">
        <f t="shared" si="1"/>
        <v>8032</v>
      </c>
    </row>
    <row r="57" spans="1:14">
      <c r="A57" s="350" t="s">
        <v>349</v>
      </c>
      <c r="B57" s="550" t="str">
        <f>VLOOKUP(A57,Materiales!$A$4:$D$141,2,0)</f>
        <v>PINTURA EN POLVO</v>
      </c>
      <c r="C57" s="551"/>
      <c r="D57" s="551"/>
      <c r="E57" s="551"/>
      <c r="F57" s="551"/>
      <c r="G57" s="551"/>
      <c r="H57" s="551"/>
      <c r="I57" s="552"/>
      <c r="J57" s="364" t="str">
        <f>VLOOKUP(A57,Materiales!$A$4:$D$141,3,0)</f>
        <v>GALON</v>
      </c>
      <c r="K57" s="369">
        <v>0.39</v>
      </c>
      <c r="L57" s="553">
        <f>VLOOKUP(A57,Materiales!$A$4:$D$141,4,0)</f>
        <v>170330</v>
      </c>
      <c r="M57" s="554"/>
      <c r="N57" s="163">
        <f t="shared" si="1"/>
        <v>66428.7</v>
      </c>
    </row>
    <row r="58" spans="1:14">
      <c r="A58" s="350" t="s">
        <v>350</v>
      </c>
      <c r="B58" s="550" t="str">
        <f>VLOOKUP(A58,Materiales!$A$4:$D$141,2,0)</f>
        <v>PINTURA ESMALTE</v>
      </c>
      <c r="C58" s="551"/>
      <c r="D58" s="551"/>
      <c r="E58" s="551"/>
      <c r="F58" s="551"/>
      <c r="G58" s="551"/>
      <c r="H58" s="551"/>
      <c r="I58" s="552"/>
      <c r="J58" s="364" t="str">
        <f>VLOOKUP(A58,Materiales!$A$4:$D$141,3,0)</f>
        <v>GALON</v>
      </c>
      <c r="K58" s="369">
        <v>0.27500000000000002</v>
      </c>
      <c r="L58" s="553">
        <f>VLOOKUP(A58,Materiales!$A$4:$D$141,4,0)</f>
        <v>59020</v>
      </c>
      <c r="M58" s="554"/>
      <c r="N58" s="163">
        <f t="shared" si="1"/>
        <v>16230.500000000002</v>
      </c>
    </row>
    <row r="59" spans="1:14">
      <c r="A59" s="350" t="s">
        <v>351</v>
      </c>
      <c r="B59" s="550" t="str">
        <f>VLOOKUP(A59,Materiales!$A$4:$D$141,2,0)</f>
        <v>SOLDADURA</v>
      </c>
      <c r="C59" s="551"/>
      <c r="D59" s="551"/>
      <c r="E59" s="551"/>
      <c r="F59" s="551"/>
      <c r="G59" s="551"/>
      <c r="H59" s="551"/>
      <c r="I59" s="552"/>
      <c r="J59" s="364" t="str">
        <f>VLOOKUP(A59,Materiales!$A$4:$D$141,3,0)</f>
        <v>KG</v>
      </c>
      <c r="K59" s="369">
        <v>2.5</v>
      </c>
      <c r="L59" s="553">
        <f>VLOOKUP(A59,Materiales!$A$4:$D$141,4,0)</f>
        <v>7210</v>
      </c>
      <c r="M59" s="554"/>
      <c r="N59" s="163">
        <f t="shared" si="1"/>
        <v>18025</v>
      </c>
    </row>
    <row r="60" spans="1:14">
      <c r="A60" s="350" t="s">
        <v>352</v>
      </c>
      <c r="B60" s="550" t="str">
        <f>VLOOKUP(A60,Materiales!$A$4:$D$141,2,0)</f>
        <v>CONCRETO CLASE E</v>
      </c>
      <c r="C60" s="551"/>
      <c r="D60" s="551"/>
      <c r="E60" s="551"/>
      <c r="F60" s="551"/>
      <c r="G60" s="551"/>
      <c r="H60" s="551"/>
      <c r="I60" s="552"/>
      <c r="J60" s="364" t="str">
        <f>VLOOKUP(A60,Materiales!$A$4:$D$141,3,0)</f>
        <v>M3</v>
      </c>
      <c r="K60" s="369">
        <v>0.5</v>
      </c>
      <c r="L60" s="553">
        <f>VLOOKUP(A60,Materiales!$A$4:$D$141,4,0)</f>
        <v>463800</v>
      </c>
      <c r="M60" s="554"/>
      <c r="N60" s="163">
        <f t="shared" si="1"/>
        <v>231900</v>
      </c>
    </row>
    <row r="61" spans="1:14" ht="13.5" thickBot="1">
      <c r="B61" s="540"/>
      <c r="C61" s="541"/>
      <c r="D61" s="541"/>
      <c r="E61" s="541"/>
      <c r="F61" s="541"/>
      <c r="G61" s="541"/>
      <c r="H61" s="541"/>
      <c r="I61" s="621"/>
      <c r="J61" s="195"/>
      <c r="K61" s="169"/>
      <c r="L61" s="660"/>
      <c r="M61" s="661"/>
      <c r="N61" s="163"/>
    </row>
    <row r="62" spans="1:14" ht="14.25" thickBot="1">
      <c r="B62" s="524" t="s">
        <v>469</v>
      </c>
      <c r="C62" s="525"/>
      <c r="D62" s="525"/>
      <c r="E62" s="525"/>
      <c r="F62" s="525"/>
      <c r="G62" s="525"/>
      <c r="H62" s="525"/>
      <c r="I62" s="525"/>
      <c r="J62" s="525"/>
      <c r="K62" s="525"/>
      <c r="L62" s="525"/>
      <c r="M62" s="526"/>
      <c r="N62" s="171">
        <f>SUM(N52:N61)</f>
        <v>892789.2</v>
      </c>
    </row>
    <row r="63" spans="1:14">
      <c r="B63" s="574" t="s">
        <v>89</v>
      </c>
      <c r="C63" s="575"/>
      <c r="D63" s="575"/>
      <c r="E63" s="575"/>
      <c r="F63" s="575"/>
      <c r="G63" s="575"/>
      <c r="H63" s="575"/>
      <c r="I63" s="575"/>
      <c r="J63" s="575"/>
      <c r="K63" s="575"/>
      <c r="L63" s="575"/>
      <c r="M63" s="575"/>
      <c r="N63" s="576"/>
    </row>
    <row r="64" spans="1:14">
      <c r="B64" s="577" t="s">
        <v>89</v>
      </c>
      <c r="C64" s="578"/>
      <c r="D64" s="578"/>
      <c r="E64" s="578"/>
      <c r="F64" s="578"/>
      <c r="G64" s="578"/>
      <c r="H64" s="578"/>
      <c r="I64" s="578"/>
      <c r="J64" s="578"/>
      <c r="K64" s="578"/>
      <c r="L64" s="578"/>
      <c r="M64" s="578"/>
      <c r="N64" s="579"/>
    </row>
    <row r="65" spans="1:14" ht="13.5" thickBot="1">
      <c r="B65" s="580"/>
      <c r="C65" s="581"/>
      <c r="D65" s="581"/>
      <c r="E65" s="581"/>
      <c r="F65" s="581"/>
      <c r="G65" s="581"/>
      <c r="H65" s="581"/>
      <c r="I65" s="581"/>
      <c r="J65" s="581"/>
      <c r="K65" s="581"/>
      <c r="L65" s="581"/>
      <c r="M65" s="581"/>
      <c r="N65" s="582"/>
    </row>
    <row r="66" spans="1:14" ht="13.5">
      <c r="B66" s="536" t="s">
        <v>141</v>
      </c>
      <c r="C66" s="537"/>
      <c r="D66" s="537"/>
      <c r="E66" s="537"/>
      <c r="F66" s="537"/>
      <c r="G66" s="537"/>
      <c r="H66" s="537"/>
      <c r="I66" s="237" t="s">
        <v>142</v>
      </c>
      <c r="J66" s="240" t="s">
        <v>143</v>
      </c>
      <c r="K66" s="241" t="s">
        <v>248</v>
      </c>
      <c r="L66" s="538" t="s">
        <v>17</v>
      </c>
      <c r="M66" s="539"/>
      <c r="N66" s="238" t="s">
        <v>140</v>
      </c>
    </row>
    <row r="67" spans="1:14">
      <c r="B67" s="540" t="s">
        <v>493</v>
      </c>
      <c r="C67" s="541"/>
      <c r="D67" s="541"/>
      <c r="E67" s="541"/>
      <c r="F67" s="541"/>
      <c r="G67" s="541"/>
      <c r="H67" s="541"/>
      <c r="I67" s="205"/>
      <c r="J67" s="209"/>
      <c r="K67" s="205"/>
      <c r="L67" s="553">
        <v>300000</v>
      </c>
      <c r="M67" s="554"/>
      <c r="N67" s="297">
        <f>+L67</f>
        <v>300000</v>
      </c>
    </row>
    <row r="68" spans="1:14" ht="13.5" thickBot="1">
      <c r="B68" s="624"/>
      <c r="C68" s="625"/>
      <c r="D68" s="625"/>
      <c r="E68" s="625"/>
      <c r="F68" s="625"/>
      <c r="G68" s="625"/>
      <c r="H68" s="625"/>
      <c r="I68" s="173"/>
      <c r="J68" s="161"/>
      <c r="K68" s="173"/>
      <c r="L68" s="534"/>
      <c r="M68" s="535"/>
      <c r="N68" s="210"/>
    </row>
    <row r="69" spans="1:14" ht="14.25" thickBot="1">
      <c r="B69" s="524" t="s">
        <v>469</v>
      </c>
      <c r="C69" s="525"/>
      <c r="D69" s="525"/>
      <c r="E69" s="525"/>
      <c r="F69" s="525"/>
      <c r="G69" s="525"/>
      <c r="H69" s="525"/>
      <c r="I69" s="525"/>
      <c r="J69" s="525"/>
      <c r="K69" s="525"/>
      <c r="L69" s="525"/>
      <c r="M69" s="526"/>
      <c r="N69" s="164">
        <f>SUM(N67:N68)</f>
        <v>300000</v>
      </c>
    </row>
    <row r="70" spans="1:14">
      <c r="B70" s="574" t="s">
        <v>90</v>
      </c>
      <c r="C70" s="575"/>
      <c r="D70" s="575"/>
      <c r="E70" s="575"/>
      <c r="F70" s="575"/>
      <c r="G70" s="575"/>
      <c r="H70" s="575"/>
      <c r="I70" s="575"/>
      <c r="J70" s="575"/>
      <c r="K70" s="575"/>
      <c r="L70" s="575"/>
      <c r="M70" s="575"/>
      <c r="N70" s="576"/>
    </row>
    <row r="71" spans="1:14">
      <c r="B71" s="577" t="s">
        <v>90</v>
      </c>
      <c r="C71" s="578"/>
      <c r="D71" s="578"/>
      <c r="E71" s="578"/>
      <c r="F71" s="578"/>
      <c r="G71" s="578"/>
      <c r="H71" s="578"/>
      <c r="I71" s="578"/>
      <c r="J71" s="578"/>
      <c r="K71" s="578"/>
      <c r="L71" s="578"/>
      <c r="M71" s="578"/>
      <c r="N71" s="579"/>
    </row>
    <row r="72" spans="1:14" ht="13.5" thickBot="1">
      <c r="B72" s="580"/>
      <c r="C72" s="581"/>
      <c r="D72" s="581"/>
      <c r="E72" s="581"/>
      <c r="F72" s="581"/>
      <c r="G72" s="581"/>
      <c r="H72" s="581"/>
      <c r="I72" s="581"/>
      <c r="J72" s="581"/>
      <c r="K72" s="581"/>
      <c r="L72" s="581"/>
      <c r="M72" s="581"/>
      <c r="N72" s="582"/>
    </row>
    <row r="73" spans="1:14" ht="13.5">
      <c r="B73" s="536" t="s">
        <v>144</v>
      </c>
      <c r="C73" s="537"/>
      <c r="D73" s="537"/>
      <c r="E73" s="537"/>
      <c r="F73" s="537"/>
      <c r="G73" s="537"/>
      <c r="H73" s="237" t="s">
        <v>101</v>
      </c>
      <c r="I73" s="237" t="s">
        <v>145</v>
      </c>
      <c r="J73" s="240" t="s">
        <v>84</v>
      </c>
      <c r="K73" s="241" t="s">
        <v>146</v>
      </c>
      <c r="L73" s="538" t="s">
        <v>136</v>
      </c>
      <c r="M73" s="539"/>
      <c r="N73" s="238" t="s">
        <v>140</v>
      </c>
    </row>
    <row r="74" spans="1:14">
      <c r="A74" s="113" t="s">
        <v>441</v>
      </c>
      <c r="B74" s="550" t="str">
        <f>VLOOKUP(A74,'Mano de Obra'!$A$4:$E$80,2,1)</f>
        <v>CORTADOR</v>
      </c>
      <c r="C74" s="551"/>
      <c r="D74" s="551"/>
      <c r="E74" s="551"/>
      <c r="F74" s="551"/>
      <c r="G74" s="552"/>
      <c r="H74" s="176">
        <v>1</v>
      </c>
      <c r="I74" s="302">
        <f>VLOOKUP(A74,'Mano de Obra'!$A$4:$E$80,3,0)</f>
        <v>72000</v>
      </c>
      <c r="J74" s="177">
        <f>VLOOKUP(A74,'Mano de Obra'!$A$4:$E$80,4,0)</f>
        <v>1.85</v>
      </c>
      <c r="K74" s="307">
        <f>+H74*I74*J74</f>
        <v>133200</v>
      </c>
      <c r="L74" s="529">
        <v>3</v>
      </c>
      <c r="M74" s="530"/>
      <c r="N74" s="326">
        <f>+K74/L74</f>
        <v>44400</v>
      </c>
    </row>
    <row r="75" spans="1:14">
      <c r="A75" s="113" t="s">
        <v>442</v>
      </c>
      <c r="B75" s="550" t="str">
        <f>VLOOKUP(A75,'Mano de Obra'!$A$4:$E$80,2,1)</f>
        <v>SOLDADOR</v>
      </c>
      <c r="C75" s="551"/>
      <c r="D75" s="551"/>
      <c r="E75" s="551"/>
      <c r="F75" s="551"/>
      <c r="G75" s="552"/>
      <c r="H75" s="176">
        <v>1</v>
      </c>
      <c r="I75" s="302">
        <f>VLOOKUP(A75,'Mano de Obra'!$A$4:$E$80,3,0)</f>
        <v>88000</v>
      </c>
      <c r="J75" s="177">
        <f>VLOOKUP(A75,'Mano de Obra'!$A$4:$E$80,4,0)</f>
        <v>1.85</v>
      </c>
      <c r="K75" s="307">
        <f t="shared" ref="K75:K80" si="2">+H75*I75*J75</f>
        <v>162800</v>
      </c>
      <c r="L75" s="529">
        <v>3</v>
      </c>
      <c r="M75" s="530"/>
      <c r="N75" s="326">
        <f t="shared" ref="N75:N80" si="3">+K75/L75</f>
        <v>54266.666666666664</v>
      </c>
    </row>
    <row r="76" spans="1:14">
      <c r="A76" s="113" t="s">
        <v>443</v>
      </c>
      <c r="B76" s="550" t="str">
        <f>VLOOKUP(A76,'Mano de Obra'!$A$4:$E$80,2,1)</f>
        <v>PINTOR</v>
      </c>
      <c r="C76" s="551"/>
      <c r="D76" s="551"/>
      <c r="E76" s="551"/>
      <c r="F76" s="551"/>
      <c r="G76" s="552"/>
      <c r="H76" s="176">
        <v>1</v>
      </c>
      <c r="I76" s="302">
        <f>VLOOKUP(A76,'Mano de Obra'!$A$4:$E$80,3,0)</f>
        <v>72000</v>
      </c>
      <c r="J76" s="177">
        <f>VLOOKUP(A76,'Mano de Obra'!$A$4:$E$80,4,0)</f>
        <v>1.85</v>
      </c>
      <c r="K76" s="307">
        <f t="shared" si="2"/>
        <v>133200</v>
      </c>
      <c r="L76" s="637">
        <v>3</v>
      </c>
      <c r="M76" s="638"/>
      <c r="N76" s="326">
        <f t="shared" si="3"/>
        <v>44400</v>
      </c>
    </row>
    <row r="77" spans="1:14">
      <c r="A77" s="113" t="s">
        <v>444</v>
      </c>
      <c r="B77" s="550" t="str">
        <f>VLOOKUP(A77,'Mano de Obra'!$A$4:$E$80,2,1)</f>
        <v>LAMINADOR</v>
      </c>
      <c r="C77" s="551"/>
      <c r="D77" s="551"/>
      <c r="E77" s="551"/>
      <c r="F77" s="551"/>
      <c r="G77" s="552"/>
      <c r="H77" s="176">
        <v>1</v>
      </c>
      <c r="I77" s="302">
        <f>VLOOKUP(A77,'Mano de Obra'!$A$4:$E$80,3,0)</f>
        <v>72000</v>
      </c>
      <c r="J77" s="177">
        <f>VLOOKUP(A77,'Mano de Obra'!$A$4:$E$80,4,0)</f>
        <v>1.85</v>
      </c>
      <c r="K77" s="307">
        <f t="shared" si="2"/>
        <v>133200</v>
      </c>
      <c r="L77" s="529">
        <v>3</v>
      </c>
      <c r="M77" s="530"/>
      <c r="N77" s="326">
        <f t="shared" si="3"/>
        <v>44400</v>
      </c>
    </row>
    <row r="78" spans="1:14">
      <c r="A78" s="113" t="s">
        <v>445</v>
      </c>
      <c r="B78" s="550" t="str">
        <f>VLOOKUP(A78,'Mano de Obra'!$A$4:$E$80,2,1)</f>
        <v>SERIGRAFISTA</v>
      </c>
      <c r="C78" s="551"/>
      <c r="D78" s="551"/>
      <c r="E78" s="551"/>
      <c r="F78" s="551"/>
      <c r="G78" s="552"/>
      <c r="H78" s="176">
        <v>1</v>
      </c>
      <c r="I78" s="302">
        <f>VLOOKUP(A78,'Mano de Obra'!$A$4:$E$80,3,0)</f>
        <v>72000</v>
      </c>
      <c r="J78" s="177">
        <f>VLOOKUP(A78,'Mano de Obra'!$A$4:$E$80,4,0)</f>
        <v>1.85</v>
      </c>
      <c r="K78" s="307">
        <f t="shared" si="2"/>
        <v>133200</v>
      </c>
      <c r="L78" s="529">
        <v>3</v>
      </c>
      <c r="M78" s="530"/>
      <c r="N78" s="326">
        <f t="shared" si="3"/>
        <v>44400</v>
      </c>
    </row>
    <row r="79" spans="1:14">
      <c r="A79" s="113" t="s">
        <v>446</v>
      </c>
      <c r="B79" s="550" t="str">
        <f>VLOOKUP(A79,'Mano de Obra'!$A$4:$E$80,2,1)</f>
        <v>AYUDANTE</v>
      </c>
      <c r="C79" s="551"/>
      <c r="D79" s="551"/>
      <c r="E79" s="551"/>
      <c r="F79" s="551"/>
      <c r="G79" s="552"/>
      <c r="H79" s="176">
        <v>2</v>
      </c>
      <c r="I79" s="302">
        <f>VLOOKUP(A79,'Mano de Obra'!$A$4:$E$80,3,0)</f>
        <v>28000</v>
      </c>
      <c r="J79" s="177">
        <f>VLOOKUP(A79,'Mano de Obra'!$A$4:$E$80,4,0)</f>
        <v>1.85</v>
      </c>
      <c r="K79" s="307">
        <f t="shared" si="2"/>
        <v>103600</v>
      </c>
      <c r="L79" s="637">
        <v>3</v>
      </c>
      <c r="M79" s="638"/>
      <c r="N79" s="326">
        <f t="shared" si="3"/>
        <v>34533.333333333336</v>
      </c>
    </row>
    <row r="80" spans="1:14">
      <c r="A80" s="113" t="s">
        <v>447</v>
      </c>
      <c r="B80" s="550" t="str">
        <f>VLOOKUP(A80,'Mano de Obra'!$A$4:$E$80,2,1)</f>
        <v>CUADRILLA DE INSTALÑACIÓN (3)</v>
      </c>
      <c r="C80" s="551"/>
      <c r="D80" s="551"/>
      <c r="E80" s="551"/>
      <c r="F80" s="551"/>
      <c r="G80" s="552"/>
      <c r="H80" s="176">
        <v>1</v>
      </c>
      <c r="I80" s="302">
        <f>VLOOKUP(A80,'Mano de Obra'!$A$4:$E$80,3,0)</f>
        <v>83000</v>
      </c>
      <c r="J80" s="177">
        <f>VLOOKUP(A80,'Mano de Obra'!$A$4:$E$80,4,0)</f>
        <v>1.85</v>
      </c>
      <c r="K80" s="307">
        <f t="shared" si="2"/>
        <v>153550</v>
      </c>
      <c r="L80" s="529">
        <v>3</v>
      </c>
      <c r="M80" s="530"/>
      <c r="N80" s="326">
        <f t="shared" si="3"/>
        <v>51183.333333333336</v>
      </c>
    </row>
    <row r="81" spans="2:14">
      <c r="B81" s="550"/>
      <c r="C81" s="551"/>
      <c r="D81" s="551"/>
      <c r="E81" s="551"/>
      <c r="F81" s="551"/>
      <c r="G81" s="552"/>
      <c r="H81" s="176"/>
      <c r="I81" s="302"/>
      <c r="J81" s="177"/>
      <c r="K81" s="178"/>
      <c r="L81" s="637"/>
      <c r="M81" s="638"/>
      <c r="N81" s="179"/>
    </row>
    <row r="82" spans="2:14" ht="13.5" thickBot="1">
      <c r="B82" s="550"/>
      <c r="C82" s="551"/>
      <c r="D82" s="551"/>
      <c r="E82" s="551"/>
      <c r="F82" s="551"/>
      <c r="G82" s="552"/>
      <c r="H82" s="173"/>
      <c r="I82" s="309"/>
      <c r="J82" s="161"/>
      <c r="K82" s="173"/>
      <c r="L82" s="534"/>
      <c r="M82" s="535"/>
      <c r="N82" s="180"/>
    </row>
    <row r="83" spans="2:14" ht="14.25" thickBot="1">
      <c r="B83" s="524" t="s">
        <v>469</v>
      </c>
      <c r="C83" s="525"/>
      <c r="D83" s="525"/>
      <c r="E83" s="525"/>
      <c r="F83" s="525"/>
      <c r="G83" s="525"/>
      <c r="H83" s="525"/>
      <c r="I83" s="525"/>
      <c r="J83" s="525"/>
      <c r="K83" s="525"/>
      <c r="L83" s="525"/>
      <c r="M83" s="526"/>
      <c r="N83" s="319">
        <f>SUM(N74:N82)</f>
        <v>317583.33333333331</v>
      </c>
    </row>
    <row r="84" spans="2:14" ht="13.5" thickBot="1">
      <c r="B84" s="15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0"/>
      <c r="N84" s="147"/>
    </row>
    <row r="85" spans="2:14" ht="13.5" thickBot="1">
      <c r="B85" s="531" t="s">
        <v>470</v>
      </c>
      <c r="C85" s="532"/>
      <c r="D85" s="532"/>
      <c r="E85" s="532"/>
      <c r="F85" s="532"/>
      <c r="G85" s="532"/>
      <c r="H85" s="532"/>
      <c r="I85" s="532"/>
      <c r="J85" s="532"/>
      <c r="K85" s="532"/>
      <c r="L85" s="532"/>
      <c r="M85" s="533"/>
      <c r="N85" s="328">
        <f>+N83+N69+N62+N47</f>
        <v>1728532.5333333332</v>
      </c>
    </row>
    <row r="86" spans="2:14">
      <c r="B86" s="574" t="s">
        <v>91</v>
      </c>
      <c r="C86" s="575"/>
      <c r="D86" s="575"/>
      <c r="E86" s="575"/>
      <c r="F86" s="575"/>
      <c r="G86" s="575"/>
      <c r="H86" s="575"/>
      <c r="I86" s="575"/>
      <c r="J86" s="575"/>
      <c r="K86" s="575"/>
      <c r="L86" s="575"/>
      <c r="M86" s="575"/>
      <c r="N86" s="576"/>
    </row>
    <row r="87" spans="2:14">
      <c r="B87" s="577" t="s">
        <v>91</v>
      </c>
      <c r="C87" s="578"/>
      <c r="D87" s="578"/>
      <c r="E87" s="578"/>
      <c r="F87" s="578"/>
      <c r="G87" s="578"/>
      <c r="H87" s="578"/>
      <c r="I87" s="578"/>
      <c r="J87" s="578"/>
      <c r="K87" s="578"/>
      <c r="L87" s="578"/>
      <c r="M87" s="578"/>
      <c r="N87" s="579"/>
    </row>
    <row r="88" spans="2:14" ht="13.5" thickBot="1">
      <c r="B88" s="580"/>
      <c r="C88" s="581"/>
      <c r="D88" s="581"/>
      <c r="E88" s="581"/>
      <c r="F88" s="581"/>
      <c r="G88" s="581"/>
      <c r="H88" s="581"/>
      <c r="I88" s="581"/>
      <c r="J88" s="581"/>
      <c r="K88" s="581"/>
      <c r="L88" s="581"/>
      <c r="M88" s="581"/>
      <c r="N88" s="582"/>
    </row>
    <row r="89" spans="2:14" ht="13.5">
      <c r="B89" s="536" t="s">
        <v>88</v>
      </c>
      <c r="C89" s="537"/>
      <c r="D89" s="537"/>
      <c r="E89" s="537"/>
      <c r="F89" s="537"/>
      <c r="G89" s="537"/>
      <c r="H89" s="537"/>
      <c r="I89" s="240"/>
      <c r="J89" s="246"/>
      <c r="K89" s="243" t="s">
        <v>92</v>
      </c>
      <c r="L89" s="527" t="s">
        <v>93</v>
      </c>
      <c r="M89" s="528"/>
      <c r="N89" s="244"/>
    </row>
    <row r="90" spans="2:14">
      <c r="B90" s="540" t="s">
        <v>82</v>
      </c>
      <c r="C90" s="541"/>
      <c r="D90" s="541"/>
      <c r="E90" s="541"/>
      <c r="F90" s="541"/>
      <c r="G90" s="541"/>
      <c r="H90" s="541"/>
      <c r="I90" s="182"/>
      <c r="J90" s="183"/>
      <c r="K90" s="251">
        <v>0.25</v>
      </c>
      <c r="L90" s="639">
        <f>+N85*K90</f>
        <v>432133.1333333333</v>
      </c>
      <c r="M90" s="640"/>
      <c r="N90" s="184"/>
    </row>
    <row r="91" spans="2:14">
      <c r="B91" s="185" t="s">
        <v>94</v>
      </c>
      <c r="C91" s="186"/>
      <c r="D91" s="186"/>
      <c r="E91" s="186"/>
      <c r="F91" s="186"/>
      <c r="G91" s="186"/>
      <c r="H91" s="186"/>
      <c r="I91" s="182"/>
      <c r="J91" s="183"/>
      <c r="K91" s="251">
        <v>0.05</v>
      </c>
      <c r="L91" s="639">
        <f>+N85*K91</f>
        <v>86426.626666666663</v>
      </c>
      <c r="M91" s="640"/>
      <c r="N91" s="184"/>
    </row>
    <row r="92" spans="2:14" ht="13.5" thickBot="1">
      <c r="B92" s="187" t="s">
        <v>83</v>
      </c>
      <c r="C92" s="188"/>
      <c r="D92" s="188"/>
      <c r="E92" s="188"/>
      <c r="F92" s="188"/>
      <c r="G92" s="188"/>
      <c r="H92" s="188"/>
      <c r="I92" s="189"/>
      <c r="J92" s="190"/>
      <c r="K92" s="251">
        <v>0.05</v>
      </c>
      <c r="L92" s="641">
        <f>+N85*K92</f>
        <v>86426.626666666663</v>
      </c>
      <c r="M92" s="642"/>
      <c r="N92" s="184"/>
    </row>
    <row r="93" spans="2:14" ht="14.25" thickBot="1">
      <c r="B93" s="524" t="s">
        <v>469</v>
      </c>
      <c r="C93" s="525"/>
      <c r="D93" s="525"/>
      <c r="E93" s="525"/>
      <c r="F93" s="525"/>
      <c r="G93" s="525"/>
      <c r="H93" s="525"/>
      <c r="I93" s="525"/>
      <c r="J93" s="525"/>
      <c r="K93" s="525"/>
      <c r="L93" s="525"/>
      <c r="M93" s="526"/>
      <c r="N93" s="191">
        <f>SUM(L90:M92)</f>
        <v>604986.3866666666</v>
      </c>
    </row>
    <row r="94" spans="2:14" ht="13.5" thickBot="1">
      <c r="B94" s="159"/>
      <c r="C94" s="140"/>
      <c r="D94" s="140"/>
      <c r="E94" s="140"/>
      <c r="F94" s="140"/>
      <c r="G94" s="140"/>
      <c r="H94" s="140"/>
      <c r="I94" s="140"/>
      <c r="J94" s="140"/>
      <c r="K94" s="140"/>
      <c r="L94" s="140"/>
      <c r="M94" s="140"/>
      <c r="N94" s="147"/>
    </row>
    <row r="95" spans="2:14" ht="13.5" thickBot="1">
      <c r="B95" s="531" t="s">
        <v>471</v>
      </c>
      <c r="C95" s="532"/>
      <c r="D95" s="532"/>
      <c r="E95" s="532"/>
      <c r="F95" s="532"/>
      <c r="G95" s="532"/>
      <c r="H95" s="532"/>
      <c r="I95" s="532"/>
      <c r="J95" s="532"/>
      <c r="K95" s="532"/>
      <c r="L95" s="532"/>
      <c r="M95" s="533"/>
      <c r="N95" s="247">
        <f>ROUND(N85+N93,0)</f>
        <v>2333519</v>
      </c>
    </row>
    <row r="96" spans="2:14">
      <c r="B96" s="138"/>
      <c r="C96" s="139"/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41"/>
    </row>
    <row r="97" spans="2:14">
      <c r="B97" s="159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7"/>
    </row>
    <row r="98" spans="2:14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>
      <c r="B99" s="159"/>
      <c r="C99" s="140"/>
      <c r="D99" s="140"/>
      <c r="E99" s="140"/>
      <c r="F99" s="140"/>
      <c r="G99" s="145" t="str">
        <f>+'SV-01'!$G$96</f>
        <v>Firma</v>
      </c>
      <c r="H99" s="145"/>
      <c r="I99" s="145"/>
      <c r="J99" s="145"/>
      <c r="K99" s="140"/>
      <c r="L99" s="140"/>
      <c r="M99" s="140"/>
      <c r="N99" s="147"/>
    </row>
    <row r="100" spans="2:14" ht="13.5">
      <c r="B100" s="192"/>
      <c r="C100" s="193"/>
      <c r="D100" s="193"/>
      <c r="E100" s="193"/>
      <c r="F100" s="193"/>
      <c r="G100" s="145" t="str">
        <f>+'SV-01'!$G$97</f>
        <v>Nombre:</v>
      </c>
      <c r="H100" s="193"/>
      <c r="I100" s="193"/>
      <c r="J100" s="193"/>
      <c r="K100" s="193"/>
      <c r="L100" s="193"/>
      <c r="M100" s="193"/>
      <c r="N100" s="194"/>
    </row>
    <row r="101" spans="2:14" ht="13.5">
      <c r="B101" s="192"/>
      <c r="C101" s="193"/>
      <c r="D101" s="193"/>
      <c r="E101" s="193"/>
      <c r="F101" s="193"/>
      <c r="G101" s="145" t="str">
        <f>+'SV-01'!$G$98</f>
        <v>Representante Legal del Contratista o su Apoderado</v>
      </c>
      <c r="J101" s="193"/>
      <c r="K101" s="193"/>
      <c r="L101" s="193"/>
      <c r="M101" s="193"/>
      <c r="N101" s="194"/>
    </row>
    <row r="102" spans="2:14">
      <c r="B102" s="123"/>
      <c r="C102" s="155"/>
      <c r="D102" s="155"/>
      <c r="E102" s="155"/>
      <c r="F102" s="155"/>
      <c r="G102" s="145" t="str">
        <f>+'SV-01'!$G$99</f>
        <v>Matricula No. :</v>
      </c>
      <c r="H102" s="155"/>
      <c r="I102" s="155"/>
      <c r="J102" s="155"/>
      <c r="K102" s="155"/>
      <c r="L102" s="155"/>
      <c r="M102" s="155"/>
      <c r="N102" s="153"/>
    </row>
    <row r="103" spans="2:14">
      <c r="B103" s="159"/>
      <c r="C103" s="140"/>
      <c r="D103" s="140"/>
      <c r="E103" s="140"/>
      <c r="F103" s="140"/>
      <c r="G103" s="140" t="s">
        <v>206</v>
      </c>
      <c r="H103" s="140"/>
      <c r="I103" s="140"/>
      <c r="J103" s="140"/>
      <c r="K103" s="140"/>
      <c r="L103" s="140"/>
      <c r="M103" s="140"/>
      <c r="N103" s="147"/>
    </row>
    <row r="104" spans="2:14" ht="13.5">
      <c r="B104" s="165" t="str">
        <f>+'SV-01'!$B$101</f>
        <v>OBSERVACIONES INTERVENTORÍA</v>
      </c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7"/>
    </row>
    <row r="105" spans="2:14">
      <c r="B105" s="544"/>
      <c r="C105" s="545"/>
      <c r="D105" s="545"/>
      <c r="E105" s="545"/>
      <c r="F105" s="545"/>
      <c r="G105" s="545"/>
      <c r="H105" s="545"/>
      <c r="I105" s="545"/>
      <c r="J105" s="545"/>
      <c r="K105" s="545"/>
      <c r="L105" s="545"/>
      <c r="M105" s="545"/>
      <c r="N105" s="546"/>
    </row>
    <row r="106" spans="2:14">
      <c r="B106" s="547"/>
      <c r="C106" s="548"/>
      <c r="D106" s="548"/>
      <c r="E106" s="548"/>
      <c r="F106" s="548"/>
      <c r="G106" s="548"/>
      <c r="H106" s="548"/>
      <c r="I106" s="548"/>
      <c r="J106" s="548"/>
      <c r="K106" s="548"/>
      <c r="L106" s="548"/>
      <c r="M106" s="548"/>
      <c r="N106" s="549"/>
    </row>
    <row r="107" spans="2:14">
      <c r="B107" s="123"/>
      <c r="C107" s="155"/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3"/>
    </row>
    <row r="108" spans="2:14">
      <c r="B108" s="159"/>
      <c r="C108" s="140"/>
      <c r="D108" s="140"/>
      <c r="E108" s="140"/>
      <c r="F108" s="140"/>
      <c r="G108" s="145" t="str">
        <f>+'SV-01'!$G$105</f>
        <v>Firma</v>
      </c>
      <c r="H108" s="140"/>
      <c r="I108" s="140"/>
      <c r="J108" s="140"/>
      <c r="K108" s="140"/>
      <c r="L108" s="140"/>
      <c r="M108" s="140"/>
      <c r="N108" s="147"/>
    </row>
    <row r="109" spans="2:14">
      <c r="B109" s="159"/>
      <c r="C109" s="140"/>
      <c r="D109" s="140"/>
      <c r="E109" s="140"/>
      <c r="F109" s="140"/>
      <c r="G109" s="140" t="str">
        <f>+'SV-01'!$G$106</f>
        <v>Nombre:</v>
      </c>
      <c r="H109" s="160"/>
      <c r="I109" s="160"/>
      <c r="J109" s="160"/>
      <c r="K109" s="140"/>
      <c r="L109" s="140"/>
      <c r="M109" s="140"/>
      <c r="N109" s="147"/>
    </row>
    <row r="110" spans="2:14">
      <c r="B110" s="159"/>
      <c r="C110" s="140"/>
      <c r="D110" s="140"/>
      <c r="E110" s="140"/>
      <c r="F110" s="140"/>
      <c r="G110" s="140" t="str">
        <f>+'SV-01'!$G$107</f>
        <v>Representante Legal del Interventor o su Apoderado</v>
      </c>
      <c r="H110" s="154"/>
      <c r="I110" s="154"/>
      <c r="J110" s="154"/>
      <c r="M110" s="140"/>
      <c r="N110" s="147"/>
    </row>
    <row r="111" spans="2:14">
      <c r="B111" s="196"/>
      <c r="C111" s="155"/>
      <c r="D111" s="155"/>
      <c r="E111" s="155"/>
      <c r="F111" s="155"/>
      <c r="G111" s="140" t="str">
        <f>+'SV-01'!$G$108</f>
        <v>Matricula No. :</v>
      </c>
      <c r="K111" s="155"/>
      <c r="L111" s="155"/>
      <c r="M111" s="155"/>
      <c r="N111" s="153"/>
    </row>
    <row r="112" spans="2:14" ht="12.75" customHeight="1">
      <c r="B112" s="199" t="str">
        <f>+'SV-01'!$B$109</f>
        <v xml:space="preserve">Original: Archivo de Gestión Contractual ( Subdirecciòn Administrativa) </v>
      </c>
      <c r="C112" s="197"/>
      <c r="D112" s="197"/>
      <c r="E112" s="140"/>
      <c r="F112" s="140"/>
      <c r="G112" s="140"/>
      <c r="H112" s="140"/>
      <c r="I112" s="140"/>
      <c r="J112" s="515"/>
      <c r="K112" s="515"/>
      <c r="L112" s="515"/>
      <c r="M112" s="515"/>
      <c r="N112" s="516"/>
    </row>
    <row r="113" spans="2:14" ht="12.75" customHeight="1">
      <c r="B113" s="199" t="str">
        <f>+'SV-01'!$B$110</f>
        <v>Copias : Unidad Ejecutora,  Contratista, Interventor y Dirección Territorial.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3.5" customHeight="1" thickBot="1">
      <c r="B114" s="519"/>
      <c r="C114" s="520"/>
      <c r="D114" s="520"/>
      <c r="E114" s="161"/>
      <c r="F114" s="161"/>
      <c r="G114" s="161"/>
      <c r="H114" s="161"/>
      <c r="I114" s="161"/>
      <c r="J114" s="517"/>
      <c r="K114" s="517"/>
      <c r="L114" s="517"/>
      <c r="M114" s="517"/>
      <c r="N114" s="518"/>
    </row>
  </sheetData>
  <mergeCells count="126">
    <mergeCell ref="B45:H45"/>
    <mergeCell ref="B42:H42"/>
    <mergeCell ref="B43:H43"/>
    <mergeCell ref="B39:H39"/>
    <mergeCell ref="B40:H40"/>
    <mergeCell ref="B41:H41"/>
    <mergeCell ref="B82:G82"/>
    <mergeCell ref="B78:G78"/>
    <mergeCell ref="L78:M78"/>
    <mergeCell ref="B79:G79"/>
    <mergeCell ref="L79:M79"/>
    <mergeCell ref="L57:M57"/>
    <mergeCell ref="B73:G73"/>
    <mergeCell ref="B74:G74"/>
    <mergeCell ref="B80:G80"/>
    <mergeCell ref="B81:G81"/>
    <mergeCell ref="B75:G75"/>
    <mergeCell ref="L75:M75"/>
    <mergeCell ref="B76:G76"/>
    <mergeCell ref="L76:M76"/>
    <mergeCell ref="B77:G77"/>
    <mergeCell ref="L77:M77"/>
    <mergeCell ref="B58:I58"/>
    <mergeCell ref="L58:M58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I38:J38"/>
    <mergeCell ref="L38:M38"/>
    <mergeCell ref="L44:M44"/>
    <mergeCell ref="I44:J44"/>
    <mergeCell ref="I42:J42"/>
    <mergeCell ref="L42:M42"/>
    <mergeCell ref="L43:M43"/>
    <mergeCell ref="I39:J39"/>
    <mergeCell ref="L39:M39"/>
    <mergeCell ref="L40:M40"/>
    <mergeCell ref="I41:J41"/>
    <mergeCell ref="L41:M41"/>
    <mergeCell ref="B37:H37"/>
    <mergeCell ref="B38:H38"/>
    <mergeCell ref="B44:H44"/>
    <mergeCell ref="I46:J46"/>
    <mergeCell ref="L46:M46"/>
    <mergeCell ref="B47:M47"/>
    <mergeCell ref="B51:I51"/>
    <mergeCell ref="L51:M51"/>
    <mergeCell ref="B52:I52"/>
    <mergeCell ref="L52:M52"/>
    <mergeCell ref="B48:N50"/>
    <mergeCell ref="B46:H46"/>
    <mergeCell ref="L68:M68"/>
    <mergeCell ref="B69:M69"/>
    <mergeCell ref="L73:M73"/>
    <mergeCell ref="L74:M74"/>
    <mergeCell ref="L80:M80"/>
    <mergeCell ref="B63:N65"/>
    <mergeCell ref="B53:I53"/>
    <mergeCell ref="L53:M53"/>
    <mergeCell ref="B57:I57"/>
    <mergeCell ref="B70:N72"/>
    <mergeCell ref="B59:I59"/>
    <mergeCell ref="L59:M59"/>
    <mergeCell ref="B60:I60"/>
    <mergeCell ref="L60:M60"/>
    <mergeCell ref="B61:I61"/>
    <mergeCell ref="L61:M61"/>
    <mergeCell ref="B54:I54"/>
    <mergeCell ref="L54:M54"/>
    <mergeCell ref="B55:I55"/>
    <mergeCell ref="L55:M55"/>
    <mergeCell ref="B56:I56"/>
    <mergeCell ref="L56:M56"/>
    <mergeCell ref="L45:M45"/>
    <mergeCell ref="B105:N105"/>
    <mergeCell ref="B106:N106"/>
    <mergeCell ref="J112:N114"/>
    <mergeCell ref="B114:D114"/>
    <mergeCell ref="B90:H90"/>
    <mergeCell ref="L90:M90"/>
    <mergeCell ref="L91:M91"/>
    <mergeCell ref="L92:M92"/>
    <mergeCell ref="B93:M93"/>
    <mergeCell ref="B95:M95"/>
    <mergeCell ref="L82:M82"/>
    <mergeCell ref="B83:M83"/>
    <mergeCell ref="B85:M85"/>
    <mergeCell ref="B89:H89"/>
    <mergeCell ref="L89:M89"/>
    <mergeCell ref="B86:N88"/>
    <mergeCell ref="L81:M81"/>
    <mergeCell ref="B62:M62"/>
    <mergeCell ref="B66:H66"/>
    <mergeCell ref="L66:M66"/>
    <mergeCell ref="B67:H67"/>
    <mergeCell ref="L67:M67"/>
    <mergeCell ref="B68:H68"/>
  </mergeCells>
  <phoneticPr fontId="0" type="noConversion"/>
  <printOptions horizontalCentered="1" verticalCentered="1"/>
  <pageMargins left="0.27559055118110237" right="0.39370078740157483" top="0.19685039370078741" bottom="0.23622047244094491" header="0" footer="0"/>
  <pageSetup scale="52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2"/>
  <dimension ref="A1:N118"/>
  <sheetViews>
    <sheetView showGridLines="0" view="pageBreakPreview" zoomScaleNormal="85" zoomScaleSheetLayoutView="100" workbookViewId="0">
      <selection activeCell="B49" sqref="B49:N51"/>
    </sheetView>
  </sheetViews>
  <sheetFormatPr baseColWidth="10" defaultRowHeight="12.75"/>
  <cols>
    <col min="1" max="1" width="3.140625" style="113" customWidth="1"/>
    <col min="2" max="13" width="11.42578125" style="113"/>
    <col min="14" max="14" width="14.7109375" style="113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s">
        <v>16</v>
      </c>
      <c r="M33" s="654"/>
      <c r="N33" s="260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40</v>
      </c>
      <c r="M38" s="638"/>
      <c r="N38" s="297">
        <f>+K38/L38</f>
        <v>508.47500000000002</v>
      </c>
    </row>
    <row r="39" spans="1:14">
      <c r="A39" s="113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637">
        <v>40</v>
      </c>
      <c r="M39" s="638"/>
      <c r="N39" s="297">
        <f t="shared" ref="N39:N44" si="0">+K39/L39</f>
        <v>508.47500000000002</v>
      </c>
    </row>
    <row r="40" spans="1:14">
      <c r="A40" s="113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VLOOKUP(A40,Equipo!$A$4:$D$80,4,0)</f>
        <v>16271</v>
      </c>
      <c r="L40" s="637">
        <v>40</v>
      </c>
      <c r="M40" s="638"/>
      <c r="N40" s="297">
        <f t="shared" si="0"/>
        <v>406.77499999999998</v>
      </c>
    </row>
    <row r="41" spans="1:14">
      <c r="A41" s="113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637">
        <v>40</v>
      </c>
      <c r="M41" s="638"/>
      <c r="N41" s="297">
        <f t="shared" si="0"/>
        <v>508.47500000000002</v>
      </c>
    </row>
    <row r="42" spans="1:14">
      <c r="A42" s="113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637">
        <v>40</v>
      </c>
      <c r="M42" s="638"/>
      <c r="N42" s="297">
        <f t="shared" si="0"/>
        <v>339.35</v>
      </c>
    </row>
    <row r="43" spans="1:14">
      <c r="A43" s="113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VLOOKUP(A43,Equipo!$A$4:$D$80,4,0)</f>
        <v>8003</v>
      </c>
      <c r="L43" s="637">
        <v>40</v>
      </c>
      <c r="M43" s="638"/>
      <c r="N43" s="297">
        <f t="shared" si="0"/>
        <v>200.07499999999999</v>
      </c>
    </row>
    <row r="44" spans="1:14">
      <c r="A44" s="113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37">
        <v>40</v>
      </c>
      <c r="M44" s="638"/>
      <c r="N44" s="297">
        <f t="shared" si="0"/>
        <v>67.875</v>
      </c>
    </row>
    <row r="45" spans="1:14">
      <c r="B45" s="550" t="s">
        <v>211</v>
      </c>
      <c r="C45" s="551"/>
      <c r="D45" s="551"/>
      <c r="E45" s="551"/>
      <c r="F45" s="551"/>
      <c r="G45" s="551"/>
      <c r="H45" s="552"/>
      <c r="I45" s="620"/>
      <c r="J45" s="621"/>
      <c r="K45" s="162"/>
      <c r="L45" s="637"/>
      <c r="M45" s="638"/>
      <c r="N45" s="297">
        <v>1200</v>
      </c>
    </row>
    <row r="46" spans="1:14">
      <c r="B46" s="550"/>
      <c r="C46" s="551"/>
      <c r="D46" s="551"/>
      <c r="E46" s="551"/>
      <c r="F46" s="551"/>
      <c r="G46" s="551"/>
      <c r="H46" s="552"/>
      <c r="I46" s="620"/>
      <c r="J46" s="621"/>
      <c r="K46" s="162"/>
      <c r="L46" s="637"/>
      <c r="M46" s="638"/>
      <c r="N46" s="163"/>
    </row>
    <row r="47" spans="1:14" ht="13.5" thickBot="1">
      <c r="B47" s="550"/>
      <c r="C47" s="551"/>
      <c r="D47" s="551"/>
      <c r="E47" s="551"/>
      <c r="F47" s="551"/>
      <c r="G47" s="551"/>
      <c r="H47" s="552"/>
      <c r="I47" s="620"/>
      <c r="J47" s="621"/>
      <c r="K47" s="162"/>
      <c r="L47" s="637"/>
      <c r="M47" s="638"/>
      <c r="N47" s="163"/>
    </row>
    <row r="48" spans="1:14" ht="14.25" thickBot="1">
      <c r="B48" s="524" t="s">
        <v>472</v>
      </c>
      <c r="C48" s="525"/>
      <c r="D48" s="525"/>
      <c r="E48" s="525"/>
      <c r="F48" s="525"/>
      <c r="G48" s="525"/>
      <c r="H48" s="525"/>
      <c r="I48" s="525"/>
      <c r="J48" s="525"/>
      <c r="K48" s="525"/>
      <c r="L48" s="525"/>
      <c r="M48" s="526"/>
      <c r="N48" s="204">
        <f>SUM(N38:N47)</f>
        <v>3739.4999999999995</v>
      </c>
    </row>
    <row r="49" spans="1:14">
      <c r="B49" s="574" t="s">
        <v>138</v>
      </c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6"/>
    </row>
    <row r="50" spans="1:14">
      <c r="B50" s="577" t="s">
        <v>138</v>
      </c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9"/>
    </row>
    <row r="51" spans="1:14" ht="13.5" thickBot="1">
      <c r="B51" s="580"/>
      <c r="C51" s="581"/>
      <c r="D51" s="581"/>
      <c r="E51" s="581"/>
      <c r="F51" s="581"/>
      <c r="G51" s="581"/>
      <c r="H51" s="581"/>
      <c r="I51" s="581"/>
      <c r="J51" s="581"/>
      <c r="K51" s="581"/>
      <c r="L51" s="581"/>
      <c r="M51" s="581"/>
      <c r="N51" s="582"/>
    </row>
    <row r="52" spans="1:14" ht="13.5">
      <c r="B52" s="536" t="s">
        <v>125</v>
      </c>
      <c r="C52" s="537"/>
      <c r="D52" s="537"/>
      <c r="E52" s="537"/>
      <c r="F52" s="537"/>
      <c r="G52" s="537"/>
      <c r="H52" s="537"/>
      <c r="I52" s="539"/>
      <c r="J52" s="239" t="s">
        <v>16</v>
      </c>
      <c r="K52" s="237" t="s">
        <v>101</v>
      </c>
      <c r="L52" s="538" t="s">
        <v>139</v>
      </c>
      <c r="M52" s="539"/>
      <c r="N52" s="238" t="s">
        <v>140</v>
      </c>
    </row>
    <row r="53" spans="1:14">
      <c r="A53" s="113" t="s">
        <v>344</v>
      </c>
      <c r="B53" s="540" t="str">
        <f>VLOOKUP(A53,Materiales!$A$4:$D$141,2,0)</f>
        <v>LAMINA GALV. CALIBRE 16</v>
      </c>
      <c r="C53" s="541"/>
      <c r="D53" s="541"/>
      <c r="E53" s="541"/>
      <c r="F53" s="541"/>
      <c r="G53" s="541"/>
      <c r="H53" s="541"/>
      <c r="I53" s="621"/>
      <c r="J53" s="372" t="str">
        <f>VLOOKUP(A53,Materiales!$A$4:$D$141,3,0)</f>
        <v>M2</v>
      </c>
      <c r="K53" s="394">
        <f>0.47*1.05</f>
        <v>0.49349999999999999</v>
      </c>
      <c r="L53" s="522">
        <f>VLOOKUP(A53,Materiales!$A$4:$D$141,4,0)</f>
        <v>49580</v>
      </c>
      <c r="M53" s="523"/>
      <c r="N53" s="297">
        <f>+L53*K53</f>
        <v>24467.73</v>
      </c>
    </row>
    <row r="54" spans="1:14">
      <c r="A54" s="113" t="s">
        <v>345</v>
      </c>
      <c r="B54" s="540" t="str">
        <f>VLOOKUP(A54,Materiales!$A$4:$D$141,2,0)</f>
        <v>PAPEL REFLECTIVO TIPO III</v>
      </c>
      <c r="C54" s="541"/>
      <c r="D54" s="541"/>
      <c r="E54" s="541"/>
      <c r="F54" s="541"/>
      <c r="G54" s="541"/>
      <c r="H54" s="541"/>
      <c r="I54" s="621"/>
      <c r="J54" s="372" t="str">
        <f>VLOOKUP(A54,Materiales!$A$4:$D$141,3,0)</f>
        <v>M2</v>
      </c>
      <c r="K54" s="395">
        <v>0.49</v>
      </c>
      <c r="L54" s="522">
        <f>VLOOKUP(A54,Materiales!$A$4:$D$141,4,0)</f>
        <v>48400</v>
      </c>
      <c r="M54" s="523"/>
      <c r="N54" s="297">
        <f t="shared" ref="N54:N61" si="1">+L54*K54</f>
        <v>23716</v>
      </c>
    </row>
    <row r="55" spans="1:14">
      <c r="A55" s="113" t="s">
        <v>346</v>
      </c>
      <c r="B55" s="540" t="str">
        <f>VLOOKUP(A55,Materiales!$A$4:$D$141,2,0)</f>
        <v>ANGULO DE 2" X 1/4"</v>
      </c>
      <c r="C55" s="541"/>
      <c r="D55" s="541"/>
      <c r="E55" s="541"/>
      <c r="F55" s="541"/>
      <c r="G55" s="541"/>
      <c r="H55" s="541"/>
      <c r="I55" s="621"/>
      <c r="J55" s="372" t="str">
        <f>VLOOKUP(A55,Materiales!$A$4:$D$141,3,0)</f>
        <v>ML</v>
      </c>
      <c r="K55" s="395">
        <v>1.5</v>
      </c>
      <c r="L55" s="522">
        <f>VLOOKUP(A55,Materiales!$A$4:$D$141,4,0)</f>
        <v>17710</v>
      </c>
      <c r="M55" s="523"/>
      <c r="N55" s="297">
        <f t="shared" si="1"/>
        <v>26565</v>
      </c>
    </row>
    <row r="56" spans="1:14">
      <c r="A56" s="113" t="s">
        <v>347</v>
      </c>
      <c r="B56" s="540" t="str">
        <f>VLOOKUP(A56,Materiales!$A$4:$D$141,2,0)</f>
        <v>ANGULO DE 2" X 1/8"</v>
      </c>
      <c r="C56" s="541"/>
      <c r="D56" s="541"/>
      <c r="E56" s="541"/>
      <c r="F56" s="541"/>
      <c r="G56" s="541"/>
      <c r="H56" s="541"/>
      <c r="I56" s="621"/>
      <c r="J56" s="372" t="str">
        <f>VLOOKUP(A56,Materiales!$A$4:$D$141,3,0)</f>
        <v>ML</v>
      </c>
      <c r="K56" s="395">
        <v>0.45</v>
      </c>
      <c r="L56" s="522">
        <f>VLOOKUP(A56,Materiales!$A$4:$D$141,4,0)</f>
        <v>9810</v>
      </c>
      <c r="M56" s="523"/>
      <c r="N56" s="297">
        <f t="shared" si="1"/>
        <v>4414.5</v>
      </c>
    </row>
    <row r="57" spans="1:14">
      <c r="A57" s="113" t="s">
        <v>348</v>
      </c>
      <c r="B57" s="540" t="str">
        <f>VLOOKUP(A57,Materiales!$A$4:$D$141,2,0)</f>
        <v>TORNILLOS Y REMACHES</v>
      </c>
      <c r="C57" s="541"/>
      <c r="D57" s="541"/>
      <c r="E57" s="541"/>
      <c r="F57" s="541"/>
      <c r="G57" s="541"/>
      <c r="H57" s="541"/>
      <c r="I57" s="621"/>
      <c r="J57" s="372" t="str">
        <f>VLOOKUP(A57,Materiales!$A$4:$D$141,3,0)</f>
        <v>UND.</v>
      </c>
      <c r="K57" s="395">
        <v>8</v>
      </c>
      <c r="L57" s="522">
        <f>VLOOKUP(A57,Materiales!$A$4:$D$141,4,0)</f>
        <v>1004</v>
      </c>
      <c r="M57" s="523"/>
      <c r="N57" s="297">
        <f t="shared" si="1"/>
        <v>8032</v>
      </c>
    </row>
    <row r="58" spans="1:14">
      <c r="A58" s="113" t="s">
        <v>349</v>
      </c>
      <c r="B58" s="540" t="str">
        <f>VLOOKUP(A58,Materiales!$A$4:$D$141,2,0)</f>
        <v>PINTURA EN POLVO</v>
      </c>
      <c r="C58" s="541"/>
      <c r="D58" s="541"/>
      <c r="E58" s="541"/>
      <c r="F58" s="541"/>
      <c r="G58" s="541"/>
      <c r="H58" s="541"/>
      <c r="I58" s="621"/>
      <c r="J58" s="372" t="str">
        <f>VLOOKUP(A58,Materiales!$A$4:$D$141,3,0)</f>
        <v>GALON</v>
      </c>
      <c r="K58" s="394">
        <v>0.03</v>
      </c>
      <c r="L58" s="522">
        <f>VLOOKUP(A58,Materiales!$A$4:$D$141,4,0)</f>
        <v>170330</v>
      </c>
      <c r="M58" s="523"/>
      <c r="N58" s="297">
        <f t="shared" si="1"/>
        <v>5109.8999999999996</v>
      </c>
    </row>
    <row r="59" spans="1:14">
      <c r="A59" s="113" t="s">
        <v>350</v>
      </c>
      <c r="B59" s="540" t="str">
        <f>VLOOKUP(A59,Materiales!$A$4:$D$141,2,0)</f>
        <v>PINTURA ESMALTE</v>
      </c>
      <c r="C59" s="541"/>
      <c r="D59" s="541"/>
      <c r="E59" s="541"/>
      <c r="F59" s="541"/>
      <c r="G59" s="541"/>
      <c r="H59" s="541"/>
      <c r="I59" s="621"/>
      <c r="J59" s="372" t="str">
        <f>VLOOKUP(A59,Materiales!$A$4:$D$141,3,0)</f>
        <v>GALON</v>
      </c>
      <c r="K59" s="394">
        <v>0.04</v>
      </c>
      <c r="L59" s="522">
        <f>VLOOKUP(A59,Materiales!$A$4:$D$141,4,0)</f>
        <v>59020</v>
      </c>
      <c r="M59" s="523"/>
      <c r="N59" s="297">
        <f t="shared" si="1"/>
        <v>2360.8000000000002</v>
      </c>
    </row>
    <row r="60" spans="1:14">
      <c r="A60" s="113" t="s">
        <v>351</v>
      </c>
      <c r="B60" s="540" t="str">
        <f>VLOOKUP(A60,Materiales!$A$4:$D$141,2,0)</f>
        <v>SOLDADURA</v>
      </c>
      <c r="C60" s="541"/>
      <c r="D60" s="541"/>
      <c r="E60" s="541"/>
      <c r="F60" s="541"/>
      <c r="G60" s="541"/>
      <c r="H60" s="541"/>
      <c r="I60" s="621"/>
      <c r="J60" s="372" t="str">
        <f>VLOOKUP(A60,Materiales!$A$4:$D$141,3,0)</f>
        <v>KG</v>
      </c>
      <c r="K60" s="396">
        <v>0.2</v>
      </c>
      <c r="L60" s="522">
        <f>VLOOKUP(A60,Materiales!$A$4:$D$141,4,0)</f>
        <v>7210</v>
      </c>
      <c r="M60" s="523"/>
      <c r="N60" s="297">
        <f t="shared" si="1"/>
        <v>1442</v>
      </c>
    </row>
    <row r="61" spans="1:14">
      <c r="A61" s="113" t="s">
        <v>352</v>
      </c>
      <c r="B61" s="540" t="str">
        <f>VLOOKUP(A61,Materiales!$A$4:$D$141,2,0)</f>
        <v>CONCRETO CLASE E</v>
      </c>
      <c r="C61" s="541"/>
      <c r="D61" s="541"/>
      <c r="E61" s="541"/>
      <c r="F61" s="541"/>
      <c r="G61" s="541"/>
      <c r="H61" s="541"/>
      <c r="I61" s="621"/>
      <c r="J61" s="372" t="str">
        <f>VLOOKUP(A61,Materiales!$A$4:$D$141,3,0)</f>
        <v>M3</v>
      </c>
      <c r="K61" s="397">
        <v>0.03</v>
      </c>
      <c r="L61" s="522">
        <f>VLOOKUP(A61,Materiales!$A$4:$D$141,4,0)</f>
        <v>463800</v>
      </c>
      <c r="M61" s="523"/>
      <c r="N61" s="297">
        <f t="shared" si="1"/>
        <v>13914</v>
      </c>
    </row>
    <row r="62" spans="1:14">
      <c r="B62" s="540"/>
      <c r="C62" s="541"/>
      <c r="D62" s="541"/>
      <c r="E62" s="541"/>
      <c r="F62" s="541"/>
      <c r="G62" s="541"/>
      <c r="H62" s="541"/>
      <c r="I62" s="621"/>
      <c r="J62" s="198"/>
      <c r="K62" s="200"/>
      <c r="L62" s="660"/>
      <c r="M62" s="661"/>
      <c r="N62" s="163"/>
    </row>
    <row r="63" spans="1:14">
      <c r="B63" s="540"/>
      <c r="C63" s="541"/>
      <c r="D63" s="541"/>
      <c r="E63" s="541"/>
      <c r="F63" s="541"/>
      <c r="G63" s="541"/>
      <c r="H63" s="541"/>
      <c r="I63" s="621"/>
      <c r="J63" s="198"/>
      <c r="K63" s="200"/>
      <c r="L63" s="660"/>
      <c r="M63" s="661"/>
      <c r="N63" s="163"/>
    </row>
    <row r="64" spans="1:14" ht="13.5" thickBot="1">
      <c r="B64" s="540"/>
      <c r="C64" s="541"/>
      <c r="D64" s="541"/>
      <c r="E64" s="541"/>
      <c r="F64" s="541"/>
      <c r="G64" s="541"/>
      <c r="H64" s="541"/>
      <c r="I64" s="621"/>
      <c r="J64" s="198"/>
      <c r="K64" s="200"/>
      <c r="L64" s="660"/>
      <c r="M64" s="661"/>
      <c r="N64" s="163"/>
    </row>
    <row r="65" spans="1:14" ht="14.25" thickBot="1">
      <c r="B65" s="524" t="s">
        <v>472</v>
      </c>
      <c r="C65" s="525"/>
      <c r="D65" s="525"/>
      <c r="E65" s="525"/>
      <c r="F65" s="525"/>
      <c r="G65" s="525"/>
      <c r="H65" s="525"/>
      <c r="I65" s="525"/>
      <c r="J65" s="525"/>
      <c r="K65" s="525"/>
      <c r="L65" s="525"/>
      <c r="M65" s="526"/>
      <c r="N65" s="319">
        <f>SUM(N53:N64)</f>
        <v>110021.93</v>
      </c>
    </row>
    <row r="66" spans="1:14">
      <c r="B66" s="574" t="s">
        <v>89</v>
      </c>
      <c r="C66" s="575"/>
      <c r="D66" s="575"/>
      <c r="E66" s="575"/>
      <c r="F66" s="575"/>
      <c r="G66" s="575"/>
      <c r="H66" s="575"/>
      <c r="I66" s="575"/>
      <c r="J66" s="575"/>
      <c r="K66" s="575"/>
      <c r="L66" s="575"/>
      <c r="M66" s="575"/>
      <c r="N66" s="576"/>
    </row>
    <row r="67" spans="1:14">
      <c r="B67" s="577" t="s">
        <v>89</v>
      </c>
      <c r="C67" s="578"/>
      <c r="D67" s="578"/>
      <c r="E67" s="578"/>
      <c r="F67" s="578"/>
      <c r="G67" s="578"/>
      <c r="H67" s="578"/>
      <c r="I67" s="578"/>
      <c r="J67" s="578"/>
      <c r="K67" s="578"/>
      <c r="L67" s="578"/>
      <c r="M67" s="578"/>
      <c r="N67" s="579"/>
    </row>
    <row r="68" spans="1:14" ht="13.5" thickBot="1">
      <c r="B68" s="580"/>
      <c r="C68" s="581"/>
      <c r="D68" s="581"/>
      <c r="E68" s="581"/>
      <c r="F68" s="581"/>
      <c r="G68" s="581"/>
      <c r="H68" s="581"/>
      <c r="I68" s="581"/>
      <c r="J68" s="581"/>
      <c r="K68" s="581"/>
      <c r="L68" s="581"/>
      <c r="M68" s="581"/>
      <c r="N68" s="582"/>
    </row>
    <row r="69" spans="1:14" ht="13.5">
      <c r="B69" s="536" t="s">
        <v>141</v>
      </c>
      <c r="C69" s="537"/>
      <c r="D69" s="537"/>
      <c r="E69" s="537"/>
      <c r="F69" s="537"/>
      <c r="G69" s="537"/>
      <c r="H69" s="537"/>
      <c r="I69" s="237" t="s">
        <v>142</v>
      </c>
      <c r="J69" s="240" t="s">
        <v>143</v>
      </c>
      <c r="K69" s="241" t="s">
        <v>248</v>
      </c>
      <c r="L69" s="538" t="s">
        <v>17</v>
      </c>
      <c r="M69" s="539"/>
      <c r="N69" s="238" t="s">
        <v>140</v>
      </c>
    </row>
    <row r="70" spans="1:14">
      <c r="B70" s="540" t="s">
        <v>493</v>
      </c>
      <c r="C70" s="541"/>
      <c r="D70" s="541"/>
      <c r="E70" s="541"/>
      <c r="F70" s="541"/>
      <c r="G70" s="541"/>
      <c r="H70" s="541"/>
      <c r="I70" s="205"/>
      <c r="J70" s="209"/>
      <c r="K70" s="205"/>
      <c r="L70" s="522">
        <v>22680</v>
      </c>
      <c r="M70" s="523"/>
      <c r="N70" s="297">
        <f>+L70</f>
        <v>22680</v>
      </c>
    </row>
    <row r="71" spans="1:14" ht="13.5" thickBot="1">
      <c r="B71" s="624"/>
      <c r="C71" s="625"/>
      <c r="D71" s="625"/>
      <c r="E71" s="625"/>
      <c r="F71" s="625"/>
      <c r="G71" s="625"/>
      <c r="H71" s="625"/>
      <c r="I71" s="173"/>
      <c r="J71" s="161"/>
      <c r="K71" s="173"/>
      <c r="L71" s="534"/>
      <c r="M71" s="535"/>
      <c r="N71" s="210"/>
    </row>
    <row r="72" spans="1:14" ht="14.25" thickBot="1">
      <c r="B72" s="524" t="s">
        <v>472</v>
      </c>
      <c r="C72" s="525"/>
      <c r="D72" s="525"/>
      <c r="E72" s="525"/>
      <c r="F72" s="525"/>
      <c r="G72" s="525"/>
      <c r="H72" s="525"/>
      <c r="I72" s="525"/>
      <c r="J72" s="525"/>
      <c r="K72" s="525"/>
      <c r="L72" s="525"/>
      <c r="M72" s="526"/>
      <c r="N72" s="204">
        <f>SUM(N70:N71)</f>
        <v>22680</v>
      </c>
    </row>
    <row r="73" spans="1:14">
      <c r="B73" s="574" t="s">
        <v>90</v>
      </c>
      <c r="C73" s="575"/>
      <c r="D73" s="575"/>
      <c r="E73" s="575"/>
      <c r="F73" s="575"/>
      <c r="G73" s="575"/>
      <c r="H73" s="575"/>
      <c r="I73" s="575"/>
      <c r="J73" s="575"/>
      <c r="K73" s="575"/>
      <c r="L73" s="575"/>
      <c r="M73" s="575"/>
      <c r="N73" s="576"/>
    </row>
    <row r="74" spans="1:14">
      <c r="B74" s="577" t="s">
        <v>90</v>
      </c>
      <c r="C74" s="578"/>
      <c r="D74" s="578"/>
      <c r="E74" s="578"/>
      <c r="F74" s="578"/>
      <c r="G74" s="578"/>
      <c r="H74" s="578"/>
      <c r="I74" s="578"/>
      <c r="J74" s="578"/>
      <c r="K74" s="578"/>
      <c r="L74" s="578"/>
      <c r="M74" s="578"/>
      <c r="N74" s="579"/>
    </row>
    <row r="75" spans="1:14" ht="13.5" thickBot="1">
      <c r="B75" s="580"/>
      <c r="C75" s="581"/>
      <c r="D75" s="581"/>
      <c r="E75" s="581"/>
      <c r="F75" s="581"/>
      <c r="G75" s="581"/>
      <c r="H75" s="581"/>
      <c r="I75" s="581"/>
      <c r="J75" s="581"/>
      <c r="K75" s="581"/>
      <c r="L75" s="581"/>
      <c r="M75" s="581"/>
      <c r="N75" s="582"/>
    </row>
    <row r="76" spans="1:14" ht="13.5">
      <c r="B76" s="536" t="s">
        <v>144</v>
      </c>
      <c r="C76" s="537"/>
      <c r="D76" s="537"/>
      <c r="E76" s="537"/>
      <c r="F76" s="537"/>
      <c r="G76" s="537"/>
      <c r="H76" s="237" t="s">
        <v>101</v>
      </c>
      <c r="I76" s="237" t="s">
        <v>145</v>
      </c>
      <c r="J76" s="240" t="s">
        <v>84</v>
      </c>
      <c r="K76" s="241" t="s">
        <v>146</v>
      </c>
      <c r="L76" s="538" t="s">
        <v>136</v>
      </c>
      <c r="M76" s="539"/>
      <c r="N76" s="238" t="s">
        <v>140</v>
      </c>
    </row>
    <row r="77" spans="1:14">
      <c r="A77" s="113" t="s">
        <v>441</v>
      </c>
      <c r="B77" s="550" t="str">
        <f>VLOOKUP(A77,'Mano de Obra'!$A$4:$E$80,2,0)</f>
        <v>CORTADOR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335">
        <f>VLOOKUP(A77,'Mano de Obra'!$A$4:$E$80,4,0)</f>
        <v>1.85</v>
      </c>
      <c r="K77" s="307">
        <f>+H77*I77*J77</f>
        <v>133200</v>
      </c>
      <c r="L77" s="529">
        <v>400</v>
      </c>
      <c r="M77" s="530"/>
      <c r="N77" s="326">
        <f>+K77/L77</f>
        <v>333</v>
      </c>
    </row>
    <row r="78" spans="1:14">
      <c r="A78" s="113" t="s">
        <v>442</v>
      </c>
      <c r="B78" s="550" t="str">
        <f>VLOOKUP(A78,'Mano de Obra'!$A$4:$E$80,2,0)</f>
        <v>SOLDADOR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88000</v>
      </c>
      <c r="J78" s="335">
        <f>VLOOKUP(A78,'Mano de Obra'!$A$4:$E$80,4,0)</f>
        <v>1.85</v>
      </c>
      <c r="K78" s="307">
        <f t="shared" ref="K78:K83" si="2">+H78*I78*J78</f>
        <v>162800</v>
      </c>
      <c r="L78" s="529">
        <v>400</v>
      </c>
      <c r="M78" s="530"/>
      <c r="N78" s="326">
        <f t="shared" ref="N78:N83" si="3">+K78/L78</f>
        <v>407</v>
      </c>
    </row>
    <row r="79" spans="1:14">
      <c r="A79" s="113" t="s">
        <v>443</v>
      </c>
      <c r="B79" s="550" t="str">
        <f>VLOOKUP(A79,'Mano de Obra'!$A$4:$E$80,2,0)</f>
        <v>PINTOR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335">
        <f>VLOOKUP(A79,'Mano de Obra'!$A$4:$E$80,4,0)</f>
        <v>1.85</v>
      </c>
      <c r="K79" s="307">
        <f t="shared" si="2"/>
        <v>133200</v>
      </c>
      <c r="L79" s="529">
        <v>400</v>
      </c>
      <c r="M79" s="530"/>
      <c r="N79" s="326">
        <f t="shared" si="3"/>
        <v>333</v>
      </c>
    </row>
    <row r="80" spans="1:14">
      <c r="A80" s="113" t="s">
        <v>444</v>
      </c>
      <c r="B80" s="550" t="str">
        <f>VLOOKUP(A80,'Mano de Obra'!$A$4:$E$80,2,0)</f>
        <v>LAMINADOR</v>
      </c>
      <c r="C80" s="551"/>
      <c r="D80" s="551"/>
      <c r="E80" s="551"/>
      <c r="F80" s="551"/>
      <c r="G80" s="552"/>
      <c r="H80" s="208">
        <v>1</v>
      </c>
      <c r="I80" s="302">
        <f>VLOOKUP(A80,'Mano de Obra'!$A$4:$E$80,3,0)</f>
        <v>72000</v>
      </c>
      <c r="J80" s="335">
        <f>VLOOKUP(A80,'Mano de Obra'!$A$4:$E$80,4,0)</f>
        <v>1.85</v>
      </c>
      <c r="K80" s="307">
        <f t="shared" si="2"/>
        <v>133200</v>
      </c>
      <c r="L80" s="529">
        <v>400</v>
      </c>
      <c r="M80" s="530"/>
      <c r="N80" s="326">
        <f t="shared" si="3"/>
        <v>333</v>
      </c>
    </row>
    <row r="81" spans="1:14">
      <c r="A81" s="113" t="s">
        <v>445</v>
      </c>
      <c r="B81" s="550" t="str">
        <f>VLOOKUP(A81,'Mano de Obra'!$A$4:$E$80,2,0)</f>
        <v>SERIGRAFISTA</v>
      </c>
      <c r="C81" s="551"/>
      <c r="D81" s="551"/>
      <c r="E81" s="551"/>
      <c r="F81" s="551"/>
      <c r="G81" s="552"/>
      <c r="H81" s="208">
        <v>1</v>
      </c>
      <c r="I81" s="302">
        <f>VLOOKUP(A81,'Mano de Obra'!$A$4:$E$80,3,0)</f>
        <v>72000</v>
      </c>
      <c r="J81" s="335">
        <f>VLOOKUP(A81,'Mano de Obra'!$A$4:$E$80,4,0)</f>
        <v>1.85</v>
      </c>
      <c r="K81" s="307">
        <f t="shared" si="2"/>
        <v>133200</v>
      </c>
      <c r="L81" s="529">
        <v>400</v>
      </c>
      <c r="M81" s="530"/>
      <c r="N81" s="326">
        <f t="shared" si="3"/>
        <v>333</v>
      </c>
    </row>
    <row r="82" spans="1:14">
      <c r="A82" s="113" t="s">
        <v>446</v>
      </c>
      <c r="B82" s="550" t="str">
        <f>VLOOKUP(A82,'Mano de Obra'!$A$4:$E$80,2,0)</f>
        <v>AYUDANTE</v>
      </c>
      <c r="C82" s="551"/>
      <c r="D82" s="551"/>
      <c r="E82" s="551"/>
      <c r="F82" s="551"/>
      <c r="G82" s="552"/>
      <c r="H82" s="208">
        <v>2</v>
      </c>
      <c r="I82" s="302">
        <f>VLOOKUP(A82,'Mano de Obra'!$A$4:$E$80,3,0)</f>
        <v>28000</v>
      </c>
      <c r="J82" s="335">
        <f>VLOOKUP(A82,'Mano de Obra'!$A$4:$E$80,4,0)</f>
        <v>1.85</v>
      </c>
      <c r="K82" s="307">
        <f t="shared" si="2"/>
        <v>103600</v>
      </c>
      <c r="L82" s="529">
        <v>400</v>
      </c>
      <c r="M82" s="530"/>
      <c r="N82" s="326">
        <f t="shared" si="3"/>
        <v>259</v>
      </c>
    </row>
    <row r="83" spans="1:14">
      <c r="A83" s="113" t="s">
        <v>447</v>
      </c>
      <c r="B83" s="550" t="str">
        <f>VLOOKUP(A83,'Mano de Obra'!$A$4:$E$80,2,0)</f>
        <v>CUADRILLA DE INSTALÑACIÓN (3)</v>
      </c>
      <c r="C83" s="551"/>
      <c r="D83" s="551"/>
      <c r="E83" s="551"/>
      <c r="F83" s="551"/>
      <c r="G83" s="552"/>
      <c r="H83" s="206">
        <v>1</v>
      </c>
      <c r="I83" s="302">
        <f>VLOOKUP(A83,'Mano de Obra'!$A$4:$E$80,3,0)</f>
        <v>83000</v>
      </c>
      <c r="J83" s="335">
        <f>VLOOKUP(A83,'Mano de Obra'!$A$4:$E$80,4,0)</f>
        <v>1.85</v>
      </c>
      <c r="K83" s="307">
        <f t="shared" si="2"/>
        <v>153550</v>
      </c>
      <c r="L83" s="529">
        <v>400</v>
      </c>
      <c r="M83" s="530"/>
      <c r="N83" s="326">
        <f t="shared" si="3"/>
        <v>383.875</v>
      </c>
    </row>
    <row r="84" spans="1:14">
      <c r="B84" s="664"/>
      <c r="C84" s="665"/>
      <c r="D84" s="665"/>
      <c r="E84" s="665"/>
      <c r="F84" s="665"/>
      <c r="G84" s="666"/>
      <c r="H84" s="398"/>
      <c r="I84" s="176"/>
      <c r="J84" s="177"/>
      <c r="K84" s="178"/>
      <c r="L84" s="370"/>
      <c r="M84" s="371"/>
      <c r="N84" s="179"/>
    </row>
    <row r="85" spans="1:14">
      <c r="B85" s="664"/>
      <c r="C85" s="665"/>
      <c r="D85" s="665"/>
      <c r="E85" s="665"/>
      <c r="F85" s="665"/>
      <c r="G85" s="666"/>
      <c r="H85" s="398"/>
      <c r="I85" s="176"/>
      <c r="J85" s="177"/>
      <c r="K85" s="178"/>
      <c r="L85" s="637"/>
      <c r="M85" s="638"/>
      <c r="N85" s="179"/>
    </row>
    <row r="86" spans="1:14" ht="13.5" thickBot="1">
      <c r="B86" s="667"/>
      <c r="C86" s="668"/>
      <c r="D86" s="668"/>
      <c r="E86" s="668"/>
      <c r="F86" s="668"/>
      <c r="G86" s="669"/>
      <c r="H86" s="398"/>
      <c r="I86" s="173"/>
      <c r="J86" s="161"/>
      <c r="K86" s="173"/>
      <c r="L86" s="534"/>
      <c r="M86" s="535"/>
      <c r="N86" s="180"/>
    </row>
    <row r="87" spans="1:14" ht="14.25" thickBot="1">
      <c r="B87" s="524" t="s">
        <v>472</v>
      </c>
      <c r="C87" s="525"/>
      <c r="D87" s="525"/>
      <c r="E87" s="525"/>
      <c r="F87" s="525"/>
      <c r="G87" s="525"/>
      <c r="H87" s="525"/>
      <c r="I87" s="525"/>
      <c r="J87" s="525"/>
      <c r="K87" s="525"/>
      <c r="L87" s="525"/>
      <c r="M87" s="526"/>
      <c r="N87" s="319">
        <f>SUM(N77:N86)</f>
        <v>2381.875</v>
      </c>
    </row>
    <row r="88" spans="1:14" ht="13.5" thickBot="1">
      <c r="B88" s="159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7"/>
    </row>
    <row r="89" spans="1:14" ht="13.5" thickBot="1">
      <c r="B89" s="531" t="s">
        <v>147</v>
      </c>
      <c r="C89" s="532"/>
      <c r="D89" s="532"/>
      <c r="E89" s="532"/>
      <c r="F89" s="532"/>
      <c r="G89" s="532"/>
      <c r="H89" s="532"/>
      <c r="I89" s="532"/>
      <c r="J89" s="532"/>
      <c r="K89" s="532"/>
      <c r="L89" s="532"/>
      <c r="M89" s="533"/>
      <c r="N89" s="328">
        <f>+N87+N72+N65+N48</f>
        <v>138823.30499999999</v>
      </c>
    </row>
    <row r="90" spans="1:14">
      <c r="B90" s="574" t="s">
        <v>91</v>
      </c>
      <c r="C90" s="575"/>
      <c r="D90" s="575"/>
      <c r="E90" s="575"/>
      <c r="F90" s="575"/>
      <c r="G90" s="575"/>
      <c r="H90" s="575"/>
      <c r="I90" s="575"/>
      <c r="J90" s="575"/>
      <c r="K90" s="575"/>
      <c r="L90" s="575"/>
      <c r="M90" s="575"/>
      <c r="N90" s="576"/>
    </row>
    <row r="91" spans="1:14">
      <c r="B91" s="577" t="s">
        <v>91</v>
      </c>
      <c r="C91" s="578"/>
      <c r="D91" s="578"/>
      <c r="E91" s="578"/>
      <c r="F91" s="578"/>
      <c r="G91" s="578"/>
      <c r="H91" s="578"/>
      <c r="I91" s="578"/>
      <c r="J91" s="578"/>
      <c r="K91" s="578"/>
      <c r="L91" s="578"/>
      <c r="M91" s="578"/>
      <c r="N91" s="579"/>
    </row>
    <row r="92" spans="1:14" ht="13.5" thickBot="1">
      <c r="B92" s="580"/>
      <c r="C92" s="581"/>
      <c r="D92" s="581"/>
      <c r="E92" s="581"/>
      <c r="F92" s="581"/>
      <c r="G92" s="581"/>
      <c r="H92" s="581"/>
      <c r="I92" s="581"/>
      <c r="J92" s="581"/>
      <c r="K92" s="581"/>
      <c r="L92" s="581"/>
      <c r="M92" s="581"/>
      <c r="N92" s="582"/>
    </row>
    <row r="93" spans="1:14" ht="13.5">
      <c r="B93" s="536" t="s">
        <v>88</v>
      </c>
      <c r="C93" s="537"/>
      <c r="D93" s="537"/>
      <c r="E93" s="537"/>
      <c r="F93" s="537"/>
      <c r="G93" s="537"/>
      <c r="H93" s="537"/>
      <c r="I93" s="240"/>
      <c r="J93" s="246"/>
      <c r="K93" s="243" t="s">
        <v>92</v>
      </c>
      <c r="L93" s="527" t="s">
        <v>93</v>
      </c>
      <c r="M93" s="528"/>
      <c r="N93" s="244"/>
    </row>
    <row r="94" spans="1:14">
      <c r="B94" s="540" t="s">
        <v>82</v>
      </c>
      <c r="C94" s="541"/>
      <c r="D94" s="541"/>
      <c r="E94" s="541"/>
      <c r="F94" s="541"/>
      <c r="G94" s="541"/>
      <c r="H94" s="541"/>
      <c r="I94" s="182"/>
      <c r="J94" s="183"/>
      <c r="K94" s="251">
        <v>0.25</v>
      </c>
      <c r="L94" s="522">
        <f>+N89*K94</f>
        <v>34705.826249999998</v>
      </c>
      <c r="M94" s="523"/>
      <c r="N94" s="184"/>
    </row>
    <row r="95" spans="1:14">
      <c r="B95" s="185" t="s">
        <v>94</v>
      </c>
      <c r="C95" s="186"/>
      <c r="D95" s="186"/>
      <c r="E95" s="186"/>
      <c r="F95" s="186"/>
      <c r="G95" s="186"/>
      <c r="H95" s="186"/>
      <c r="I95" s="182"/>
      <c r="J95" s="183"/>
      <c r="K95" s="251">
        <v>0.05</v>
      </c>
      <c r="L95" s="522">
        <f>+N89*K95</f>
        <v>6941.16525</v>
      </c>
      <c r="M95" s="523"/>
      <c r="N95" s="184"/>
    </row>
    <row r="96" spans="1:14" ht="13.5" thickBot="1">
      <c r="B96" s="187" t="s">
        <v>83</v>
      </c>
      <c r="C96" s="188"/>
      <c r="D96" s="188"/>
      <c r="E96" s="188"/>
      <c r="F96" s="188"/>
      <c r="G96" s="188"/>
      <c r="H96" s="188"/>
      <c r="I96" s="189"/>
      <c r="J96" s="190"/>
      <c r="K96" s="251">
        <v>0.05</v>
      </c>
      <c r="L96" s="627">
        <f>+N89*K96</f>
        <v>6941.16525</v>
      </c>
      <c r="M96" s="628"/>
      <c r="N96" s="184"/>
    </row>
    <row r="97" spans="2:14" ht="14.25" thickBot="1">
      <c r="B97" s="524" t="s">
        <v>472</v>
      </c>
      <c r="C97" s="525"/>
      <c r="D97" s="525"/>
      <c r="E97" s="525"/>
      <c r="F97" s="525"/>
      <c r="G97" s="525"/>
      <c r="H97" s="525"/>
      <c r="I97" s="525"/>
      <c r="J97" s="525"/>
      <c r="K97" s="525"/>
      <c r="L97" s="525"/>
      <c r="M97" s="526"/>
      <c r="N97" s="204">
        <f>SUM(L94:M96)</f>
        <v>48588.156749999995</v>
      </c>
    </row>
    <row r="98" spans="2:14" ht="13.5" thickBot="1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 ht="13.5" thickBot="1">
      <c r="B99" s="531" t="s">
        <v>473</v>
      </c>
      <c r="C99" s="532"/>
      <c r="D99" s="532"/>
      <c r="E99" s="532"/>
      <c r="F99" s="532"/>
      <c r="G99" s="532"/>
      <c r="H99" s="532"/>
      <c r="I99" s="532"/>
      <c r="J99" s="532"/>
      <c r="K99" s="532"/>
      <c r="L99" s="532"/>
      <c r="M99" s="533"/>
      <c r="N99" s="328">
        <f>ROUND(N89+N97,0)</f>
        <v>187411</v>
      </c>
    </row>
    <row r="100" spans="2:14">
      <c r="B100" s="138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41"/>
    </row>
    <row r="101" spans="2:14">
      <c r="B101" s="159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7"/>
    </row>
    <row r="102" spans="2:14">
      <c r="B102" s="159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7"/>
    </row>
    <row r="103" spans="2:14">
      <c r="B103" s="159"/>
      <c r="C103" s="140"/>
      <c r="D103" s="140"/>
      <c r="E103" s="140"/>
      <c r="F103" s="140"/>
      <c r="G103" s="145" t="str">
        <f>+'SV-01'!$G$96</f>
        <v>Firma</v>
      </c>
      <c r="H103" s="145"/>
      <c r="I103" s="145"/>
      <c r="J103" s="145"/>
      <c r="K103" s="140"/>
      <c r="L103" s="140"/>
      <c r="M103" s="140"/>
      <c r="N103" s="147"/>
    </row>
    <row r="104" spans="2:14" ht="13.5">
      <c r="B104" s="192"/>
      <c r="C104" s="193"/>
      <c r="D104" s="193"/>
      <c r="E104" s="193"/>
      <c r="F104" s="193"/>
      <c r="G104" s="145" t="str">
        <f>+'SV-01'!$G$97</f>
        <v>Nombre:</v>
      </c>
      <c r="H104" s="193"/>
      <c r="I104" s="193"/>
      <c r="J104" s="193"/>
      <c r="K104" s="193"/>
      <c r="L104" s="193"/>
      <c r="M104" s="193"/>
      <c r="N104" s="194"/>
    </row>
    <row r="105" spans="2:14" ht="13.5">
      <c r="B105" s="192"/>
      <c r="C105" s="193"/>
      <c r="D105" s="193"/>
      <c r="E105" s="193"/>
      <c r="F105" s="193"/>
      <c r="G105" s="145" t="str">
        <f>+'SV-01'!$G$98</f>
        <v>Representante Legal del Contratista o su Apoderado</v>
      </c>
      <c r="J105" s="193"/>
      <c r="K105" s="193"/>
      <c r="L105" s="193"/>
      <c r="M105" s="193"/>
      <c r="N105" s="194"/>
    </row>
    <row r="106" spans="2:14">
      <c r="B106" s="123"/>
      <c r="C106" s="155"/>
      <c r="D106" s="155"/>
      <c r="E106" s="155"/>
      <c r="F106" s="155"/>
      <c r="G106" s="145" t="str">
        <f>+'SV-01'!$G$99</f>
        <v>Matricula No. :</v>
      </c>
      <c r="H106" s="155"/>
      <c r="I106" s="155"/>
      <c r="J106" s="155"/>
      <c r="K106" s="155"/>
      <c r="L106" s="155"/>
      <c r="M106" s="155"/>
      <c r="N106" s="153"/>
    </row>
    <row r="107" spans="2:14">
      <c r="B107" s="159"/>
      <c r="C107" s="140"/>
      <c r="D107" s="140"/>
      <c r="E107" s="140"/>
      <c r="F107" s="140"/>
      <c r="G107" s="140" t="s">
        <v>206</v>
      </c>
      <c r="H107" s="140"/>
      <c r="I107" s="140"/>
      <c r="J107" s="140"/>
      <c r="K107" s="140"/>
      <c r="L107" s="140"/>
      <c r="M107" s="140"/>
      <c r="N107" s="147"/>
    </row>
    <row r="108" spans="2:14" ht="13.5">
      <c r="B108" s="165" t="str">
        <f>+'SV-01'!$B$101</f>
        <v>OBSERVACIONES INTERVENTORÍA</v>
      </c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7"/>
    </row>
    <row r="109" spans="2:14">
      <c r="B109" s="544"/>
      <c r="C109" s="545"/>
      <c r="D109" s="545"/>
      <c r="E109" s="545"/>
      <c r="F109" s="545"/>
      <c r="G109" s="545"/>
      <c r="H109" s="545"/>
      <c r="I109" s="545"/>
      <c r="J109" s="545"/>
      <c r="K109" s="545"/>
      <c r="L109" s="545"/>
      <c r="M109" s="545"/>
      <c r="N109" s="546"/>
    </row>
    <row r="110" spans="2:14">
      <c r="B110" s="547"/>
      <c r="C110" s="548"/>
      <c r="D110" s="548"/>
      <c r="E110" s="548"/>
      <c r="F110" s="548"/>
      <c r="G110" s="548"/>
      <c r="H110" s="548"/>
      <c r="I110" s="548"/>
      <c r="J110" s="548"/>
      <c r="K110" s="548"/>
      <c r="L110" s="548"/>
      <c r="M110" s="548"/>
      <c r="N110" s="549"/>
    </row>
    <row r="111" spans="2:14">
      <c r="B111" s="123"/>
      <c r="C111" s="155"/>
      <c r="D111" s="155"/>
      <c r="E111" s="155"/>
      <c r="F111" s="155"/>
      <c r="G111" s="155"/>
      <c r="H111" s="155"/>
      <c r="I111" s="155"/>
      <c r="J111" s="155"/>
      <c r="K111" s="155"/>
      <c r="L111" s="155"/>
      <c r="M111" s="155"/>
      <c r="N111" s="153"/>
    </row>
    <row r="112" spans="2:14">
      <c r="B112" s="159"/>
      <c r="C112" s="140"/>
      <c r="D112" s="140"/>
      <c r="E112" s="140"/>
      <c r="F112" s="140"/>
      <c r="G112" s="145" t="str">
        <f>+'SV-01'!$G$105</f>
        <v>Firma</v>
      </c>
      <c r="H112" s="140"/>
      <c r="I112" s="140"/>
      <c r="J112" s="140"/>
      <c r="K112" s="140"/>
      <c r="L112" s="140"/>
      <c r="M112" s="140"/>
      <c r="N112" s="147"/>
    </row>
    <row r="113" spans="2:14">
      <c r="B113" s="159"/>
      <c r="C113" s="140"/>
      <c r="D113" s="140"/>
      <c r="E113" s="140"/>
      <c r="F113" s="140"/>
      <c r="G113" s="140" t="str">
        <f>+'SV-01'!$G$106</f>
        <v>Nombre:</v>
      </c>
      <c r="H113" s="160"/>
      <c r="I113" s="160"/>
      <c r="J113" s="160"/>
      <c r="K113" s="140"/>
      <c r="L113" s="140"/>
      <c r="M113" s="140"/>
      <c r="N113" s="147"/>
    </row>
    <row r="114" spans="2:14">
      <c r="B114" s="159"/>
      <c r="C114" s="140"/>
      <c r="D114" s="140"/>
      <c r="E114" s="140"/>
      <c r="F114" s="140"/>
      <c r="G114" s="140" t="str">
        <f>+'SV-01'!$G$107</f>
        <v>Representante Legal del Interventor o su Apoderado</v>
      </c>
      <c r="H114" s="154"/>
      <c r="I114" s="154"/>
      <c r="J114" s="154"/>
      <c r="M114" s="140"/>
      <c r="N114" s="147"/>
    </row>
    <row r="115" spans="2:14">
      <c r="B115" s="196"/>
      <c r="C115" s="155"/>
      <c r="D115" s="155"/>
      <c r="E115" s="155"/>
      <c r="F115" s="155"/>
      <c r="G115" s="140" t="str">
        <f>+'SV-01'!$G$108</f>
        <v>Matricula No. :</v>
      </c>
      <c r="K115" s="155"/>
      <c r="L115" s="155"/>
      <c r="M115" s="155"/>
      <c r="N115" s="153"/>
    </row>
    <row r="116" spans="2:14" ht="12.75" customHeight="1">
      <c r="B116" s="199" t="str">
        <f>+'SV-01'!$B$109</f>
        <v xml:space="preserve">Original: Archivo de Gestión Contractual ( Subdirecciòn Administrativa) </v>
      </c>
      <c r="C116" s="197"/>
      <c r="D116" s="197"/>
      <c r="E116" s="140"/>
      <c r="F116" s="140"/>
      <c r="G116" s="140"/>
      <c r="H116" s="140"/>
      <c r="I116" s="140"/>
      <c r="J116" s="515"/>
      <c r="K116" s="515"/>
      <c r="L116" s="515"/>
      <c r="M116" s="515"/>
      <c r="N116" s="516"/>
    </row>
    <row r="117" spans="2:14" ht="12.75" customHeight="1">
      <c r="B117" s="199" t="str">
        <f>+'SV-01'!$B$110</f>
        <v>Copias : Unidad Ejecutora,  Contratista, Interventor y Dirección Territorial.</v>
      </c>
      <c r="C117" s="197"/>
      <c r="D117" s="197"/>
      <c r="E117" s="140"/>
      <c r="F117" s="140"/>
      <c r="G117" s="140"/>
      <c r="H117" s="140"/>
      <c r="I117" s="140"/>
      <c r="J117" s="515"/>
      <c r="K117" s="515"/>
      <c r="L117" s="515"/>
      <c r="M117" s="515"/>
      <c r="N117" s="516"/>
    </row>
    <row r="118" spans="2:14" ht="13.5" customHeight="1" thickBot="1">
      <c r="B118" s="519"/>
      <c r="C118" s="520"/>
      <c r="D118" s="520"/>
      <c r="E118" s="161"/>
      <c r="F118" s="161"/>
      <c r="G118" s="161"/>
      <c r="H118" s="161"/>
      <c r="I118" s="161"/>
      <c r="J118" s="517"/>
      <c r="K118" s="517"/>
      <c r="L118" s="517"/>
      <c r="M118" s="517"/>
      <c r="N118" s="518"/>
    </row>
  </sheetData>
  <mergeCells count="137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L33:M33"/>
    <mergeCell ref="I37:J37"/>
    <mergeCell ref="L37:M37"/>
    <mergeCell ref="C33:K33"/>
    <mergeCell ref="B34:N36"/>
    <mergeCell ref="I43:J43"/>
    <mergeCell ref="L43:M43"/>
    <mergeCell ref="I44:J44"/>
    <mergeCell ref="L44:M44"/>
    <mergeCell ref="I41:J41"/>
    <mergeCell ref="L41:M41"/>
    <mergeCell ref="I42:J42"/>
    <mergeCell ref="L42:M42"/>
    <mergeCell ref="B38:H38"/>
    <mergeCell ref="B37:H37"/>
    <mergeCell ref="B39:H39"/>
    <mergeCell ref="I38:J38"/>
    <mergeCell ref="L38:M38"/>
    <mergeCell ref="L45:M45"/>
    <mergeCell ref="I45:J45"/>
    <mergeCell ref="I39:J39"/>
    <mergeCell ref="L39:M39"/>
    <mergeCell ref="I40:J40"/>
    <mergeCell ref="L40:M40"/>
    <mergeCell ref="B40:H40"/>
    <mergeCell ref="B41:H41"/>
    <mergeCell ref="B42:H42"/>
    <mergeCell ref="B43:H43"/>
    <mergeCell ref="B44:H44"/>
    <mergeCell ref="B45:H45"/>
    <mergeCell ref="L86:M86"/>
    <mergeCell ref="B87:M87"/>
    <mergeCell ref="B89:M89"/>
    <mergeCell ref="B93:H93"/>
    <mergeCell ref="L93:M93"/>
    <mergeCell ref="B90:N92"/>
    <mergeCell ref="L85:M85"/>
    <mergeCell ref="B65:M65"/>
    <mergeCell ref="B69:H69"/>
    <mergeCell ref="L69:M69"/>
    <mergeCell ref="B70:H70"/>
    <mergeCell ref="L70:M70"/>
    <mergeCell ref="B71:H71"/>
    <mergeCell ref="L71:M71"/>
    <mergeCell ref="B72:M72"/>
    <mergeCell ref="L76:M76"/>
    <mergeCell ref="L77:M77"/>
    <mergeCell ref="B66:N68"/>
    <mergeCell ref="B73:N75"/>
    <mergeCell ref="B84:G84"/>
    <mergeCell ref="B85:G85"/>
    <mergeCell ref="B86:G86"/>
    <mergeCell ref="L82:M82"/>
    <mergeCell ref="L83:M83"/>
    <mergeCell ref="B109:N109"/>
    <mergeCell ref="B110:N110"/>
    <mergeCell ref="J116:N118"/>
    <mergeCell ref="B118:D118"/>
    <mergeCell ref="B94:H94"/>
    <mergeCell ref="L94:M94"/>
    <mergeCell ref="L95:M95"/>
    <mergeCell ref="L96:M96"/>
    <mergeCell ref="B97:M97"/>
    <mergeCell ref="B99:M99"/>
    <mergeCell ref="B82:G82"/>
    <mergeCell ref="B83:G83"/>
    <mergeCell ref="L64:M64"/>
    <mergeCell ref="B61:I61"/>
    <mergeCell ref="L61:M61"/>
    <mergeCell ref="L47:M47"/>
    <mergeCell ref="B56:I56"/>
    <mergeCell ref="L56:M56"/>
    <mergeCell ref="B54:I54"/>
    <mergeCell ref="L54:M54"/>
    <mergeCell ref="B76:G76"/>
    <mergeCell ref="L78:M78"/>
    <mergeCell ref="L79:M79"/>
    <mergeCell ref="L80:M80"/>
    <mergeCell ref="L81:M81"/>
    <mergeCell ref="B77:G77"/>
    <mergeCell ref="B78:G78"/>
    <mergeCell ref="B79:G79"/>
    <mergeCell ref="B80:G80"/>
    <mergeCell ref="B81:G81"/>
    <mergeCell ref="B60:I60"/>
    <mergeCell ref="L60:M60"/>
    <mergeCell ref="L57:M57"/>
    <mergeCell ref="B58:I58"/>
    <mergeCell ref="L46:M46"/>
    <mergeCell ref="B62:I62"/>
    <mergeCell ref="L62:M62"/>
    <mergeCell ref="B63:I63"/>
    <mergeCell ref="L63:M63"/>
    <mergeCell ref="B64:I64"/>
    <mergeCell ref="I46:J46"/>
    <mergeCell ref="I47:J47"/>
    <mergeCell ref="B48:M48"/>
    <mergeCell ref="B52:I52"/>
    <mergeCell ref="L52:M52"/>
    <mergeCell ref="B53:I53"/>
    <mergeCell ref="L53:M53"/>
    <mergeCell ref="B49:N51"/>
    <mergeCell ref="B55:I55"/>
    <mergeCell ref="L55:M55"/>
    <mergeCell ref="L58:M58"/>
    <mergeCell ref="B59:I59"/>
    <mergeCell ref="L59:M59"/>
    <mergeCell ref="B46:H46"/>
    <mergeCell ref="B47:H47"/>
    <mergeCell ref="B57:I57"/>
  </mergeCells>
  <phoneticPr fontId="0" type="noConversion"/>
  <pageMargins left="0.74803149606299213" right="0.74803149606299213" top="0.98425196850393704" bottom="0.98425196850393704" header="0" footer="0"/>
  <pageSetup scale="43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3"/>
  <dimension ref="A1:N117"/>
  <sheetViews>
    <sheetView showGridLines="0" view="pageBreakPreview" zoomScaleNormal="100" zoomScaleSheetLayoutView="100" workbookViewId="0">
      <selection activeCell="B45" sqref="B45:H45"/>
    </sheetView>
  </sheetViews>
  <sheetFormatPr baseColWidth="10" defaultRowHeight="12.75"/>
  <cols>
    <col min="1" max="1" width="3.140625" style="113" customWidth="1"/>
    <col min="2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s">
        <v>16</v>
      </c>
      <c r="M33" s="654"/>
      <c r="N33" s="260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40</v>
      </c>
      <c r="M38" s="638"/>
      <c r="N38" s="297">
        <f>+K38/L38</f>
        <v>508.47500000000002</v>
      </c>
    </row>
    <row r="39" spans="1:14">
      <c r="A39" s="113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620"/>
      <c r="J39" s="621"/>
      <c r="K39" s="315">
        <f>VLOOKUP(A39,Equipo!$A$4:$D$80,4,0)</f>
        <v>20339</v>
      </c>
      <c r="L39" s="637">
        <v>40</v>
      </c>
      <c r="M39" s="638"/>
      <c r="N39" s="297">
        <f t="shared" ref="N39:N44" si="0">+K39/L39</f>
        <v>508.47500000000002</v>
      </c>
    </row>
    <row r="40" spans="1:14">
      <c r="A40" s="113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620"/>
      <c r="J40" s="621"/>
      <c r="K40" s="315">
        <f>VLOOKUP(A40,Equipo!$A$4:$D$80,4,0)</f>
        <v>16271</v>
      </c>
      <c r="L40" s="637">
        <v>40</v>
      </c>
      <c r="M40" s="638"/>
      <c r="N40" s="297">
        <f t="shared" si="0"/>
        <v>406.77499999999998</v>
      </c>
    </row>
    <row r="41" spans="1:14">
      <c r="A41" s="113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620"/>
      <c r="J41" s="621"/>
      <c r="K41" s="315">
        <f>VLOOKUP(A41,Equipo!$A$4:$D$80,4,0)</f>
        <v>20339</v>
      </c>
      <c r="L41" s="637">
        <v>40</v>
      </c>
      <c r="M41" s="638"/>
      <c r="N41" s="297">
        <f t="shared" si="0"/>
        <v>508.47500000000002</v>
      </c>
    </row>
    <row r="42" spans="1:14">
      <c r="A42" s="113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620"/>
      <c r="J42" s="621"/>
      <c r="K42" s="315">
        <f>VLOOKUP(A42,Equipo!$A$4:$D$80,4,0)</f>
        <v>13574</v>
      </c>
      <c r="L42" s="637">
        <v>40</v>
      </c>
      <c r="M42" s="638"/>
      <c r="N42" s="297">
        <f t="shared" si="0"/>
        <v>339.35</v>
      </c>
    </row>
    <row r="43" spans="1:14">
      <c r="A43" s="113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620"/>
      <c r="J43" s="621"/>
      <c r="K43" s="315">
        <f>VLOOKUP(A43,Equipo!$A$4:$D$80,4,0)</f>
        <v>8003</v>
      </c>
      <c r="L43" s="637">
        <v>40</v>
      </c>
      <c r="M43" s="638"/>
      <c r="N43" s="297">
        <f t="shared" si="0"/>
        <v>200.07499999999999</v>
      </c>
    </row>
    <row r="44" spans="1:14">
      <c r="A44" s="113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37">
        <v>40</v>
      </c>
      <c r="M44" s="638"/>
      <c r="N44" s="297">
        <f t="shared" si="0"/>
        <v>67.875</v>
      </c>
    </row>
    <row r="45" spans="1:14">
      <c r="B45" s="550" t="str">
        <f>+'SV-15'!B45:H45</f>
        <v>HERRAMIENTA MENOR</v>
      </c>
      <c r="C45" s="551"/>
      <c r="D45" s="551"/>
      <c r="E45" s="551"/>
      <c r="F45" s="551"/>
      <c r="G45" s="551"/>
      <c r="H45" s="552"/>
      <c r="I45" s="620"/>
      <c r="J45" s="621"/>
      <c r="K45" s="162"/>
      <c r="L45" s="637"/>
      <c r="M45" s="638"/>
      <c r="N45" s="297">
        <v>1200</v>
      </c>
    </row>
    <row r="46" spans="1:14">
      <c r="B46" s="550"/>
      <c r="C46" s="551"/>
      <c r="D46" s="551"/>
      <c r="E46" s="551"/>
      <c r="F46" s="551"/>
      <c r="G46" s="551"/>
      <c r="H46" s="552"/>
      <c r="I46" s="203"/>
      <c r="J46" s="202"/>
      <c r="K46" s="162"/>
      <c r="L46" s="637"/>
      <c r="M46" s="638"/>
      <c r="N46" s="297"/>
    </row>
    <row r="47" spans="1:14" ht="13.5" thickBot="1">
      <c r="B47" s="649"/>
      <c r="C47" s="650"/>
      <c r="D47" s="650"/>
      <c r="E47" s="650"/>
      <c r="F47" s="650"/>
      <c r="G47" s="650"/>
      <c r="H47" s="535"/>
      <c r="I47" s="622"/>
      <c r="J47" s="623"/>
      <c r="K47" s="162"/>
      <c r="L47" s="637"/>
      <c r="M47" s="638"/>
      <c r="N47" s="297"/>
    </row>
    <row r="48" spans="1:14" ht="14.25" thickBot="1">
      <c r="B48" s="524" t="s">
        <v>472</v>
      </c>
      <c r="C48" s="525"/>
      <c r="D48" s="525"/>
      <c r="E48" s="525"/>
      <c r="F48" s="525"/>
      <c r="G48" s="525"/>
      <c r="H48" s="525"/>
      <c r="I48" s="525"/>
      <c r="J48" s="525"/>
      <c r="K48" s="525"/>
      <c r="L48" s="525"/>
      <c r="M48" s="526"/>
      <c r="N48" s="204">
        <f>SUM(N38:N47)</f>
        <v>3739.4999999999995</v>
      </c>
    </row>
    <row r="49" spans="1:14">
      <c r="B49" s="574" t="s">
        <v>138</v>
      </c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6"/>
    </row>
    <row r="50" spans="1:14">
      <c r="B50" s="577" t="s">
        <v>138</v>
      </c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9"/>
    </row>
    <row r="51" spans="1:14" ht="13.5" thickBot="1">
      <c r="B51" s="580"/>
      <c r="C51" s="581"/>
      <c r="D51" s="581"/>
      <c r="E51" s="581"/>
      <c r="F51" s="581"/>
      <c r="G51" s="581"/>
      <c r="H51" s="581"/>
      <c r="I51" s="581"/>
      <c r="J51" s="581"/>
      <c r="K51" s="581"/>
      <c r="L51" s="581"/>
      <c r="M51" s="581"/>
      <c r="N51" s="582"/>
    </row>
    <row r="52" spans="1:14" ht="13.5">
      <c r="B52" s="536" t="s">
        <v>125</v>
      </c>
      <c r="C52" s="537"/>
      <c r="D52" s="537"/>
      <c r="E52" s="537"/>
      <c r="F52" s="537"/>
      <c r="G52" s="537"/>
      <c r="H52" s="537"/>
      <c r="I52" s="539"/>
      <c r="J52" s="239" t="s">
        <v>16</v>
      </c>
      <c r="K52" s="237" t="s">
        <v>101</v>
      </c>
      <c r="L52" s="538" t="s">
        <v>139</v>
      </c>
      <c r="M52" s="539"/>
      <c r="N52" s="238" t="s">
        <v>140</v>
      </c>
    </row>
    <row r="53" spans="1:14">
      <c r="A53" s="113" t="s">
        <v>344</v>
      </c>
      <c r="B53" s="550" t="str">
        <f>VLOOKUP(A53,Materiales!$A$4:$D$141,2,0)</f>
        <v>LAMINA GALV. CALIBRE 16</v>
      </c>
      <c r="C53" s="551"/>
      <c r="D53" s="551"/>
      <c r="E53" s="551"/>
      <c r="F53" s="551"/>
      <c r="G53" s="551"/>
      <c r="H53" s="551"/>
      <c r="I53" s="552"/>
      <c r="J53" s="372" t="str">
        <f>VLOOKUP(A53,Materiales!$A$4:$D$141,3,0)</f>
        <v>M2</v>
      </c>
      <c r="K53" s="200">
        <f>0.562*1.05</f>
        <v>0.59010000000000007</v>
      </c>
      <c r="L53" s="522">
        <f>VLOOKUP(A53,Materiales!$A$4:$D$141,4,0)</f>
        <v>49580</v>
      </c>
      <c r="M53" s="523"/>
      <c r="N53" s="297">
        <f>+L53*K53</f>
        <v>29257.158000000003</v>
      </c>
    </row>
    <row r="54" spans="1:14">
      <c r="A54" s="113" t="s">
        <v>345</v>
      </c>
      <c r="B54" s="550" t="str">
        <f>VLOOKUP(A54,Materiales!$A$4:$D$141,2,0)</f>
        <v>PAPEL REFLECTIVO TIPO III</v>
      </c>
      <c r="C54" s="551"/>
      <c r="D54" s="551"/>
      <c r="E54" s="551"/>
      <c r="F54" s="551"/>
      <c r="G54" s="551"/>
      <c r="H54" s="551"/>
      <c r="I54" s="552"/>
      <c r="J54" s="372" t="str">
        <f>VLOOKUP(A54,Materiales!$A$4:$D$141,3,0)</f>
        <v>M2</v>
      </c>
      <c r="K54" s="200">
        <v>0.56200000000000006</v>
      </c>
      <c r="L54" s="522">
        <f>VLOOKUP(A54,Materiales!$A$4:$D$141,4,0)</f>
        <v>48400</v>
      </c>
      <c r="M54" s="523"/>
      <c r="N54" s="297">
        <f t="shared" ref="N54:N61" si="1">+L54*K54</f>
        <v>27200.800000000003</v>
      </c>
    </row>
    <row r="55" spans="1:14">
      <c r="A55" s="113" t="s">
        <v>346</v>
      </c>
      <c r="B55" s="550" t="str">
        <f>VLOOKUP(A55,Materiales!$A$4:$D$141,2,0)</f>
        <v>ANGULO DE 2" X 1/4"</v>
      </c>
      <c r="C55" s="551"/>
      <c r="D55" s="551"/>
      <c r="E55" s="551"/>
      <c r="F55" s="551"/>
      <c r="G55" s="551"/>
      <c r="H55" s="551"/>
      <c r="I55" s="552"/>
      <c r="J55" s="372" t="str">
        <f>VLOOKUP(A55,Materiales!$A$4:$D$141,3,0)</f>
        <v>ML</v>
      </c>
      <c r="K55" s="200">
        <v>1.7</v>
      </c>
      <c r="L55" s="522">
        <f>VLOOKUP(A55,Materiales!$A$4:$D$141,4,0)</f>
        <v>17710</v>
      </c>
      <c r="M55" s="523"/>
      <c r="N55" s="297">
        <f t="shared" si="1"/>
        <v>30107</v>
      </c>
    </row>
    <row r="56" spans="1:14">
      <c r="A56" s="113" t="s">
        <v>347</v>
      </c>
      <c r="B56" s="550" t="str">
        <f>VLOOKUP(A56,Materiales!$A$4:$D$141,2,0)</f>
        <v>ANGULO DE 2" X 1/8"</v>
      </c>
      <c r="C56" s="551"/>
      <c r="D56" s="551"/>
      <c r="E56" s="551"/>
      <c r="F56" s="551"/>
      <c r="G56" s="551"/>
      <c r="H56" s="551"/>
      <c r="I56" s="552"/>
      <c r="J56" s="372" t="str">
        <f>VLOOKUP(A56,Materiales!$A$4:$D$141,3,0)</f>
        <v>ML</v>
      </c>
      <c r="K56" s="200">
        <v>0.45</v>
      </c>
      <c r="L56" s="522">
        <f>VLOOKUP(A56,Materiales!$A$4:$D$141,4,0)</f>
        <v>9810</v>
      </c>
      <c r="M56" s="523"/>
      <c r="N56" s="297">
        <f t="shared" si="1"/>
        <v>4414.5</v>
      </c>
    </row>
    <row r="57" spans="1:14">
      <c r="A57" s="113" t="s">
        <v>348</v>
      </c>
      <c r="B57" s="550" t="str">
        <f>VLOOKUP(A57,Materiales!$A$4:$D$141,2,0)</f>
        <v>TORNILLOS Y REMACHES</v>
      </c>
      <c r="C57" s="551"/>
      <c r="D57" s="551"/>
      <c r="E57" s="551"/>
      <c r="F57" s="551"/>
      <c r="G57" s="551"/>
      <c r="H57" s="551"/>
      <c r="I57" s="552"/>
      <c r="J57" s="372" t="str">
        <f>VLOOKUP(A57,Materiales!$A$4:$D$141,3,0)</f>
        <v>UND.</v>
      </c>
      <c r="K57" s="200">
        <v>8</v>
      </c>
      <c r="L57" s="522">
        <f>VLOOKUP(A57,Materiales!$A$4:$D$141,4,0)</f>
        <v>1004</v>
      </c>
      <c r="M57" s="523"/>
      <c r="N57" s="297">
        <f t="shared" si="1"/>
        <v>8032</v>
      </c>
    </row>
    <row r="58" spans="1:14">
      <c r="A58" s="113" t="s">
        <v>349</v>
      </c>
      <c r="B58" s="550" t="str">
        <f>VLOOKUP(A58,Materiales!$A$4:$D$141,2,0)</f>
        <v>PINTURA EN POLVO</v>
      </c>
      <c r="C58" s="551"/>
      <c r="D58" s="551"/>
      <c r="E58" s="551"/>
      <c r="F58" s="551"/>
      <c r="G58" s="551"/>
      <c r="H58" s="551"/>
      <c r="I58" s="552"/>
      <c r="J58" s="372" t="str">
        <f>VLOOKUP(A58,Materiales!$A$4:$D$141,3,0)</f>
        <v>GALON</v>
      </c>
      <c r="K58" s="200">
        <v>0.05</v>
      </c>
      <c r="L58" s="522">
        <f>VLOOKUP(A58,Materiales!$A$4:$D$141,4,0)</f>
        <v>170330</v>
      </c>
      <c r="M58" s="523"/>
      <c r="N58" s="297">
        <f t="shared" si="1"/>
        <v>8516.5</v>
      </c>
    </row>
    <row r="59" spans="1:14">
      <c r="A59" s="113" t="s">
        <v>350</v>
      </c>
      <c r="B59" s="550" t="str">
        <f>VLOOKUP(A59,Materiales!$A$4:$D$141,2,0)</f>
        <v>PINTURA ESMALTE</v>
      </c>
      <c r="C59" s="551"/>
      <c r="D59" s="551"/>
      <c r="E59" s="551"/>
      <c r="F59" s="551"/>
      <c r="G59" s="551"/>
      <c r="H59" s="551"/>
      <c r="I59" s="552"/>
      <c r="J59" s="372" t="str">
        <f>VLOOKUP(A59,Materiales!$A$4:$D$141,3,0)</f>
        <v>GALON</v>
      </c>
      <c r="K59" s="200">
        <v>0.06</v>
      </c>
      <c r="L59" s="522">
        <f>VLOOKUP(A59,Materiales!$A$4:$D$141,4,0)</f>
        <v>59020</v>
      </c>
      <c r="M59" s="523"/>
      <c r="N59" s="297">
        <f t="shared" si="1"/>
        <v>3541.2</v>
      </c>
    </row>
    <row r="60" spans="1:14">
      <c r="A60" s="113" t="s">
        <v>351</v>
      </c>
      <c r="B60" s="550" t="str">
        <f>VLOOKUP(A60,Materiales!$A$4:$D$141,2,0)</f>
        <v>SOLDADURA</v>
      </c>
      <c r="C60" s="551"/>
      <c r="D60" s="551"/>
      <c r="E60" s="551"/>
      <c r="F60" s="551"/>
      <c r="G60" s="551"/>
      <c r="H60" s="551"/>
      <c r="I60" s="552"/>
      <c r="J60" s="372" t="str">
        <f>VLOOKUP(A60,Materiales!$A$4:$D$141,3,0)</f>
        <v>KG</v>
      </c>
      <c r="K60" s="200">
        <v>0.2</v>
      </c>
      <c r="L60" s="522">
        <f>VLOOKUP(A60,Materiales!$A$4:$D$141,4,0)</f>
        <v>7210</v>
      </c>
      <c r="M60" s="523"/>
      <c r="N60" s="297">
        <f t="shared" si="1"/>
        <v>1442</v>
      </c>
    </row>
    <row r="61" spans="1:14">
      <c r="A61" s="113" t="s">
        <v>352</v>
      </c>
      <c r="B61" s="550" t="str">
        <f>VLOOKUP(A61,Materiales!$A$4:$D$141,2,0)</f>
        <v>CONCRETO CLASE E</v>
      </c>
      <c r="C61" s="551"/>
      <c r="D61" s="551"/>
      <c r="E61" s="551"/>
      <c r="F61" s="551"/>
      <c r="G61" s="551"/>
      <c r="H61" s="551"/>
      <c r="I61" s="552"/>
      <c r="J61" s="372" t="str">
        <f>VLOOKUP(A61,Materiales!$A$4:$D$141,3,0)</f>
        <v>M3</v>
      </c>
      <c r="K61" s="200">
        <v>0.03</v>
      </c>
      <c r="L61" s="522">
        <f>VLOOKUP(A61,Materiales!$A$4:$D$141,4,0)</f>
        <v>463800</v>
      </c>
      <c r="M61" s="523"/>
      <c r="N61" s="297">
        <f t="shared" si="1"/>
        <v>13914</v>
      </c>
    </row>
    <row r="62" spans="1:14">
      <c r="B62" s="540"/>
      <c r="C62" s="541"/>
      <c r="D62" s="541"/>
      <c r="E62" s="541"/>
      <c r="F62" s="541"/>
      <c r="G62" s="541"/>
      <c r="H62" s="541"/>
      <c r="I62" s="621"/>
      <c r="J62" s="198"/>
      <c r="K62" s="200"/>
      <c r="L62" s="660"/>
      <c r="M62" s="661"/>
      <c r="N62" s="297"/>
    </row>
    <row r="63" spans="1:14">
      <c r="B63" s="540"/>
      <c r="C63" s="541"/>
      <c r="D63" s="541"/>
      <c r="E63" s="541"/>
      <c r="F63" s="541"/>
      <c r="G63" s="541"/>
      <c r="H63" s="541"/>
      <c r="I63" s="621"/>
      <c r="J63" s="198"/>
      <c r="K63" s="200"/>
      <c r="L63" s="660"/>
      <c r="M63" s="661"/>
      <c r="N63" s="297"/>
    </row>
    <row r="64" spans="1:14" ht="13.5" thickBot="1">
      <c r="B64" s="540"/>
      <c r="C64" s="541"/>
      <c r="D64" s="541"/>
      <c r="E64" s="541"/>
      <c r="F64" s="541"/>
      <c r="G64" s="541"/>
      <c r="H64" s="541"/>
      <c r="I64" s="621"/>
      <c r="J64" s="195"/>
      <c r="K64" s="169"/>
      <c r="L64" s="660"/>
      <c r="M64" s="661"/>
      <c r="N64" s="297"/>
    </row>
    <row r="65" spans="1:14" ht="14.25" thickBot="1">
      <c r="B65" s="524" t="s">
        <v>472</v>
      </c>
      <c r="C65" s="525"/>
      <c r="D65" s="525"/>
      <c r="E65" s="525"/>
      <c r="F65" s="525"/>
      <c r="G65" s="525"/>
      <c r="H65" s="525"/>
      <c r="I65" s="525"/>
      <c r="J65" s="525"/>
      <c r="K65" s="525"/>
      <c r="L65" s="525"/>
      <c r="M65" s="526"/>
      <c r="N65" s="297">
        <f>SUM(N53:N64)</f>
        <v>126425.15800000001</v>
      </c>
    </row>
    <row r="66" spans="1:14">
      <c r="B66" s="574" t="s">
        <v>89</v>
      </c>
      <c r="C66" s="575"/>
      <c r="D66" s="575"/>
      <c r="E66" s="575"/>
      <c r="F66" s="575"/>
      <c r="G66" s="575"/>
      <c r="H66" s="575"/>
      <c r="I66" s="575"/>
      <c r="J66" s="575"/>
      <c r="K66" s="575"/>
      <c r="L66" s="575"/>
      <c r="M66" s="575"/>
      <c r="N66" s="576"/>
    </row>
    <row r="67" spans="1:14">
      <c r="B67" s="577" t="s">
        <v>89</v>
      </c>
      <c r="C67" s="578"/>
      <c r="D67" s="578"/>
      <c r="E67" s="578"/>
      <c r="F67" s="578"/>
      <c r="G67" s="578"/>
      <c r="H67" s="578"/>
      <c r="I67" s="578"/>
      <c r="J67" s="578"/>
      <c r="K67" s="578"/>
      <c r="L67" s="578"/>
      <c r="M67" s="578"/>
      <c r="N67" s="579"/>
    </row>
    <row r="68" spans="1:14" ht="13.5" thickBot="1">
      <c r="B68" s="580"/>
      <c r="C68" s="581"/>
      <c r="D68" s="581"/>
      <c r="E68" s="581"/>
      <c r="F68" s="581"/>
      <c r="G68" s="581"/>
      <c r="H68" s="581"/>
      <c r="I68" s="581"/>
      <c r="J68" s="581"/>
      <c r="K68" s="581"/>
      <c r="L68" s="581"/>
      <c r="M68" s="581"/>
      <c r="N68" s="582"/>
    </row>
    <row r="69" spans="1:14" ht="13.5">
      <c r="B69" s="536" t="s">
        <v>141</v>
      </c>
      <c r="C69" s="537"/>
      <c r="D69" s="537"/>
      <c r="E69" s="537"/>
      <c r="F69" s="537"/>
      <c r="G69" s="537"/>
      <c r="H69" s="537"/>
      <c r="I69" s="237" t="s">
        <v>142</v>
      </c>
      <c r="J69" s="240" t="s">
        <v>143</v>
      </c>
      <c r="K69" s="241" t="s">
        <v>248</v>
      </c>
      <c r="L69" s="538" t="s">
        <v>17</v>
      </c>
      <c r="M69" s="539"/>
      <c r="N69" s="238" t="s">
        <v>140</v>
      </c>
    </row>
    <row r="70" spans="1:14">
      <c r="B70" s="540" t="str">
        <f>+'SV-15'!B70:H70</f>
        <v>TRANSPORTE DE SEÑAL</v>
      </c>
      <c r="C70" s="541"/>
      <c r="D70" s="541"/>
      <c r="E70" s="541"/>
      <c r="F70" s="541"/>
      <c r="G70" s="541"/>
      <c r="H70" s="621"/>
      <c r="I70" s="205"/>
      <c r="J70" s="209"/>
      <c r="K70" s="205"/>
      <c r="L70" s="522">
        <f>+'SV-15'!L70:M70</f>
        <v>22680</v>
      </c>
      <c r="M70" s="523"/>
      <c r="N70" s="297">
        <f>+L70</f>
        <v>22680</v>
      </c>
    </row>
    <row r="71" spans="1:14" ht="13.5" thickBot="1">
      <c r="B71" s="624"/>
      <c r="C71" s="625"/>
      <c r="D71" s="625"/>
      <c r="E71" s="625"/>
      <c r="F71" s="625"/>
      <c r="G71" s="625"/>
      <c r="H71" s="623"/>
      <c r="I71" s="173"/>
      <c r="J71" s="161"/>
      <c r="K71" s="173"/>
      <c r="L71" s="534"/>
      <c r="M71" s="535"/>
      <c r="N71" s="327"/>
    </row>
    <row r="72" spans="1:14" ht="14.25" thickBot="1">
      <c r="B72" s="524" t="s">
        <v>472</v>
      </c>
      <c r="C72" s="525"/>
      <c r="D72" s="525"/>
      <c r="E72" s="525"/>
      <c r="F72" s="525"/>
      <c r="G72" s="525"/>
      <c r="H72" s="525"/>
      <c r="I72" s="525"/>
      <c r="J72" s="525"/>
      <c r="K72" s="525"/>
      <c r="L72" s="525"/>
      <c r="M72" s="526"/>
      <c r="N72" s="204">
        <f>SUM(N70:N71)</f>
        <v>22680</v>
      </c>
    </row>
    <row r="73" spans="1:14">
      <c r="B73" s="373" t="s">
        <v>90</v>
      </c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74"/>
      <c r="N73" s="375"/>
    </row>
    <row r="74" spans="1:14" ht="13.5" thickBot="1">
      <c r="B74" s="376"/>
      <c r="C74" s="377"/>
      <c r="D74" s="377"/>
      <c r="E74" s="377"/>
      <c r="F74" s="377"/>
      <c r="G74" s="377"/>
      <c r="H74" s="377"/>
      <c r="I74" s="377"/>
      <c r="J74" s="377"/>
      <c r="K74" s="377"/>
      <c r="L74" s="377"/>
      <c r="M74" s="377"/>
      <c r="N74" s="378"/>
    </row>
    <row r="75" spans="1:14" ht="13.5">
      <c r="B75" s="536" t="s">
        <v>144</v>
      </c>
      <c r="C75" s="537"/>
      <c r="D75" s="537"/>
      <c r="E75" s="537"/>
      <c r="F75" s="537"/>
      <c r="G75" s="537"/>
      <c r="H75" s="237" t="s">
        <v>101</v>
      </c>
      <c r="I75" s="237" t="s">
        <v>145</v>
      </c>
      <c r="J75" s="240" t="s">
        <v>84</v>
      </c>
      <c r="K75" s="241" t="s">
        <v>146</v>
      </c>
      <c r="L75" s="538" t="s">
        <v>136</v>
      </c>
      <c r="M75" s="539"/>
      <c r="N75" s="238" t="s">
        <v>140</v>
      </c>
    </row>
    <row r="76" spans="1:14">
      <c r="A76" s="113" t="s">
        <v>441</v>
      </c>
      <c r="B76" s="550" t="str">
        <f>VLOOKUP(A76,'Mano de Obra'!$A$4:$E$80,2,0)</f>
        <v>CORTADOR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72000</v>
      </c>
      <c r="J76" s="335">
        <f>VLOOKUP(A76,'Mano de Obra'!$A$4:$E$80,4,0)</f>
        <v>1.85</v>
      </c>
      <c r="K76" s="307">
        <f>+H76*I76*J76</f>
        <v>133200</v>
      </c>
      <c r="L76" s="529">
        <v>400</v>
      </c>
      <c r="M76" s="530"/>
      <c r="N76" s="326">
        <f>+K76/L76</f>
        <v>333</v>
      </c>
    </row>
    <row r="77" spans="1:14">
      <c r="A77" s="113" t="s">
        <v>442</v>
      </c>
      <c r="B77" s="550" t="str">
        <f>VLOOKUP(A77,'Mano de Obra'!$A$4:$E$80,2,0)</f>
        <v>SOLDADOR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88000</v>
      </c>
      <c r="J77" s="335">
        <f>VLOOKUP(A77,'Mano de Obra'!$A$4:$E$80,4,0)</f>
        <v>1.85</v>
      </c>
      <c r="K77" s="307">
        <f t="shared" ref="K77:K82" si="2">+H77*I77*J77</f>
        <v>162800</v>
      </c>
      <c r="L77" s="529">
        <v>400</v>
      </c>
      <c r="M77" s="530"/>
      <c r="N77" s="326">
        <f t="shared" ref="N77:N82" si="3">+K77/L77</f>
        <v>407</v>
      </c>
    </row>
    <row r="78" spans="1:14">
      <c r="A78" s="113" t="s">
        <v>443</v>
      </c>
      <c r="B78" s="550" t="str">
        <f>VLOOKUP(A78,'Mano de Obra'!$A$4:$E$80,2,0)</f>
        <v>PINTOR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335">
        <f>VLOOKUP(A78,'Mano de Obra'!$A$4:$E$80,4,0)</f>
        <v>1.85</v>
      </c>
      <c r="K78" s="307">
        <f t="shared" si="2"/>
        <v>133200</v>
      </c>
      <c r="L78" s="529">
        <v>400</v>
      </c>
      <c r="M78" s="530"/>
      <c r="N78" s="326">
        <f t="shared" si="3"/>
        <v>333</v>
      </c>
    </row>
    <row r="79" spans="1:14">
      <c r="A79" s="113" t="s">
        <v>444</v>
      </c>
      <c r="B79" s="550" t="str">
        <f>VLOOKUP(A79,'Mano de Obra'!$A$4:$E$80,2,0)</f>
        <v>LAMINADOR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335">
        <f>VLOOKUP(A79,'Mano de Obra'!$A$4:$E$80,4,0)</f>
        <v>1.85</v>
      </c>
      <c r="K79" s="307">
        <f t="shared" si="2"/>
        <v>133200</v>
      </c>
      <c r="L79" s="529">
        <v>400</v>
      </c>
      <c r="M79" s="530"/>
      <c r="N79" s="326">
        <f t="shared" si="3"/>
        <v>333</v>
      </c>
    </row>
    <row r="80" spans="1:14">
      <c r="A80" s="113" t="s">
        <v>445</v>
      </c>
      <c r="B80" s="550" t="str">
        <f>VLOOKUP(A80,'Mano de Obra'!$A$4:$E$80,2,0)</f>
        <v>SERIGRAFISTA</v>
      </c>
      <c r="C80" s="551"/>
      <c r="D80" s="551"/>
      <c r="E80" s="551"/>
      <c r="F80" s="551"/>
      <c r="G80" s="552"/>
      <c r="H80" s="208">
        <v>1</v>
      </c>
      <c r="I80" s="302">
        <f>VLOOKUP(A80,'Mano de Obra'!$A$4:$E$80,3,0)</f>
        <v>72000</v>
      </c>
      <c r="J80" s="335">
        <f>VLOOKUP(A80,'Mano de Obra'!$A$4:$E$80,4,0)</f>
        <v>1.85</v>
      </c>
      <c r="K80" s="307">
        <f t="shared" si="2"/>
        <v>133200</v>
      </c>
      <c r="L80" s="529">
        <v>400</v>
      </c>
      <c r="M80" s="530"/>
      <c r="N80" s="326">
        <f t="shared" si="3"/>
        <v>333</v>
      </c>
    </row>
    <row r="81" spans="1:14">
      <c r="A81" s="113" t="s">
        <v>446</v>
      </c>
      <c r="B81" s="550" t="str">
        <f>VLOOKUP(A81,'Mano de Obra'!$A$4:$E$80,2,0)</f>
        <v>AYUDANTE</v>
      </c>
      <c r="C81" s="551"/>
      <c r="D81" s="551"/>
      <c r="E81" s="551"/>
      <c r="F81" s="551"/>
      <c r="G81" s="552"/>
      <c r="H81" s="208">
        <v>2</v>
      </c>
      <c r="I81" s="302">
        <f>VLOOKUP(A81,'Mano de Obra'!$A$4:$E$80,3,0)</f>
        <v>28000</v>
      </c>
      <c r="J81" s="335">
        <f>VLOOKUP(A81,'Mano de Obra'!$A$4:$E$80,4,0)</f>
        <v>1.85</v>
      </c>
      <c r="K81" s="307">
        <f t="shared" si="2"/>
        <v>103600</v>
      </c>
      <c r="L81" s="529">
        <v>400</v>
      </c>
      <c r="M81" s="530"/>
      <c r="N81" s="326">
        <f t="shared" si="3"/>
        <v>259</v>
      </c>
    </row>
    <row r="82" spans="1:14">
      <c r="A82" s="113" t="s">
        <v>447</v>
      </c>
      <c r="B82" s="550" t="str">
        <f>VLOOKUP(A82,'Mano de Obra'!$A$4:$E$80,2,0)</f>
        <v>CUADRILLA DE INSTALÑACIÓN (3)</v>
      </c>
      <c r="C82" s="551"/>
      <c r="D82" s="551"/>
      <c r="E82" s="551"/>
      <c r="F82" s="551"/>
      <c r="G82" s="552"/>
      <c r="H82" s="206">
        <v>1</v>
      </c>
      <c r="I82" s="302">
        <f>VLOOKUP(A82,'Mano de Obra'!$A$4:$E$80,3,0)</f>
        <v>83000</v>
      </c>
      <c r="J82" s="335">
        <f>VLOOKUP(A82,'Mano de Obra'!$A$4:$E$80,4,0)</f>
        <v>1.85</v>
      </c>
      <c r="K82" s="307">
        <f t="shared" si="2"/>
        <v>153550</v>
      </c>
      <c r="L82" s="529">
        <v>400</v>
      </c>
      <c r="M82" s="530"/>
      <c r="N82" s="326">
        <f t="shared" si="3"/>
        <v>383.875</v>
      </c>
    </row>
    <row r="83" spans="1:14">
      <c r="B83" s="547"/>
      <c r="C83" s="548"/>
      <c r="D83" s="548"/>
      <c r="E83" s="548"/>
      <c r="F83" s="548"/>
      <c r="G83" s="548"/>
      <c r="H83" s="343"/>
      <c r="I83" s="176"/>
      <c r="J83" s="177"/>
      <c r="K83" s="307"/>
      <c r="L83" s="529"/>
      <c r="M83" s="530"/>
      <c r="N83" s="326"/>
    </row>
    <row r="84" spans="1:14">
      <c r="B84" s="547"/>
      <c r="C84" s="548"/>
      <c r="D84" s="548"/>
      <c r="E84" s="548"/>
      <c r="F84" s="548"/>
      <c r="G84" s="548"/>
      <c r="H84" s="343"/>
      <c r="I84" s="176"/>
      <c r="J84" s="177"/>
      <c r="K84" s="307"/>
      <c r="L84" s="637"/>
      <c r="M84" s="638"/>
      <c r="N84" s="326"/>
    </row>
    <row r="85" spans="1:14" ht="13.5" thickBot="1">
      <c r="B85" s="649"/>
      <c r="C85" s="650"/>
      <c r="D85" s="650"/>
      <c r="E85" s="650"/>
      <c r="F85" s="650"/>
      <c r="G85" s="650"/>
      <c r="H85" s="311"/>
      <c r="I85" s="173"/>
      <c r="J85" s="161"/>
      <c r="K85" s="309"/>
      <c r="L85" s="534"/>
      <c r="M85" s="535"/>
      <c r="N85" s="327"/>
    </row>
    <row r="86" spans="1:14" ht="14.25" thickBot="1">
      <c r="B86" s="524" t="s">
        <v>472</v>
      </c>
      <c r="C86" s="525"/>
      <c r="D86" s="525"/>
      <c r="E86" s="525"/>
      <c r="F86" s="525"/>
      <c r="G86" s="525"/>
      <c r="H86" s="525"/>
      <c r="I86" s="525"/>
      <c r="J86" s="525"/>
      <c r="K86" s="525"/>
      <c r="L86" s="525"/>
      <c r="M86" s="526"/>
      <c r="N86" s="319">
        <f>SUM(N76:N85)</f>
        <v>2381.875</v>
      </c>
    </row>
    <row r="87" spans="1:14" ht="13.5" thickBot="1">
      <c r="B87" s="159"/>
      <c r="C87" s="140"/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7"/>
    </row>
    <row r="88" spans="1:14" ht="13.5" thickBot="1">
      <c r="B88" s="531" t="s">
        <v>474</v>
      </c>
      <c r="C88" s="532"/>
      <c r="D88" s="532"/>
      <c r="E88" s="532"/>
      <c r="F88" s="532"/>
      <c r="G88" s="532"/>
      <c r="H88" s="532"/>
      <c r="I88" s="532"/>
      <c r="J88" s="532"/>
      <c r="K88" s="532"/>
      <c r="L88" s="532"/>
      <c r="M88" s="533"/>
      <c r="N88" s="328">
        <f>+N86+N72+N65+N48</f>
        <v>155226.533</v>
      </c>
    </row>
    <row r="89" spans="1:14">
      <c r="B89" s="574" t="s">
        <v>91</v>
      </c>
      <c r="C89" s="575"/>
      <c r="D89" s="575"/>
      <c r="E89" s="575"/>
      <c r="F89" s="575"/>
      <c r="G89" s="575"/>
      <c r="H89" s="575"/>
      <c r="I89" s="575"/>
      <c r="J89" s="575"/>
      <c r="K89" s="575"/>
      <c r="L89" s="575"/>
      <c r="M89" s="575"/>
      <c r="N89" s="576"/>
    </row>
    <row r="90" spans="1:14">
      <c r="B90" s="577" t="s">
        <v>91</v>
      </c>
      <c r="C90" s="578"/>
      <c r="D90" s="578"/>
      <c r="E90" s="578"/>
      <c r="F90" s="578"/>
      <c r="G90" s="578"/>
      <c r="H90" s="578"/>
      <c r="I90" s="578"/>
      <c r="J90" s="578"/>
      <c r="K90" s="578"/>
      <c r="L90" s="578"/>
      <c r="M90" s="578"/>
      <c r="N90" s="579"/>
    </row>
    <row r="91" spans="1:14" ht="13.5" thickBot="1">
      <c r="B91" s="580"/>
      <c r="C91" s="581"/>
      <c r="D91" s="581"/>
      <c r="E91" s="581"/>
      <c r="F91" s="581"/>
      <c r="G91" s="581"/>
      <c r="H91" s="581"/>
      <c r="I91" s="581"/>
      <c r="J91" s="581"/>
      <c r="K91" s="581"/>
      <c r="L91" s="581"/>
      <c r="M91" s="581"/>
      <c r="N91" s="582"/>
    </row>
    <row r="92" spans="1:14" ht="13.5">
      <c r="B92" s="536" t="s">
        <v>88</v>
      </c>
      <c r="C92" s="537"/>
      <c r="D92" s="537"/>
      <c r="E92" s="537"/>
      <c r="F92" s="537"/>
      <c r="G92" s="537"/>
      <c r="H92" s="537"/>
      <c r="I92" s="240"/>
      <c r="J92" s="246"/>
      <c r="K92" s="243" t="s">
        <v>92</v>
      </c>
      <c r="L92" s="527" t="s">
        <v>93</v>
      </c>
      <c r="M92" s="528"/>
      <c r="N92" s="244"/>
    </row>
    <row r="93" spans="1:14">
      <c r="B93" s="540" t="s">
        <v>82</v>
      </c>
      <c r="C93" s="541"/>
      <c r="D93" s="541"/>
      <c r="E93" s="541"/>
      <c r="F93" s="541"/>
      <c r="G93" s="541"/>
      <c r="H93" s="541"/>
      <c r="I93" s="182"/>
      <c r="J93" s="183"/>
      <c r="K93" s="251">
        <v>0.25</v>
      </c>
      <c r="L93" s="522">
        <f>+N88*K93</f>
        <v>38806.633249999999</v>
      </c>
      <c r="M93" s="523"/>
      <c r="N93" s="184"/>
    </row>
    <row r="94" spans="1:14">
      <c r="B94" s="185" t="s">
        <v>94</v>
      </c>
      <c r="C94" s="186"/>
      <c r="D94" s="186"/>
      <c r="E94" s="186"/>
      <c r="F94" s="186"/>
      <c r="G94" s="186"/>
      <c r="H94" s="186"/>
      <c r="I94" s="182"/>
      <c r="J94" s="183"/>
      <c r="K94" s="251">
        <v>0.05</v>
      </c>
      <c r="L94" s="522">
        <f>+N88*K94</f>
        <v>7761.32665</v>
      </c>
      <c r="M94" s="523"/>
      <c r="N94" s="184"/>
    </row>
    <row r="95" spans="1:14" ht="13.5" thickBot="1">
      <c r="B95" s="187" t="s">
        <v>83</v>
      </c>
      <c r="C95" s="188"/>
      <c r="D95" s="188"/>
      <c r="E95" s="188"/>
      <c r="F95" s="188"/>
      <c r="G95" s="188"/>
      <c r="H95" s="188"/>
      <c r="I95" s="189"/>
      <c r="J95" s="190"/>
      <c r="K95" s="251">
        <v>0.05</v>
      </c>
      <c r="L95" s="627">
        <f>+N88*K95</f>
        <v>7761.32665</v>
      </c>
      <c r="M95" s="628"/>
      <c r="N95" s="184"/>
    </row>
    <row r="96" spans="1:14" ht="14.25" thickBot="1">
      <c r="B96" s="524" t="s">
        <v>472</v>
      </c>
      <c r="C96" s="525"/>
      <c r="D96" s="525"/>
      <c r="E96" s="525"/>
      <c r="F96" s="525"/>
      <c r="G96" s="525"/>
      <c r="H96" s="525"/>
      <c r="I96" s="525"/>
      <c r="J96" s="525"/>
      <c r="K96" s="525"/>
      <c r="L96" s="525"/>
      <c r="M96" s="526"/>
      <c r="N96" s="204">
        <f>SUM(L93:M95)</f>
        <v>54329.286550000004</v>
      </c>
    </row>
    <row r="97" spans="2:14" ht="13.5" thickBot="1">
      <c r="B97" s="159"/>
      <c r="C97" s="140"/>
      <c r="D97" s="140"/>
      <c r="E97" s="140"/>
      <c r="F97" s="140"/>
      <c r="G97" s="140"/>
      <c r="H97" s="140"/>
      <c r="I97" s="140"/>
      <c r="J97" s="140"/>
      <c r="K97" s="140"/>
      <c r="L97" s="140"/>
      <c r="M97" s="140"/>
      <c r="N97" s="147"/>
    </row>
    <row r="98" spans="2:14" ht="13.5" thickBot="1">
      <c r="B98" s="531" t="s">
        <v>473</v>
      </c>
      <c r="C98" s="532"/>
      <c r="D98" s="532"/>
      <c r="E98" s="532"/>
      <c r="F98" s="532"/>
      <c r="G98" s="532"/>
      <c r="H98" s="532"/>
      <c r="I98" s="532"/>
      <c r="J98" s="532"/>
      <c r="K98" s="532"/>
      <c r="L98" s="532"/>
      <c r="M98" s="533"/>
      <c r="N98" s="328">
        <f>ROUND(N88+N96,0)</f>
        <v>209556</v>
      </c>
    </row>
    <row r="99" spans="2:14">
      <c r="B99" s="138"/>
      <c r="C99" s="139"/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41"/>
    </row>
    <row r="100" spans="2:14">
      <c r="B100" s="159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7"/>
    </row>
    <row r="101" spans="2:14">
      <c r="B101" s="159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7"/>
    </row>
    <row r="102" spans="2:14">
      <c r="B102" s="159"/>
      <c r="C102" s="140"/>
      <c r="D102" s="140"/>
      <c r="E102" s="140"/>
      <c r="F102" s="140"/>
      <c r="G102" s="145" t="str">
        <f>+'SV-01'!$G$96</f>
        <v>Firma</v>
      </c>
      <c r="H102" s="145"/>
      <c r="I102" s="145"/>
      <c r="J102" s="145"/>
      <c r="K102" s="140"/>
      <c r="L102" s="140"/>
      <c r="M102" s="140"/>
      <c r="N102" s="147"/>
    </row>
    <row r="103" spans="2:14" ht="13.5">
      <c r="B103" s="192"/>
      <c r="C103" s="193"/>
      <c r="D103" s="193"/>
      <c r="E103" s="193"/>
      <c r="F103" s="193"/>
      <c r="G103" s="145" t="str">
        <f>+'SV-01'!$G$97</f>
        <v>Nombre:</v>
      </c>
      <c r="H103" s="193"/>
      <c r="I103" s="193"/>
      <c r="J103" s="193"/>
      <c r="K103" s="193"/>
      <c r="L103" s="193"/>
      <c r="M103" s="193"/>
      <c r="N103" s="194"/>
    </row>
    <row r="104" spans="2:14" ht="13.5">
      <c r="B104" s="192"/>
      <c r="C104" s="193"/>
      <c r="D104" s="193"/>
      <c r="E104" s="193"/>
      <c r="F104" s="193"/>
      <c r="G104" s="145" t="str">
        <f>+'SV-01'!$G$98</f>
        <v>Representante Legal del Contratista o su Apoderado</v>
      </c>
      <c r="J104" s="193"/>
      <c r="K104" s="193"/>
      <c r="L104" s="193"/>
      <c r="M104" s="193"/>
      <c r="N104" s="194"/>
    </row>
    <row r="105" spans="2:14">
      <c r="B105" s="123"/>
      <c r="C105" s="155"/>
      <c r="D105" s="155"/>
      <c r="E105" s="155"/>
      <c r="F105" s="155"/>
      <c r="G105" s="145" t="str">
        <f>+'SV-01'!$G$99</f>
        <v>Matricula No. :</v>
      </c>
      <c r="H105" s="155"/>
      <c r="I105" s="155"/>
      <c r="J105" s="155"/>
      <c r="K105" s="155"/>
      <c r="L105" s="155"/>
      <c r="M105" s="155"/>
      <c r="N105" s="153"/>
    </row>
    <row r="106" spans="2:14">
      <c r="B106" s="159"/>
      <c r="C106" s="140"/>
      <c r="D106" s="140"/>
      <c r="E106" s="140"/>
      <c r="F106" s="140"/>
      <c r="G106" s="140" t="s">
        <v>206</v>
      </c>
      <c r="H106" s="140"/>
      <c r="I106" s="140"/>
      <c r="J106" s="140"/>
      <c r="K106" s="140"/>
      <c r="L106" s="140"/>
      <c r="M106" s="140"/>
      <c r="N106" s="147"/>
    </row>
    <row r="107" spans="2:14" ht="13.5">
      <c r="B107" s="165" t="str">
        <f>+'SV-01'!$B$101</f>
        <v>OBSERVACIONES INTERVENTORÍA</v>
      </c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7"/>
    </row>
    <row r="108" spans="2:14">
      <c r="B108" s="544"/>
      <c r="C108" s="545"/>
      <c r="D108" s="545"/>
      <c r="E108" s="545"/>
      <c r="F108" s="545"/>
      <c r="G108" s="545"/>
      <c r="H108" s="545"/>
      <c r="I108" s="545"/>
      <c r="J108" s="545"/>
      <c r="K108" s="545"/>
      <c r="L108" s="545"/>
      <c r="M108" s="545"/>
      <c r="N108" s="546"/>
    </row>
    <row r="109" spans="2:14">
      <c r="B109" s="547"/>
      <c r="C109" s="548"/>
      <c r="D109" s="548"/>
      <c r="E109" s="548"/>
      <c r="F109" s="548"/>
      <c r="G109" s="548"/>
      <c r="H109" s="548"/>
      <c r="I109" s="548"/>
      <c r="J109" s="548"/>
      <c r="K109" s="548"/>
      <c r="L109" s="548"/>
      <c r="M109" s="548"/>
      <c r="N109" s="549"/>
    </row>
    <row r="110" spans="2:14">
      <c r="B110" s="123"/>
      <c r="C110" s="155"/>
      <c r="D110" s="155"/>
      <c r="E110" s="155"/>
      <c r="F110" s="155"/>
      <c r="G110" s="155"/>
      <c r="H110" s="155"/>
      <c r="I110" s="155"/>
      <c r="J110" s="155"/>
      <c r="K110" s="155"/>
      <c r="L110" s="155"/>
      <c r="M110" s="155"/>
      <c r="N110" s="153"/>
    </row>
    <row r="111" spans="2:14">
      <c r="B111" s="159"/>
      <c r="C111" s="140"/>
      <c r="D111" s="140"/>
      <c r="E111" s="140"/>
      <c r="F111" s="140"/>
      <c r="G111" s="145" t="str">
        <f>+'SV-01'!$G$105</f>
        <v>Firma</v>
      </c>
      <c r="H111" s="140"/>
      <c r="I111" s="140"/>
      <c r="J111" s="140"/>
      <c r="K111" s="140"/>
      <c r="L111" s="140"/>
      <c r="M111" s="140"/>
      <c r="N111" s="147"/>
    </row>
    <row r="112" spans="2:14">
      <c r="B112" s="159"/>
      <c r="C112" s="140"/>
      <c r="D112" s="140"/>
      <c r="E112" s="140"/>
      <c r="F112" s="140"/>
      <c r="G112" s="140" t="str">
        <f>+'SV-01'!$G$106</f>
        <v>Nombre:</v>
      </c>
      <c r="H112" s="160"/>
      <c r="I112" s="160"/>
      <c r="J112" s="160"/>
      <c r="K112" s="140"/>
      <c r="L112" s="140"/>
      <c r="M112" s="140"/>
      <c r="N112" s="147"/>
    </row>
    <row r="113" spans="2:14">
      <c r="B113" s="159"/>
      <c r="C113" s="140"/>
      <c r="D113" s="140"/>
      <c r="E113" s="140"/>
      <c r="F113" s="140"/>
      <c r="G113" s="140" t="str">
        <f>+'SV-01'!$G$107</f>
        <v>Representante Legal del Interventor o su Apoderado</v>
      </c>
      <c r="H113" s="154"/>
      <c r="I113" s="154"/>
      <c r="J113" s="154"/>
      <c r="M113" s="140"/>
      <c r="N113" s="147"/>
    </row>
    <row r="114" spans="2:14">
      <c r="B114" s="196"/>
      <c r="C114" s="155"/>
      <c r="D114" s="155"/>
      <c r="E114" s="155"/>
      <c r="F114" s="155"/>
      <c r="G114" s="140" t="str">
        <f>+'SV-01'!$G$108</f>
        <v>Matricula No. :</v>
      </c>
      <c r="K114" s="155"/>
      <c r="L114" s="155"/>
      <c r="M114" s="155"/>
      <c r="N114" s="153"/>
    </row>
    <row r="115" spans="2:14" ht="12.75" customHeight="1">
      <c r="B115" s="199" t="str">
        <f>+'SV-01'!$B$109</f>
        <v xml:space="preserve">Original: Archivo de Gestión Contractual ( Subdirecciòn Administrativa) </v>
      </c>
      <c r="C115" s="197"/>
      <c r="D115" s="197"/>
      <c r="E115" s="140"/>
      <c r="F115" s="140"/>
      <c r="G115" s="140"/>
      <c r="H115" s="140"/>
      <c r="I115" s="140"/>
      <c r="J115" s="515"/>
      <c r="K115" s="515"/>
      <c r="L115" s="515"/>
      <c r="M115" s="515"/>
      <c r="N115" s="516"/>
    </row>
    <row r="116" spans="2:14" ht="12.75" customHeight="1">
      <c r="B116" s="199" t="str">
        <f>+'SV-01'!$B$110</f>
        <v>Copias : Unidad Ejecutora,  Contratista, Interventor y Dirección Territorial.</v>
      </c>
      <c r="C116" s="197"/>
      <c r="D116" s="197"/>
      <c r="E116" s="140"/>
      <c r="F116" s="140"/>
      <c r="G116" s="140"/>
      <c r="H116" s="140"/>
      <c r="I116" s="140"/>
      <c r="J116" s="515"/>
      <c r="K116" s="515"/>
      <c r="L116" s="515"/>
      <c r="M116" s="515"/>
      <c r="N116" s="516"/>
    </row>
    <row r="117" spans="2:14" ht="13.5" customHeight="1" thickBot="1">
      <c r="B117" s="519"/>
      <c r="C117" s="520"/>
      <c r="D117" s="520"/>
      <c r="E117" s="161"/>
      <c r="F117" s="161"/>
      <c r="G117" s="161"/>
      <c r="H117" s="161"/>
      <c r="I117" s="161"/>
      <c r="J117" s="517"/>
      <c r="K117" s="517"/>
      <c r="L117" s="517"/>
      <c r="M117" s="517"/>
      <c r="N117" s="518"/>
    </row>
  </sheetData>
  <mergeCells count="136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K6:K8"/>
    <mergeCell ref="L6:L8"/>
    <mergeCell ref="M6:M8"/>
    <mergeCell ref="N6:N8"/>
    <mergeCell ref="C8:J8"/>
    <mergeCell ref="C6:J7"/>
    <mergeCell ref="L33:M33"/>
    <mergeCell ref="I37:J37"/>
    <mergeCell ref="L37:M37"/>
    <mergeCell ref="C33:K33"/>
    <mergeCell ref="B34:N36"/>
    <mergeCell ref="B37:H37"/>
    <mergeCell ref="L32:M32"/>
    <mergeCell ref="D12:G12"/>
    <mergeCell ref="J12:M12"/>
    <mergeCell ref="L13:N13"/>
    <mergeCell ref="B30:N30"/>
    <mergeCell ref="E26:M26"/>
    <mergeCell ref="G28:M28"/>
    <mergeCell ref="H18:M18"/>
    <mergeCell ref="D19:M20"/>
    <mergeCell ref="D22:M22"/>
    <mergeCell ref="D24:M24"/>
    <mergeCell ref="C32:K32"/>
    <mergeCell ref="B49:N51"/>
    <mergeCell ref="B56:I56"/>
    <mergeCell ref="B57:I57"/>
    <mergeCell ref="B58:I58"/>
    <mergeCell ref="B59:I59"/>
    <mergeCell ref="I38:J38"/>
    <mergeCell ref="L38:M38"/>
    <mergeCell ref="L45:M45"/>
    <mergeCell ref="I45:J45"/>
    <mergeCell ref="B38:H38"/>
    <mergeCell ref="B39:H39"/>
    <mergeCell ref="B40:H40"/>
    <mergeCell ref="B41:H41"/>
    <mergeCell ref="B42:H42"/>
    <mergeCell ref="B43:H43"/>
    <mergeCell ref="B44:H44"/>
    <mergeCell ref="B45:H45"/>
    <mergeCell ref="L44:M44"/>
    <mergeCell ref="L46:M46"/>
    <mergeCell ref="B54:I54"/>
    <mergeCell ref="B55:I55"/>
    <mergeCell ref="L39:M39"/>
    <mergeCell ref="L40:M40"/>
    <mergeCell ref="L41:M41"/>
    <mergeCell ref="B86:M86"/>
    <mergeCell ref="B88:M88"/>
    <mergeCell ref="B92:H92"/>
    <mergeCell ref="L92:M92"/>
    <mergeCell ref="B89:N91"/>
    <mergeCell ref="L84:M84"/>
    <mergeCell ref="B65:M65"/>
    <mergeCell ref="B69:H69"/>
    <mergeCell ref="L69:M69"/>
    <mergeCell ref="B70:H70"/>
    <mergeCell ref="L70:M70"/>
    <mergeCell ref="B71:H71"/>
    <mergeCell ref="L71:M71"/>
    <mergeCell ref="B72:M72"/>
    <mergeCell ref="L75:M75"/>
    <mergeCell ref="L76:M76"/>
    <mergeCell ref="L83:M83"/>
    <mergeCell ref="B66:N68"/>
    <mergeCell ref="B76:G76"/>
    <mergeCell ref="B83:G83"/>
    <mergeCell ref="B84:G84"/>
    <mergeCell ref="B108:N108"/>
    <mergeCell ref="B109:N109"/>
    <mergeCell ref="J115:N117"/>
    <mergeCell ref="B117:D117"/>
    <mergeCell ref="B93:H93"/>
    <mergeCell ref="L93:M93"/>
    <mergeCell ref="L94:M94"/>
    <mergeCell ref="L95:M95"/>
    <mergeCell ref="B96:M96"/>
    <mergeCell ref="B98:M98"/>
    <mergeCell ref="L42:M42"/>
    <mergeCell ref="L43:M43"/>
    <mergeCell ref="B46:H46"/>
    <mergeCell ref="B47:H47"/>
    <mergeCell ref="I39:J39"/>
    <mergeCell ref="I40:J40"/>
    <mergeCell ref="I41:J41"/>
    <mergeCell ref="I42:J42"/>
    <mergeCell ref="I43:J43"/>
    <mergeCell ref="I44:J44"/>
    <mergeCell ref="I47:J47"/>
    <mergeCell ref="L47:M47"/>
    <mergeCell ref="B48:M48"/>
    <mergeCell ref="B52:I52"/>
    <mergeCell ref="L52:M52"/>
    <mergeCell ref="B53:I53"/>
    <mergeCell ref="L53:M53"/>
    <mergeCell ref="B85:G85"/>
    <mergeCell ref="B75:G75"/>
    <mergeCell ref="B77:G77"/>
    <mergeCell ref="B78:G78"/>
    <mergeCell ref="B79:G79"/>
    <mergeCell ref="B80:G80"/>
    <mergeCell ref="B81:G81"/>
    <mergeCell ref="B60:I60"/>
    <mergeCell ref="L54:M54"/>
    <mergeCell ref="L55:M55"/>
    <mergeCell ref="L56:M56"/>
    <mergeCell ref="L57:M57"/>
    <mergeCell ref="L58:M58"/>
    <mergeCell ref="L59:M59"/>
    <mergeCell ref="L60:M60"/>
    <mergeCell ref="L85:M85"/>
    <mergeCell ref="B62:I62"/>
    <mergeCell ref="L62:M62"/>
    <mergeCell ref="B63:I63"/>
    <mergeCell ref="L63:M63"/>
    <mergeCell ref="B64:I64"/>
    <mergeCell ref="L64:M64"/>
    <mergeCell ref="B61:I61"/>
    <mergeCell ref="L61:M61"/>
    <mergeCell ref="L82:M82"/>
    <mergeCell ref="L77:M77"/>
    <mergeCell ref="L78:M78"/>
    <mergeCell ref="L79:M79"/>
    <mergeCell ref="L80:M80"/>
    <mergeCell ref="L81:M81"/>
    <mergeCell ref="B82:G82"/>
  </mergeCells>
  <pageMargins left="0.74803149606299213" right="0.74803149606299213" top="0.98425196850393704" bottom="0.98425196850393704" header="0" footer="0"/>
  <pageSetup scale="43" orientation="portrait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4"/>
  <dimension ref="A1:N118"/>
  <sheetViews>
    <sheetView showGridLines="0" view="pageBreakPreview" zoomScaleNormal="100" zoomScaleSheetLayoutView="100" workbookViewId="0">
      <selection activeCell="C5" sqref="C5:J5"/>
    </sheetView>
  </sheetViews>
  <sheetFormatPr baseColWidth="10" defaultRowHeight="12.75"/>
  <cols>
    <col min="1" max="1" width="3.140625" style="113" customWidth="1"/>
    <col min="2" max="2" width="11.5703125" style="113" bestFit="1" customWidth="1"/>
    <col min="3" max="8" width="11.42578125" style="113"/>
    <col min="9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ht="13.5" thickBot="1">
      <c r="B33" s="236" t="e">
        <f>+'PRESUPUESTO OFICIAL'!#REF!</f>
        <v>#REF!</v>
      </c>
      <c r="C33" s="653" t="e">
        <f>+'PRESUPUESTO OFICIAL'!#REF!</f>
        <v>#REF!</v>
      </c>
      <c r="D33" s="655"/>
      <c r="E33" s="655"/>
      <c r="F33" s="655"/>
      <c r="G33" s="655"/>
      <c r="H33" s="655"/>
      <c r="I33" s="655"/>
      <c r="J33" s="655"/>
      <c r="K33" s="654"/>
      <c r="L33" s="653" t="s">
        <v>16</v>
      </c>
      <c r="M33" s="654"/>
      <c r="N33" s="259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30</v>
      </c>
      <c r="M38" s="638"/>
      <c r="N38" s="297">
        <f>+K38/L38</f>
        <v>677.9666666666667</v>
      </c>
    </row>
    <row r="39" spans="1:14">
      <c r="A39" s="113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379"/>
      <c r="J39" s="380"/>
      <c r="K39" s="315">
        <f>VLOOKUP(A39,Equipo!$A$4:$D$80,4,0)</f>
        <v>20339</v>
      </c>
      <c r="L39" s="637">
        <v>30</v>
      </c>
      <c r="M39" s="638"/>
      <c r="N39" s="297">
        <f t="shared" ref="N39:N44" si="0">+K39/L39</f>
        <v>677.9666666666667</v>
      </c>
    </row>
    <row r="40" spans="1:14">
      <c r="A40" s="113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379"/>
      <c r="J40" s="380"/>
      <c r="K40" s="315">
        <f>VLOOKUP(A40,Equipo!$A$4:$D$80,4,0)</f>
        <v>16271</v>
      </c>
      <c r="L40" s="637">
        <v>30</v>
      </c>
      <c r="M40" s="638"/>
      <c r="N40" s="297">
        <f t="shared" si="0"/>
        <v>542.36666666666667</v>
      </c>
    </row>
    <row r="41" spans="1:14">
      <c r="A41" s="113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379"/>
      <c r="J41" s="380"/>
      <c r="K41" s="315">
        <f>VLOOKUP(A41,Equipo!$A$4:$D$80,4,0)</f>
        <v>20339</v>
      </c>
      <c r="L41" s="637">
        <v>30</v>
      </c>
      <c r="M41" s="638"/>
      <c r="N41" s="297">
        <f t="shared" si="0"/>
        <v>677.9666666666667</v>
      </c>
    </row>
    <row r="42" spans="1:14">
      <c r="A42" s="113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379"/>
      <c r="J42" s="380"/>
      <c r="K42" s="315">
        <f>VLOOKUP(A42,Equipo!$A$4:$D$80,4,0)</f>
        <v>13574</v>
      </c>
      <c r="L42" s="637">
        <v>30</v>
      </c>
      <c r="M42" s="638"/>
      <c r="N42" s="297">
        <f t="shared" si="0"/>
        <v>452.46666666666664</v>
      </c>
    </row>
    <row r="43" spans="1:14">
      <c r="A43" s="113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379"/>
      <c r="J43" s="380"/>
      <c r="K43" s="315">
        <f>VLOOKUP(A43,Equipo!$A$4:$D$80,4,0)</f>
        <v>8003</v>
      </c>
      <c r="L43" s="637">
        <v>30</v>
      </c>
      <c r="M43" s="638"/>
      <c r="N43" s="297">
        <f t="shared" si="0"/>
        <v>266.76666666666665</v>
      </c>
    </row>
    <row r="44" spans="1:14">
      <c r="A44" s="113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379"/>
      <c r="J44" s="380"/>
      <c r="K44" s="315">
        <f>VLOOKUP(A44,Equipo!$A$4:$D$80,4,0)</f>
        <v>2715</v>
      </c>
      <c r="L44" s="637">
        <v>30</v>
      </c>
      <c r="M44" s="638"/>
      <c r="N44" s="297">
        <f t="shared" si="0"/>
        <v>90.5</v>
      </c>
    </row>
    <row r="45" spans="1:14">
      <c r="B45" s="550" t="str">
        <f>+'SV-15'!B45:H45</f>
        <v>HERRAMIENTA MENOR</v>
      </c>
      <c r="C45" s="551"/>
      <c r="D45" s="551"/>
      <c r="E45" s="551"/>
      <c r="F45" s="551"/>
      <c r="G45" s="551"/>
      <c r="H45" s="552"/>
      <c r="I45" s="620"/>
      <c r="J45" s="621"/>
      <c r="K45" s="162"/>
      <c r="L45" s="637"/>
      <c r="M45" s="638"/>
      <c r="N45" s="297">
        <v>1200</v>
      </c>
    </row>
    <row r="46" spans="1:14">
      <c r="B46" s="547"/>
      <c r="C46" s="548"/>
      <c r="D46" s="548"/>
      <c r="E46" s="548"/>
      <c r="F46" s="548"/>
      <c r="G46" s="548"/>
      <c r="H46" s="543"/>
      <c r="I46" s="203"/>
      <c r="J46" s="202"/>
      <c r="K46" s="162"/>
      <c r="L46" s="252"/>
      <c r="M46" s="253"/>
      <c r="N46" s="297"/>
    </row>
    <row r="47" spans="1:14" ht="13.5" thickBot="1">
      <c r="B47" s="547"/>
      <c r="C47" s="548"/>
      <c r="D47" s="548"/>
      <c r="E47" s="548"/>
      <c r="F47" s="548"/>
      <c r="G47" s="548"/>
      <c r="H47" s="543"/>
      <c r="I47" s="622"/>
      <c r="J47" s="623"/>
      <c r="K47" s="162"/>
      <c r="L47" s="647"/>
      <c r="M47" s="648"/>
      <c r="N47" s="297"/>
    </row>
    <row r="48" spans="1:14" ht="14.25" thickBot="1">
      <c r="B48" s="524" t="s">
        <v>469</v>
      </c>
      <c r="C48" s="525"/>
      <c r="D48" s="525"/>
      <c r="E48" s="525"/>
      <c r="F48" s="525"/>
      <c r="G48" s="525"/>
      <c r="H48" s="525"/>
      <c r="I48" s="525"/>
      <c r="J48" s="525"/>
      <c r="K48" s="525"/>
      <c r="L48" s="525"/>
      <c r="M48" s="526"/>
      <c r="N48" s="204">
        <f>SUM(N38:N47)</f>
        <v>4586</v>
      </c>
    </row>
    <row r="49" spans="1:14">
      <c r="B49" s="574" t="s">
        <v>138</v>
      </c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6"/>
    </row>
    <row r="50" spans="1:14">
      <c r="B50" s="577" t="s">
        <v>138</v>
      </c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9"/>
    </row>
    <row r="51" spans="1:14" ht="13.5" thickBot="1">
      <c r="B51" s="580"/>
      <c r="C51" s="581"/>
      <c r="D51" s="581"/>
      <c r="E51" s="581"/>
      <c r="F51" s="581"/>
      <c r="G51" s="581"/>
      <c r="H51" s="581"/>
      <c r="I51" s="581"/>
      <c r="J51" s="581"/>
      <c r="K51" s="581"/>
      <c r="L51" s="581"/>
      <c r="M51" s="581"/>
      <c r="N51" s="582"/>
    </row>
    <row r="52" spans="1:14" ht="13.5">
      <c r="B52" s="536" t="s">
        <v>125</v>
      </c>
      <c r="C52" s="537"/>
      <c r="D52" s="537"/>
      <c r="E52" s="537"/>
      <c r="F52" s="537"/>
      <c r="G52" s="537"/>
      <c r="H52" s="537"/>
      <c r="I52" s="539"/>
      <c r="J52" s="239" t="s">
        <v>16</v>
      </c>
      <c r="K52" s="237" t="s">
        <v>101</v>
      </c>
      <c r="L52" s="538" t="s">
        <v>139</v>
      </c>
      <c r="M52" s="539"/>
      <c r="N52" s="238" t="s">
        <v>140</v>
      </c>
    </row>
    <row r="53" spans="1:14">
      <c r="A53" s="113" t="s">
        <v>344</v>
      </c>
      <c r="B53" s="550" t="str">
        <f>VLOOKUP(A53,Materiales!$A$4:$D$141,2,0)</f>
        <v>LAMINA GALV. CALIBRE 16</v>
      </c>
      <c r="C53" s="551"/>
      <c r="D53" s="551"/>
      <c r="E53" s="551"/>
      <c r="F53" s="551"/>
      <c r="G53" s="551"/>
      <c r="H53" s="551"/>
      <c r="I53" s="552"/>
      <c r="J53" s="372" t="str">
        <f>VLOOKUP(A53,Materiales!$A$4:$D$141,3,0)</f>
        <v>M2</v>
      </c>
      <c r="K53" s="200">
        <f>0.66*1.05</f>
        <v>0.69300000000000006</v>
      </c>
      <c r="L53" s="522">
        <f>VLOOKUP(A53,Materiales!$A$4:$D$141,4,0)</f>
        <v>49580</v>
      </c>
      <c r="M53" s="523"/>
      <c r="N53" s="297">
        <f>+L53*K53</f>
        <v>34358.94</v>
      </c>
    </row>
    <row r="54" spans="1:14">
      <c r="A54" s="113" t="s">
        <v>345</v>
      </c>
      <c r="B54" s="550" t="str">
        <f>VLOOKUP(A54,Materiales!$A$4:$D$141,2,0)</f>
        <v>PAPEL REFLECTIVO TIPO III</v>
      </c>
      <c r="C54" s="551"/>
      <c r="D54" s="551"/>
      <c r="E54" s="551"/>
      <c r="F54" s="551"/>
      <c r="G54" s="551"/>
      <c r="H54" s="551"/>
      <c r="I54" s="552"/>
      <c r="J54" s="372" t="str">
        <f>VLOOKUP(A54,Materiales!$A$4:$D$141,3,0)</f>
        <v>M2</v>
      </c>
      <c r="K54" s="200">
        <v>0.66</v>
      </c>
      <c r="L54" s="522">
        <f>VLOOKUP(A54,Materiales!$A$4:$D$141,4,0)</f>
        <v>48400</v>
      </c>
      <c r="M54" s="523"/>
      <c r="N54" s="297">
        <f t="shared" ref="N54:N61" si="1">+L54*K54</f>
        <v>31944</v>
      </c>
    </row>
    <row r="55" spans="1:14">
      <c r="A55" s="113" t="s">
        <v>346</v>
      </c>
      <c r="B55" s="550" t="str">
        <f>VLOOKUP(A55,Materiales!$A$4:$D$141,2,0)</f>
        <v>ANGULO DE 2" X 1/4"</v>
      </c>
      <c r="C55" s="551"/>
      <c r="D55" s="551"/>
      <c r="E55" s="551"/>
      <c r="F55" s="551"/>
      <c r="G55" s="551"/>
      <c r="H55" s="551"/>
      <c r="I55" s="552"/>
      <c r="J55" s="372" t="str">
        <f>VLOOKUP(A55,Materiales!$A$4:$D$141,3,0)</f>
        <v>ML</v>
      </c>
      <c r="K55" s="200">
        <v>2</v>
      </c>
      <c r="L55" s="522">
        <f>VLOOKUP(A55,Materiales!$A$4:$D$141,4,0)</f>
        <v>17710</v>
      </c>
      <c r="M55" s="523"/>
      <c r="N55" s="297">
        <f t="shared" si="1"/>
        <v>35420</v>
      </c>
    </row>
    <row r="56" spans="1:14">
      <c r="A56" s="113" t="s">
        <v>347</v>
      </c>
      <c r="B56" s="550" t="str">
        <f>VLOOKUP(A56,Materiales!$A$4:$D$141,2,0)</f>
        <v>ANGULO DE 2" X 1/8"</v>
      </c>
      <c r="C56" s="551"/>
      <c r="D56" s="551"/>
      <c r="E56" s="551"/>
      <c r="F56" s="551"/>
      <c r="G56" s="551"/>
      <c r="H56" s="551"/>
      <c r="I56" s="552"/>
      <c r="J56" s="372" t="str">
        <f>VLOOKUP(A56,Materiales!$A$4:$D$141,3,0)</f>
        <v>ML</v>
      </c>
      <c r="K56" s="200">
        <v>0.45</v>
      </c>
      <c r="L56" s="522">
        <f>VLOOKUP(A56,Materiales!$A$4:$D$141,4,0)</f>
        <v>9810</v>
      </c>
      <c r="M56" s="523"/>
      <c r="N56" s="297">
        <f t="shared" si="1"/>
        <v>4414.5</v>
      </c>
    </row>
    <row r="57" spans="1:14">
      <c r="A57" s="113" t="s">
        <v>348</v>
      </c>
      <c r="B57" s="550" t="str">
        <f>VLOOKUP(A57,Materiales!$A$4:$D$141,2,0)</f>
        <v>TORNILLOS Y REMACHES</v>
      </c>
      <c r="C57" s="551"/>
      <c r="D57" s="551"/>
      <c r="E57" s="551"/>
      <c r="F57" s="551"/>
      <c r="G57" s="551"/>
      <c r="H57" s="551"/>
      <c r="I57" s="552"/>
      <c r="J57" s="372" t="str">
        <f>VLOOKUP(A57,Materiales!$A$4:$D$141,3,0)</f>
        <v>UND.</v>
      </c>
      <c r="K57" s="200">
        <v>8</v>
      </c>
      <c r="L57" s="522">
        <f>VLOOKUP(A57,Materiales!$A$4:$D$141,4,0)</f>
        <v>1004</v>
      </c>
      <c r="M57" s="523"/>
      <c r="N57" s="297">
        <f t="shared" si="1"/>
        <v>8032</v>
      </c>
    </row>
    <row r="58" spans="1:14">
      <c r="A58" s="113" t="s">
        <v>349</v>
      </c>
      <c r="B58" s="550" t="str">
        <f>VLOOKUP(A58,Materiales!$A$4:$D$141,2,0)</f>
        <v>PINTURA EN POLVO</v>
      </c>
      <c r="C58" s="551"/>
      <c r="D58" s="551"/>
      <c r="E58" s="551"/>
      <c r="F58" s="551"/>
      <c r="G58" s="551"/>
      <c r="H58" s="551"/>
      <c r="I58" s="552"/>
      <c r="J58" s="372" t="str">
        <f>VLOOKUP(A58,Materiales!$A$4:$D$141,3,0)</f>
        <v>GALON</v>
      </c>
      <c r="K58" s="200">
        <v>7.0000000000000007E-2</v>
      </c>
      <c r="L58" s="522">
        <f>VLOOKUP(A58,Materiales!$A$4:$D$141,4,0)</f>
        <v>170330</v>
      </c>
      <c r="M58" s="523"/>
      <c r="N58" s="297">
        <f t="shared" si="1"/>
        <v>11923.1</v>
      </c>
    </row>
    <row r="59" spans="1:14">
      <c r="A59" s="113" t="s">
        <v>350</v>
      </c>
      <c r="B59" s="550" t="str">
        <f>VLOOKUP(A59,Materiales!$A$4:$D$141,2,0)</f>
        <v>PINTURA ESMALTE</v>
      </c>
      <c r="C59" s="551"/>
      <c r="D59" s="551"/>
      <c r="E59" s="551"/>
      <c r="F59" s="551"/>
      <c r="G59" s="551"/>
      <c r="H59" s="551"/>
      <c r="I59" s="552"/>
      <c r="J59" s="372" t="str">
        <f>VLOOKUP(A59,Materiales!$A$4:$D$141,3,0)</f>
        <v>GALON</v>
      </c>
      <c r="K59" s="200">
        <v>0.08</v>
      </c>
      <c r="L59" s="522">
        <f>VLOOKUP(A59,Materiales!$A$4:$D$141,4,0)</f>
        <v>59020</v>
      </c>
      <c r="M59" s="523"/>
      <c r="N59" s="297">
        <f t="shared" si="1"/>
        <v>4721.6000000000004</v>
      </c>
    </row>
    <row r="60" spans="1:14">
      <c r="A60" s="113" t="s">
        <v>351</v>
      </c>
      <c r="B60" s="550" t="str">
        <f>VLOOKUP(A60,Materiales!$A$4:$D$141,2,0)</f>
        <v>SOLDADURA</v>
      </c>
      <c r="C60" s="551"/>
      <c r="D60" s="551"/>
      <c r="E60" s="551"/>
      <c r="F60" s="551"/>
      <c r="G60" s="551"/>
      <c r="H60" s="551"/>
      <c r="I60" s="552"/>
      <c r="J60" s="372" t="str">
        <f>VLOOKUP(A60,Materiales!$A$4:$D$141,3,0)</f>
        <v>KG</v>
      </c>
      <c r="K60" s="200">
        <v>0.2</v>
      </c>
      <c r="L60" s="522">
        <f>VLOOKUP(A60,Materiales!$A$4:$D$141,4,0)</f>
        <v>7210</v>
      </c>
      <c r="M60" s="523"/>
      <c r="N60" s="297">
        <f t="shared" si="1"/>
        <v>1442</v>
      </c>
    </row>
    <row r="61" spans="1:14">
      <c r="A61" s="113" t="s">
        <v>352</v>
      </c>
      <c r="B61" s="550" t="str">
        <f>VLOOKUP(A61,Materiales!$A$4:$D$141,2,0)</f>
        <v>CONCRETO CLASE E</v>
      </c>
      <c r="C61" s="551"/>
      <c r="D61" s="551"/>
      <c r="E61" s="551"/>
      <c r="F61" s="551"/>
      <c r="G61" s="551"/>
      <c r="H61" s="551"/>
      <c r="I61" s="552"/>
      <c r="J61" s="372" t="str">
        <f>VLOOKUP(A61,Materiales!$A$4:$D$141,3,0)</f>
        <v>M3</v>
      </c>
      <c r="K61" s="200">
        <v>0.03</v>
      </c>
      <c r="L61" s="522">
        <f>VLOOKUP(A61,Materiales!$A$4:$D$141,4,0)</f>
        <v>463800</v>
      </c>
      <c r="M61" s="523"/>
      <c r="N61" s="297">
        <f t="shared" si="1"/>
        <v>13914</v>
      </c>
    </row>
    <row r="62" spans="1:14">
      <c r="B62" s="550"/>
      <c r="C62" s="551"/>
      <c r="D62" s="551"/>
      <c r="E62" s="551"/>
      <c r="F62" s="551"/>
      <c r="G62" s="551"/>
      <c r="H62" s="551"/>
      <c r="I62" s="552"/>
      <c r="J62" s="198"/>
      <c r="K62" s="200"/>
      <c r="L62" s="522"/>
      <c r="M62" s="523"/>
      <c r="N62" s="297"/>
    </row>
    <row r="63" spans="1:14">
      <c r="B63" s="550"/>
      <c r="C63" s="551"/>
      <c r="D63" s="551"/>
      <c r="E63" s="551"/>
      <c r="F63" s="551"/>
      <c r="G63" s="551"/>
      <c r="H63" s="551"/>
      <c r="I63" s="552"/>
      <c r="J63" s="198"/>
      <c r="K63" s="200"/>
      <c r="L63" s="522"/>
      <c r="M63" s="523"/>
      <c r="N63" s="297"/>
    </row>
    <row r="64" spans="1:14" ht="13.5" thickBot="1">
      <c r="B64" s="550"/>
      <c r="C64" s="551"/>
      <c r="D64" s="551"/>
      <c r="E64" s="551"/>
      <c r="F64" s="551"/>
      <c r="G64" s="551"/>
      <c r="H64" s="551"/>
      <c r="I64" s="552"/>
      <c r="J64" s="195"/>
      <c r="K64" s="169"/>
      <c r="L64" s="522"/>
      <c r="M64" s="523"/>
      <c r="N64" s="297"/>
    </row>
    <row r="65" spans="1:14" ht="14.25" thickBot="1">
      <c r="B65" s="524" t="s">
        <v>469</v>
      </c>
      <c r="C65" s="525"/>
      <c r="D65" s="525"/>
      <c r="E65" s="525"/>
      <c r="F65" s="525"/>
      <c r="G65" s="525"/>
      <c r="H65" s="525"/>
      <c r="I65" s="525"/>
      <c r="J65" s="525"/>
      <c r="K65" s="525"/>
      <c r="L65" s="525"/>
      <c r="M65" s="526"/>
      <c r="N65" s="319">
        <f>SUM(N53:N64)</f>
        <v>146170.14000000001</v>
      </c>
    </row>
    <row r="66" spans="1:14">
      <c r="B66" s="574" t="s">
        <v>89</v>
      </c>
      <c r="C66" s="575"/>
      <c r="D66" s="575"/>
      <c r="E66" s="575"/>
      <c r="F66" s="575"/>
      <c r="G66" s="575"/>
      <c r="H66" s="575"/>
      <c r="I66" s="575"/>
      <c r="J66" s="575"/>
      <c r="K66" s="575"/>
      <c r="L66" s="575"/>
      <c r="M66" s="575"/>
      <c r="N66" s="576"/>
    </row>
    <row r="67" spans="1:14">
      <c r="B67" s="577" t="s">
        <v>89</v>
      </c>
      <c r="C67" s="578"/>
      <c r="D67" s="578"/>
      <c r="E67" s="578"/>
      <c r="F67" s="578"/>
      <c r="G67" s="578"/>
      <c r="H67" s="578"/>
      <c r="I67" s="578"/>
      <c r="J67" s="578"/>
      <c r="K67" s="578"/>
      <c r="L67" s="578"/>
      <c r="M67" s="578"/>
      <c r="N67" s="579"/>
    </row>
    <row r="68" spans="1:14" ht="13.5" thickBot="1">
      <c r="B68" s="580"/>
      <c r="C68" s="581"/>
      <c r="D68" s="581"/>
      <c r="E68" s="581"/>
      <c r="F68" s="581"/>
      <c r="G68" s="581"/>
      <c r="H68" s="581"/>
      <c r="I68" s="581"/>
      <c r="J68" s="581"/>
      <c r="K68" s="581"/>
      <c r="L68" s="581"/>
      <c r="M68" s="581"/>
      <c r="N68" s="582"/>
    </row>
    <row r="69" spans="1:14" ht="13.5">
      <c r="B69" s="536" t="s">
        <v>141</v>
      </c>
      <c r="C69" s="537"/>
      <c r="D69" s="537"/>
      <c r="E69" s="537"/>
      <c r="F69" s="537"/>
      <c r="G69" s="537"/>
      <c r="H69" s="537"/>
      <c r="I69" s="237" t="s">
        <v>142</v>
      </c>
      <c r="J69" s="240" t="s">
        <v>143</v>
      </c>
      <c r="K69" s="241" t="s">
        <v>248</v>
      </c>
      <c r="L69" s="538" t="s">
        <v>17</v>
      </c>
      <c r="M69" s="539"/>
      <c r="N69" s="238" t="s">
        <v>140</v>
      </c>
    </row>
    <row r="70" spans="1:14">
      <c r="B70" s="540" t="s">
        <v>493</v>
      </c>
      <c r="C70" s="541"/>
      <c r="D70" s="541"/>
      <c r="E70" s="541"/>
      <c r="F70" s="541"/>
      <c r="G70" s="541"/>
      <c r="H70" s="621"/>
      <c r="I70" s="205"/>
      <c r="J70" s="209"/>
      <c r="K70" s="205"/>
      <c r="L70" s="522">
        <f>+'SV-15'!L70:M70</f>
        <v>22680</v>
      </c>
      <c r="M70" s="523"/>
      <c r="N70" s="297">
        <f>+L70</f>
        <v>22680</v>
      </c>
    </row>
    <row r="71" spans="1:14" ht="13.5" thickBot="1">
      <c r="B71" s="624"/>
      <c r="C71" s="625"/>
      <c r="D71" s="625"/>
      <c r="E71" s="625"/>
      <c r="F71" s="625"/>
      <c r="G71" s="625"/>
      <c r="H71" s="625"/>
      <c r="I71" s="173"/>
      <c r="J71" s="161"/>
      <c r="K71" s="173"/>
      <c r="L71" s="534"/>
      <c r="M71" s="535"/>
      <c r="N71" s="327"/>
    </row>
    <row r="72" spans="1:14" ht="14.25" thickBot="1">
      <c r="B72" s="524" t="s">
        <v>469</v>
      </c>
      <c r="C72" s="525"/>
      <c r="D72" s="525"/>
      <c r="E72" s="525"/>
      <c r="F72" s="525"/>
      <c r="G72" s="525"/>
      <c r="H72" s="525"/>
      <c r="I72" s="525"/>
      <c r="J72" s="525"/>
      <c r="K72" s="525"/>
      <c r="L72" s="525"/>
      <c r="M72" s="526"/>
      <c r="N72" s="204">
        <f>SUM(N70:N71)</f>
        <v>22680</v>
      </c>
    </row>
    <row r="73" spans="1:14">
      <c r="B73" s="574" t="s">
        <v>90</v>
      </c>
      <c r="C73" s="575"/>
      <c r="D73" s="575"/>
      <c r="E73" s="575"/>
      <c r="F73" s="575"/>
      <c r="G73" s="575"/>
      <c r="H73" s="575"/>
      <c r="I73" s="575"/>
      <c r="J73" s="575"/>
      <c r="K73" s="575"/>
      <c r="L73" s="575"/>
      <c r="M73" s="575"/>
      <c r="N73" s="576"/>
    </row>
    <row r="74" spans="1:14">
      <c r="B74" s="577" t="s">
        <v>90</v>
      </c>
      <c r="C74" s="578"/>
      <c r="D74" s="578"/>
      <c r="E74" s="578"/>
      <c r="F74" s="578"/>
      <c r="G74" s="578"/>
      <c r="H74" s="578"/>
      <c r="I74" s="578"/>
      <c r="J74" s="578"/>
      <c r="K74" s="578"/>
      <c r="L74" s="578"/>
      <c r="M74" s="578"/>
      <c r="N74" s="579"/>
    </row>
    <row r="75" spans="1:14" ht="13.5" thickBot="1">
      <c r="B75" s="580"/>
      <c r="C75" s="581"/>
      <c r="D75" s="581"/>
      <c r="E75" s="581"/>
      <c r="F75" s="581"/>
      <c r="G75" s="581"/>
      <c r="H75" s="581"/>
      <c r="I75" s="581"/>
      <c r="J75" s="581"/>
      <c r="K75" s="581"/>
      <c r="L75" s="581"/>
      <c r="M75" s="581"/>
      <c r="N75" s="582"/>
    </row>
    <row r="76" spans="1:14" ht="13.5">
      <c r="B76" s="538" t="s">
        <v>144</v>
      </c>
      <c r="C76" s="537"/>
      <c r="D76" s="537"/>
      <c r="E76" s="537"/>
      <c r="F76" s="537"/>
      <c r="G76" s="537"/>
      <c r="H76" s="237" t="s">
        <v>101</v>
      </c>
      <c r="I76" s="237" t="s">
        <v>145</v>
      </c>
      <c r="J76" s="240" t="s">
        <v>84</v>
      </c>
      <c r="K76" s="241" t="s">
        <v>146</v>
      </c>
      <c r="L76" s="538" t="s">
        <v>136</v>
      </c>
      <c r="M76" s="539"/>
      <c r="N76" s="238" t="s">
        <v>140</v>
      </c>
    </row>
    <row r="77" spans="1:14">
      <c r="A77" s="113" t="s">
        <v>441</v>
      </c>
      <c r="B77" s="550" t="str">
        <f>VLOOKUP(A77,'Mano de Obra'!$A$4:$E$80,2,0)</f>
        <v>CORTADOR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335">
        <f>VLOOKUP(A77,'Mano de Obra'!$A$4:$E$80,4,0)</f>
        <v>1.85</v>
      </c>
      <c r="K77" s="307">
        <f>+H77*I77*J77</f>
        <v>133200</v>
      </c>
      <c r="L77" s="529">
        <v>300</v>
      </c>
      <c r="M77" s="530"/>
      <c r="N77" s="326">
        <f>+K77/L77</f>
        <v>444</v>
      </c>
    </row>
    <row r="78" spans="1:14">
      <c r="A78" s="113" t="s">
        <v>442</v>
      </c>
      <c r="B78" s="550" t="str">
        <f>VLOOKUP(A78,'Mano de Obra'!$A$4:$E$80,2,0)</f>
        <v>SOLDADOR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88000</v>
      </c>
      <c r="J78" s="335">
        <f>VLOOKUP(A78,'Mano de Obra'!$A$4:$E$80,4,0)</f>
        <v>1.85</v>
      </c>
      <c r="K78" s="307">
        <f t="shared" ref="K78:K84" si="2">+H78*I78*J78</f>
        <v>162800</v>
      </c>
      <c r="L78" s="529">
        <v>300</v>
      </c>
      <c r="M78" s="530"/>
      <c r="N78" s="326">
        <f t="shared" ref="N78:N83" si="3">+K78/L78</f>
        <v>542.66666666666663</v>
      </c>
    </row>
    <row r="79" spans="1:14">
      <c r="A79" s="113" t="s">
        <v>443</v>
      </c>
      <c r="B79" s="550" t="str">
        <f>VLOOKUP(A79,'Mano de Obra'!$A$4:$E$80,2,0)</f>
        <v>PINTOR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335">
        <f>VLOOKUP(A79,'Mano de Obra'!$A$4:$E$80,4,0)</f>
        <v>1.85</v>
      </c>
      <c r="K79" s="307">
        <f t="shared" si="2"/>
        <v>133200</v>
      </c>
      <c r="L79" s="529">
        <v>300</v>
      </c>
      <c r="M79" s="530"/>
      <c r="N79" s="326">
        <f t="shared" si="3"/>
        <v>444</v>
      </c>
    </row>
    <row r="80" spans="1:14">
      <c r="A80" s="113" t="s">
        <v>444</v>
      </c>
      <c r="B80" s="550" t="str">
        <f>VLOOKUP(A80,'Mano de Obra'!$A$4:$E$80,2,0)</f>
        <v>LAMINADOR</v>
      </c>
      <c r="C80" s="551"/>
      <c r="D80" s="551"/>
      <c r="E80" s="551"/>
      <c r="F80" s="551"/>
      <c r="G80" s="552"/>
      <c r="H80" s="208">
        <v>1</v>
      </c>
      <c r="I80" s="302">
        <f>VLOOKUP(A80,'Mano de Obra'!$A$4:$E$80,3,0)</f>
        <v>72000</v>
      </c>
      <c r="J80" s="335">
        <f>VLOOKUP(A80,'Mano de Obra'!$A$4:$E$80,4,0)</f>
        <v>1.85</v>
      </c>
      <c r="K80" s="307">
        <f t="shared" si="2"/>
        <v>133200</v>
      </c>
      <c r="L80" s="529">
        <v>300</v>
      </c>
      <c r="M80" s="530"/>
      <c r="N80" s="326">
        <f t="shared" si="3"/>
        <v>444</v>
      </c>
    </row>
    <row r="81" spans="1:14">
      <c r="A81" s="113" t="s">
        <v>445</v>
      </c>
      <c r="B81" s="550" t="str">
        <f>VLOOKUP(A81,'Mano de Obra'!$A$4:$E$80,2,0)</f>
        <v>SERIGRAFISTA</v>
      </c>
      <c r="C81" s="551"/>
      <c r="D81" s="551"/>
      <c r="E81" s="551"/>
      <c r="F81" s="551"/>
      <c r="G81" s="552"/>
      <c r="H81" s="208">
        <v>1</v>
      </c>
      <c r="I81" s="302">
        <f>VLOOKUP(A81,'Mano de Obra'!$A$4:$E$80,3,0)</f>
        <v>72000</v>
      </c>
      <c r="J81" s="335">
        <f>VLOOKUP(A81,'Mano de Obra'!$A$4:$E$80,4,0)</f>
        <v>1.85</v>
      </c>
      <c r="K81" s="307">
        <f t="shared" si="2"/>
        <v>133200</v>
      </c>
      <c r="L81" s="529">
        <v>300</v>
      </c>
      <c r="M81" s="530"/>
      <c r="N81" s="326">
        <f t="shared" si="3"/>
        <v>444</v>
      </c>
    </row>
    <row r="82" spans="1:14">
      <c r="A82" s="113" t="s">
        <v>446</v>
      </c>
      <c r="B82" s="550" t="str">
        <f>VLOOKUP(A82,'Mano de Obra'!$A$4:$E$80,2,0)</f>
        <v>AYUDANTE</v>
      </c>
      <c r="C82" s="551"/>
      <c r="D82" s="551"/>
      <c r="E82" s="551"/>
      <c r="F82" s="551"/>
      <c r="G82" s="552"/>
      <c r="H82" s="208">
        <v>2</v>
      </c>
      <c r="I82" s="302">
        <f>VLOOKUP(A82,'Mano de Obra'!$A$4:$E$80,3,0)</f>
        <v>28000</v>
      </c>
      <c r="J82" s="335">
        <f>VLOOKUP(A82,'Mano de Obra'!$A$4:$E$80,4,0)</f>
        <v>1.85</v>
      </c>
      <c r="K82" s="307">
        <f t="shared" si="2"/>
        <v>103600</v>
      </c>
      <c r="L82" s="529">
        <v>300</v>
      </c>
      <c r="M82" s="530"/>
      <c r="N82" s="326">
        <f t="shared" si="3"/>
        <v>345.33333333333331</v>
      </c>
    </row>
    <row r="83" spans="1:14">
      <c r="A83" s="113" t="s">
        <v>447</v>
      </c>
      <c r="B83" s="550" t="str">
        <f>VLOOKUP(A83,'Mano de Obra'!$A$4:$E$80,2,0)</f>
        <v>CUADRILLA DE INSTALÑACIÓN (3)</v>
      </c>
      <c r="C83" s="551"/>
      <c r="D83" s="551"/>
      <c r="E83" s="551"/>
      <c r="F83" s="551"/>
      <c r="G83" s="552"/>
      <c r="H83" s="206">
        <v>1</v>
      </c>
      <c r="I83" s="302">
        <f>VLOOKUP(A83,'Mano de Obra'!$A$4:$E$80,3,0)</f>
        <v>83000</v>
      </c>
      <c r="J83" s="335">
        <f>VLOOKUP(A83,'Mano de Obra'!$A$4:$E$80,4,0)</f>
        <v>1.85</v>
      </c>
      <c r="K83" s="307">
        <f t="shared" si="2"/>
        <v>153550</v>
      </c>
      <c r="L83" s="529">
        <v>300</v>
      </c>
      <c r="M83" s="530"/>
      <c r="N83" s="326">
        <f t="shared" si="3"/>
        <v>511.83333333333331</v>
      </c>
    </row>
    <row r="84" spans="1:14">
      <c r="B84" s="547"/>
      <c r="C84" s="548"/>
      <c r="D84" s="548"/>
      <c r="E84" s="548"/>
      <c r="F84" s="548"/>
      <c r="G84" s="543"/>
      <c r="H84" s="343"/>
      <c r="I84" s="176"/>
      <c r="J84" s="177"/>
      <c r="K84" s="307">
        <f t="shared" si="2"/>
        <v>0</v>
      </c>
      <c r="L84" s="529"/>
      <c r="M84" s="530"/>
      <c r="N84" s="326"/>
    </row>
    <row r="85" spans="1:14">
      <c r="B85" s="547"/>
      <c r="C85" s="548"/>
      <c r="D85" s="548"/>
      <c r="E85" s="548"/>
      <c r="F85" s="548"/>
      <c r="G85" s="543"/>
      <c r="H85" s="343"/>
      <c r="I85" s="176"/>
      <c r="J85" s="177"/>
      <c r="K85" s="307"/>
      <c r="L85" s="637"/>
      <c r="M85" s="638"/>
      <c r="N85" s="326"/>
    </row>
    <row r="86" spans="1:14" ht="13.5" thickBot="1">
      <c r="B86" s="649"/>
      <c r="C86" s="650"/>
      <c r="D86" s="650"/>
      <c r="E86" s="650"/>
      <c r="F86" s="650"/>
      <c r="G86" s="535"/>
      <c r="H86" s="311"/>
      <c r="I86" s="173"/>
      <c r="J86" s="161"/>
      <c r="K86" s="309"/>
      <c r="L86" s="534"/>
      <c r="M86" s="535"/>
      <c r="N86" s="327"/>
    </row>
    <row r="87" spans="1:14" ht="14.25" thickBot="1">
      <c r="B87" s="524" t="s">
        <v>469</v>
      </c>
      <c r="C87" s="525"/>
      <c r="D87" s="525"/>
      <c r="E87" s="525"/>
      <c r="F87" s="525"/>
      <c r="G87" s="525"/>
      <c r="H87" s="525"/>
      <c r="I87" s="525"/>
      <c r="J87" s="525"/>
      <c r="K87" s="525"/>
      <c r="L87" s="525"/>
      <c r="M87" s="526"/>
      <c r="N87" s="319">
        <f>SUM(N77:N86)</f>
        <v>3175.8333333333335</v>
      </c>
    </row>
    <row r="88" spans="1:14" ht="13.5" thickBot="1">
      <c r="B88" s="159"/>
      <c r="C88" s="140"/>
      <c r="D88" s="140"/>
      <c r="E88" s="140"/>
      <c r="F88" s="140"/>
      <c r="G88" s="140"/>
      <c r="H88" s="140"/>
      <c r="I88" s="140"/>
      <c r="J88" s="140"/>
      <c r="K88" s="140"/>
      <c r="L88" s="140"/>
      <c r="M88" s="140"/>
      <c r="N88" s="147"/>
    </row>
    <row r="89" spans="1:14" ht="13.5" thickBot="1">
      <c r="B89" s="531" t="s">
        <v>470</v>
      </c>
      <c r="C89" s="532"/>
      <c r="D89" s="532"/>
      <c r="E89" s="532"/>
      <c r="F89" s="532"/>
      <c r="G89" s="532"/>
      <c r="H89" s="532"/>
      <c r="I89" s="532"/>
      <c r="J89" s="532"/>
      <c r="K89" s="532"/>
      <c r="L89" s="532"/>
      <c r="M89" s="533"/>
      <c r="N89" s="328">
        <f>+N87+N72+N65+N48</f>
        <v>176611.97333333336</v>
      </c>
    </row>
    <row r="90" spans="1:14">
      <c r="B90" s="574" t="s">
        <v>91</v>
      </c>
      <c r="C90" s="575"/>
      <c r="D90" s="575"/>
      <c r="E90" s="575"/>
      <c r="F90" s="575"/>
      <c r="G90" s="575"/>
      <c r="H90" s="575"/>
      <c r="I90" s="575"/>
      <c r="J90" s="575"/>
      <c r="K90" s="575"/>
      <c r="L90" s="575"/>
      <c r="M90" s="575"/>
      <c r="N90" s="576"/>
    </row>
    <row r="91" spans="1:14">
      <c r="B91" s="577" t="s">
        <v>91</v>
      </c>
      <c r="C91" s="578"/>
      <c r="D91" s="578"/>
      <c r="E91" s="578"/>
      <c r="F91" s="578"/>
      <c r="G91" s="578"/>
      <c r="H91" s="578"/>
      <c r="I91" s="578"/>
      <c r="J91" s="578"/>
      <c r="K91" s="578"/>
      <c r="L91" s="578"/>
      <c r="M91" s="578"/>
      <c r="N91" s="579"/>
    </row>
    <row r="92" spans="1:14" ht="13.5" thickBot="1">
      <c r="B92" s="580"/>
      <c r="C92" s="581"/>
      <c r="D92" s="581"/>
      <c r="E92" s="581"/>
      <c r="F92" s="581"/>
      <c r="G92" s="581"/>
      <c r="H92" s="581"/>
      <c r="I92" s="581"/>
      <c r="J92" s="581"/>
      <c r="K92" s="581"/>
      <c r="L92" s="581"/>
      <c r="M92" s="581"/>
      <c r="N92" s="582"/>
    </row>
    <row r="93" spans="1:14" ht="13.5">
      <c r="B93" s="536" t="s">
        <v>88</v>
      </c>
      <c r="C93" s="537"/>
      <c r="D93" s="537"/>
      <c r="E93" s="537"/>
      <c r="F93" s="537"/>
      <c r="G93" s="537"/>
      <c r="H93" s="537"/>
      <c r="I93" s="240"/>
      <c r="J93" s="246"/>
      <c r="K93" s="243" t="s">
        <v>92</v>
      </c>
      <c r="L93" s="527" t="s">
        <v>93</v>
      </c>
      <c r="M93" s="528"/>
      <c r="N93" s="244"/>
    </row>
    <row r="94" spans="1:14">
      <c r="B94" s="540" t="s">
        <v>82</v>
      </c>
      <c r="C94" s="541"/>
      <c r="D94" s="541"/>
      <c r="E94" s="541"/>
      <c r="F94" s="541"/>
      <c r="G94" s="541"/>
      <c r="H94" s="541"/>
      <c r="I94" s="182"/>
      <c r="J94" s="183"/>
      <c r="K94" s="251">
        <v>0.25</v>
      </c>
      <c r="L94" s="522">
        <f>+N89*K94</f>
        <v>44152.993333333339</v>
      </c>
      <c r="M94" s="523"/>
      <c r="N94" s="184"/>
    </row>
    <row r="95" spans="1:14">
      <c r="B95" s="185" t="s">
        <v>94</v>
      </c>
      <c r="C95" s="186"/>
      <c r="D95" s="186"/>
      <c r="E95" s="186"/>
      <c r="F95" s="186"/>
      <c r="G95" s="186"/>
      <c r="H95" s="186"/>
      <c r="I95" s="182"/>
      <c r="J95" s="183"/>
      <c r="K95" s="251">
        <v>0.05</v>
      </c>
      <c r="L95" s="522">
        <f>+N89*K95</f>
        <v>8830.5986666666686</v>
      </c>
      <c r="M95" s="523"/>
      <c r="N95" s="184"/>
    </row>
    <row r="96" spans="1:14" ht="13.5" thickBot="1">
      <c r="B96" s="187" t="s">
        <v>83</v>
      </c>
      <c r="C96" s="188"/>
      <c r="D96" s="188"/>
      <c r="E96" s="188"/>
      <c r="F96" s="188"/>
      <c r="G96" s="188"/>
      <c r="H96" s="188"/>
      <c r="I96" s="189"/>
      <c r="J96" s="190"/>
      <c r="K96" s="251">
        <v>0.05</v>
      </c>
      <c r="L96" s="627">
        <f>+N89*K96</f>
        <v>8830.5986666666686</v>
      </c>
      <c r="M96" s="628"/>
      <c r="N96" s="184"/>
    </row>
    <row r="97" spans="2:14" ht="14.25" thickBot="1">
      <c r="B97" s="524" t="s">
        <v>469</v>
      </c>
      <c r="C97" s="525"/>
      <c r="D97" s="525"/>
      <c r="E97" s="525"/>
      <c r="F97" s="525"/>
      <c r="G97" s="525"/>
      <c r="H97" s="525"/>
      <c r="I97" s="525"/>
      <c r="J97" s="525"/>
      <c r="K97" s="525"/>
      <c r="L97" s="525"/>
      <c r="M97" s="526"/>
      <c r="N97" s="204">
        <f>SUM(L94:M96)</f>
        <v>61814.190666666676</v>
      </c>
    </row>
    <row r="98" spans="2:14" ht="13.5" thickBot="1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 ht="13.5" thickBot="1">
      <c r="B99" s="531" t="s">
        <v>471</v>
      </c>
      <c r="C99" s="532"/>
      <c r="D99" s="532"/>
      <c r="E99" s="532"/>
      <c r="F99" s="532"/>
      <c r="G99" s="532"/>
      <c r="H99" s="532"/>
      <c r="I99" s="532"/>
      <c r="J99" s="532"/>
      <c r="K99" s="532"/>
      <c r="L99" s="532"/>
      <c r="M99" s="533"/>
      <c r="N99" s="247">
        <f>ROUND(N89+N97,0)</f>
        <v>238426</v>
      </c>
    </row>
    <row r="100" spans="2:14">
      <c r="B100" s="138"/>
      <c r="C100" s="139"/>
      <c r="D100" s="139"/>
      <c r="E100" s="139"/>
      <c r="F100" s="139"/>
      <c r="G100" s="139"/>
      <c r="H100" s="139"/>
      <c r="I100" s="139"/>
      <c r="J100" s="139"/>
      <c r="K100" s="139"/>
      <c r="L100" s="139"/>
      <c r="M100" s="139"/>
      <c r="N100" s="141"/>
    </row>
    <row r="101" spans="2:14">
      <c r="B101" s="159"/>
      <c r="C101" s="140"/>
      <c r="D101" s="140"/>
      <c r="E101" s="140"/>
      <c r="F101" s="140"/>
      <c r="G101" s="140"/>
      <c r="H101" s="140"/>
      <c r="I101" s="140"/>
      <c r="J101" s="140"/>
      <c r="K101" s="140"/>
      <c r="L101" s="140"/>
      <c r="M101" s="140"/>
      <c r="N101" s="147"/>
    </row>
    <row r="102" spans="2:14">
      <c r="B102" s="159"/>
      <c r="C102" s="140"/>
      <c r="D102" s="140"/>
      <c r="E102" s="140"/>
      <c r="F102" s="140"/>
      <c r="G102" s="140"/>
      <c r="H102" s="140"/>
      <c r="I102" s="140"/>
      <c r="J102" s="140"/>
      <c r="K102" s="140"/>
      <c r="L102" s="140"/>
      <c r="M102" s="140"/>
      <c r="N102" s="147"/>
    </row>
    <row r="103" spans="2:14">
      <c r="B103" s="159"/>
      <c r="C103" s="140"/>
      <c r="D103" s="140"/>
      <c r="E103" s="140"/>
      <c r="F103" s="140"/>
      <c r="G103" s="145" t="str">
        <f>+'SV-01'!$G$96</f>
        <v>Firma</v>
      </c>
      <c r="H103" s="145"/>
      <c r="I103" s="145"/>
      <c r="J103" s="145"/>
      <c r="K103" s="140"/>
      <c r="L103" s="140"/>
      <c r="M103" s="140"/>
      <c r="N103" s="147"/>
    </row>
    <row r="104" spans="2:14" ht="13.5">
      <c r="B104" s="192"/>
      <c r="C104" s="193"/>
      <c r="D104" s="193"/>
      <c r="E104" s="193"/>
      <c r="F104" s="193"/>
      <c r="G104" s="145" t="str">
        <f>+'SV-01'!$G$97</f>
        <v>Nombre:</v>
      </c>
      <c r="H104" s="193"/>
      <c r="I104" s="193"/>
      <c r="J104" s="193"/>
      <c r="K104" s="193"/>
      <c r="L104" s="193"/>
      <c r="M104" s="193"/>
      <c r="N104" s="194"/>
    </row>
    <row r="105" spans="2:14" ht="13.5">
      <c r="B105" s="192"/>
      <c r="C105" s="193"/>
      <c r="D105" s="193"/>
      <c r="E105" s="193"/>
      <c r="F105" s="193"/>
      <c r="G105" s="145" t="str">
        <f>+'SV-01'!$G$98</f>
        <v>Representante Legal del Contratista o su Apoderado</v>
      </c>
      <c r="J105" s="193"/>
      <c r="K105" s="193"/>
      <c r="L105" s="193"/>
      <c r="M105" s="193"/>
      <c r="N105" s="194"/>
    </row>
    <row r="106" spans="2:14">
      <c r="B106" s="123"/>
      <c r="C106" s="155"/>
      <c r="D106" s="155"/>
      <c r="E106" s="155"/>
      <c r="F106" s="155"/>
      <c r="G106" s="145" t="str">
        <f>+'SV-01'!$G$99</f>
        <v>Matricula No. :</v>
      </c>
      <c r="H106" s="155"/>
      <c r="I106" s="155"/>
      <c r="J106" s="155"/>
      <c r="K106" s="155"/>
      <c r="L106" s="155"/>
      <c r="M106" s="155"/>
      <c r="N106" s="153"/>
    </row>
    <row r="107" spans="2:14">
      <c r="B107" s="159"/>
      <c r="C107" s="140"/>
      <c r="D107" s="140"/>
      <c r="E107" s="140"/>
      <c r="F107" s="140"/>
      <c r="G107" s="140" t="s">
        <v>206</v>
      </c>
      <c r="H107" s="140"/>
      <c r="I107" s="140"/>
      <c r="J107" s="140"/>
      <c r="K107" s="140"/>
      <c r="L107" s="140"/>
      <c r="M107" s="140"/>
      <c r="N107" s="147"/>
    </row>
    <row r="108" spans="2:14" ht="13.5">
      <c r="B108" s="165" t="str">
        <f>+'SV-01'!$B$101</f>
        <v>OBSERVACIONES INTERVENTORÍA</v>
      </c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7"/>
    </row>
    <row r="109" spans="2:14">
      <c r="B109" s="544"/>
      <c r="C109" s="545"/>
      <c r="D109" s="545"/>
      <c r="E109" s="545"/>
      <c r="F109" s="545"/>
      <c r="G109" s="545"/>
      <c r="H109" s="545"/>
      <c r="I109" s="545"/>
      <c r="J109" s="545"/>
      <c r="K109" s="545"/>
      <c r="L109" s="545"/>
      <c r="M109" s="545"/>
      <c r="N109" s="546"/>
    </row>
    <row r="110" spans="2:14">
      <c r="B110" s="547"/>
      <c r="C110" s="548"/>
      <c r="D110" s="548"/>
      <c r="E110" s="548"/>
      <c r="F110" s="548"/>
      <c r="G110" s="548"/>
      <c r="H110" s="548"/>
      <c r="I110" s="548"/>
      <c r="J110" s="548"/>
      <c r="K110" s="548"/>
      <c r="L110" s="548"/>
      <c r="M110" s="548"/>
      <c r="N110" s="549"/>
    </row>
    <row r="111" spans="2:14">
      <c r="B111" s="123"/>
      <c r="C111" s="155"/>
      <c r="D111" s="155"/>
      <c r="E111" s="155"/>
      <c r="F111" s="155"/>
      <c r="G111" s="155"/>
      <c r="H111" s="155"/>
      <c r="I111" s="155"/>
      <c r="J111" s="155"/>
      <c r="K111" s="155"/>
      <c r="L111" s="155"/>
      <c r="M111" s="155"/>
      <c r="N111" s="153"/>
    </row>
    <row r="112" spans="2:14">
      <c r="B112" s="159"/>
      <c r="C112" s="140"/>
      <c r="D112" s="140"/>
      <c r="E112" s="140"/>
      <c r="F112" s="140"/>
      <c r="G112" s="145" t="str">
        <f>+'SV-01'!$G$105</f>
        <v>Firma</v>
      </c>
      <c r="H112" s="140"/>
      <c r="I112" s="140"/>
      <c r="J112" s="140"/>
      <c r="K112" s="140"/>
      <c r="L112" s="140"/>
      <c r="M112" s="140"/>
      <c r="N112" s="147"/>
    </row>
    <row r="113" spans="2:14">
      <c r="B113" s="159"/>
      <c r="C113" s="140"/>
      <c r="D113" s="140"/>
      <c r="E113" s="140"/>
      <c r="F113" s="140"/>
      <c r="G113" s="140" t="str">
        <f>+'SV-01'!$G$106</f>
        <v>Nombre:</v>
      </c>
      <c r="H113" s="160"/>
      <c r="I113" s="160"/>
      <c r="J113" s="160"/>
      <c r="K113" s="140"/>
      <c r="L113" s="140"/>
      <c r="M113" s="140"/>
      <c r="N113" s="147"/>
    </row>
    <row r="114" spans="2:14">
      <c r="B114" s="159"/>
      <c r="C114" s="140"/>
      <c r="D114" s="140"/>
      <c r="E114" s="140"/>
      <c r="F114" s="140"/>
      <c r="G114" s="140" t="str">
        <f>+'SV-01'!$G$107</f>
        <v>Representante Legal del Interventor o su Apoderado</v>
      </c>
      <c r="H114" s="154"/>
      <c r="I114" s="154"/>
      <c r="J114" s="154"/>
      <c r="M114" s="140"/>
      <c r="N114" s="147"/>
    </row>
    <row r="115" spans="2:14">
      <c r="B115" s="196"/>
      <c r="C115" s="155"/>
      <c r="D115" s="155"/>
      <c r="E115" s="155"/>
      <c r="F115" s="155"/>
      <c r="G115" s="140" t="str">
        <f>+'SV-01'!$G$108</f>
        <v>Matricula No. :</v>
      </c>
      <c r="K115" s="155"/>
      <c r="L115" s="155"/>
      <c r="M115" s="155"/>
      <c r="N115" s="153"/>
    </row>
    <row r="116" spans="2:14" ht="12.75" customHeight="1">
      <c r="B116" s="199" t="str">
        <f>+'SV-01'!$B$109</f>
        <v xml:space="preserve">Original: Archivo de Gestión Contractual ( Subdirecciòn Administrativa) </v>
      </c>
      <c r="C116" s="197"/>
      <c r="D116" s="197"/>
      <c r="E116" s="140"/>
      <c r="F116" s="140"/>
      <c r="G116" s="140"/>
      <c r="H116" s="140"/>
      <c r="I116" s="140"/>
      <c r="J116" s="515"/>
      <c r="K116" s="515"/>
      <c r="L116" s="515"/>
      <c r="M116" s="515"/>
      <c r="N116" s="516"/>
    </row>
    <row r="117" spans="2:14" ht="12.75" customHeight="1">
      <c r="B117" s="199" t="str">
        <f>+'SV-01'!$B$110</f>
        <v>Copias : Unidad Ejecutora,  Contratista, Interventor y Dirección Territorial.</v>
      </c>
      <c r="C117" s="197"/>
      <c r="D117" s="197"/>
      <c r="E117" s="140"/>
      <c r="F117" s="140"/>
      <c r="G117" s="140"/>
      <c r="H117" s="140"/>
      <c r="I117" s="140"/>
      <c r="J117" s="515"/>
      <c r="K117" s="515"/>
      <c r="L117" s="515"/>
      <c r="M117" s="515"/>
      <c r="N117" s="516"/>
    </row>
    <row r="118" spans="2:14" ht="13.5" customHeight="1" thickBot="1">
      <c r="B118" s="519"/>
      <c r="C118" s="520"/>
      <c r="D118" s="520"/>
      <c r="E118" s="161"/>
      <c r="F118" s="161"/>
      <c r="G118" s="161"/>
      <c r="H118" s="161"/>
      <c r="I118" s="161"/>
      <c r="J118" s="517"/>
      <c r="K118" s="517"/>
      <c r="L118" s="517"/>
      <c r="M118" s="517"/>
      <c r="N118" s="518"/>
    </row>
  </sheetData>
  <mergeCells count="130">
    <mergeCell ref="I38:J38"/>
    <mergeCell ref="L38:M38"/>
    <mergeCell ref="L45:M45"/>
    <mergeCell ref="I45:J45"/>
    <mergeCell ref="B38:H38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K6:K8"/>
    <mergeCell ref="L6:L8"/>
    <mergeCell ref="M6:M8"/>
    <mergeCell ref="N6:N8"/>
    <mergeCell ref="C8:J8"/>
    <mergeCell ref="L33:M33"/>
    <mergeCell ref="I37:J37"/>
    <mergeCell ref="L37:M37"/>
    <mergeCell ref="C33:K33"/>
    <mergeCell ref="B34:N36"/>
    <mergeCell ref="B37:H37"/>
    <mergeCell ref="L32:M32"/>
    <mergeCell ref="D12:G12"/>
    <mergeCell ref="J12:M12"/>
    <mergeCell ref="L13:N13"/>
    <mergeCell ref="H18:M18"/>
    <mergeCell ref="D19:M20"/>
    <mergeCell ref="D22:M22"/>
    <mergeCell ref="D24:M24"/>
    <mergeCell ref="E26:M26"/>
    <mergeCell ref="G28:M28"/>
    <mergeCell ref="B30:N30"/>
    <mergeCell ref="C32:K32"/>
    <mergeCell ref="B39:H39"/>
    <mergeCell ref="B40:H40"/>
    <mergeCell ref="B41:H41"/>
    <mergeCell ref="B42:H42"/>
    <mergeCell ref="B43:H43"/>
    <mergeCell ref="B44:H44"/>
    <mergeCell ref="B45:H45"/>
    <mergeCell ref="L39:M39"/>
    <mergeCell ref="L40:M40"/>
    <mergeCell ref="L41:M41"/>
    <mergeCell ref="L42:M42"/>
    <mergeCell ref="L43:M43"/>
    <mergeCell ref="L44:M44"/>
    <mergeCell ref="L86:M86"/>
    <mergeCell ref="B87:M87"/>
    <mergeCell ref="B89:M89"/>
    <mergeCell ref="B93:H93"/>
    <mergeCell ref="L93:M93"/>
    <mergeCell ref="B90:N92"/>
    <mergeCell ref="L85:M85"/>
    <mergeCell ref="B86:G86"/>
    <mergeCell ref="B85:G85"/>
    <mergeCell ref="B109:N109"/>
    <mergeCell ref="B110:N110"/>
    <mergeCell ref="J116:N118"/>
    <mergeCell ref="B118:D118"/>
    <mergeCell ref="B94:H94"/>
    <mergeCell ref="L94:M94"/>
    <mergeCell ref="L95:M95"/>
    <mergeCell ref="L96:M96"/>
    <mergeCell ref="B97:M97"/>
    <mergeCell ref="B99:M99"/>
    <mergeCell ref="B62:I62"/>
    <mergeCell ref="L62:M62"/>
    <mergeCell ref="B63:I63"/>
    <mergeCell ref="L63:M63"/>
    <mergeCell ref="B64:I64"/>
    <mergeCell ref="B65:M65"/>
    <mergeCell ref="L64:M64"/>
    <mergeCell ref="L69:M69"/>
    <mergeCell ref="B61:I61"/>
    <mergeCell ref="L61:M61"/>
    <mergeCell ref="B69:H69"/>
    <mergeCell ref="B66:N68"/>
    <mergeCell ref="B46:H46"/>
    <mergeCell ref="B47:H47"/>
    <mergeCell ref="I47:J47"/>
    <mergeCell ref="L47:M47"/>
    <mergeCell ref="B48:M48"/>
    <mergeCell ref="B52:I52"/>
    <mergeCell ref="L52:M52"/>
    <mergeCell ref="B53:I53"/>
    <mergeCell ref="L53:M53"/>
    <mergeCell ref="B49:N51"/>
    <mergeCell ref="L54:M54"/>
    <mergeCell ref="L55:M55"/>
    <mergeCell ref="L56:M56"/>
    <mergeCell ref="L57:M57"/>
    <mergeCell ref="L58:M58"/>
    <mergeCell ref="L59:M59"/>
    <mergeCell ref="L60:M60"/>
    <mergeCell ref="B54:I54"/>
    <mergeCell ref="B55:I55"/>
    <mergeCell ref="B56:I56"/>
    <mergeCell ref="B57:I57"/>
    <mergeCell ref="B58:I58"/>
    <mergeCell ref="B59:I59"/>
    <mergeCell ref="B60:I60"/>
    <mergeCell ref="B70:H70"/>
    <mergeCell ref="L70:M70"/>
    <mergeCell ref="B71:H71"/>
    <mergeCell ref="L71:M71"/>
    <mergeCell ref="B72:M72"/>
    <mergeCell ref="L76:M76"/>
    <mergeCell ref="L77:M77"/>
    <mergeCell ref="L84:M84"/>
    <mergeCell ref="B73:N75"/>
    <mergeCell ref="B76:G76"/>
    <mergeCell ref="B78:G78"/>
    <mergeCell ref="B79:G79"/>
    <mergeCell ref="B80:G80"/>
    <mergeCell ref="L79:M79"/>
    <mergeCell ref="L80:M80"/>
    <mergeCell ref="L81:M81"/>
    <mergeCell ref="L82:M82"/>
    <mergeCell ref="B83:G83"/>
    <mergeCell ref="B84:G84"/>
    <mergeCell ref="B77:G77"/>
    <mergeCell ref="B81:G81"/>
    <mergeCell ref="B82:G82"/>
    <mergeCell ref="L83:M83"/>
    <mergeCell ref="L78:M78"/>
  </mergeCells>
  <pageMargins left="0.74803149606299213" right="0.74803149606299213" top="0.98425196850393704" bottom="0.98425196850393704" header="0" footer="0"/>
  <pageSetup scale="51" orientation="portrait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5"/>
  <dimension ref="A1:N99"/>
  <sheetViews>
    <sheetView showGridLines="0" view="pageBreakPreview" topLeftCell="A31" zoomScaleNormal="100" zoomScaleSheetLayoutView="100" workbookViewId="0">
      <selection activeCell="K47" sqref="K47:K51"/>
    </sheetView>
  </sheetViews>
  <sheetFormatPr baseColWidth="10" defaultRowHeight="12.75"/>
  <cols>
    <col min="1" max="1" width="3.140625" style="113" customWidth="1"/>
    <col min="2" max="2" width="11.5703125" style="113" bestFit="1" customWidth="1"/>
    <col min="3" max="8" width="11.42578125" style="113"/>
    <col min="9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114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124"/>
      <c r="D11" s="124"/>
      <c r="E11" s="124"/>
      <c r="F11" s="124"/>
      <c r="G11" s="124"/>
      <c r="H11" s="124"/>
      <c r="I11" s="124"/>
      <c r="J11" s="124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130"/>
    </row>
    <row r="13" spans="2:14" ht="13.5">
      <c r="B13" s="128"/>
      <c r="C13" s="129"/>
      <c r="D13" s="131"/>
      <c r="E13" s="131"/>
      <c r="F13" s="131"/>
      <c r="G13" s="131"/>
      <c r="H13" s="129"/>
      <c r="I13" s="131"/>
      <c r="J13" s="129"/>
      <c r="K13" s="131"/>
      <c r="L13" s="559"/>
      <c r="M13" s="559"/>
      <c r="N13" s="560"/>
    </row>
    <row r="14" spans="2:14" ht="13.5">
      <c r="B14" s="128"/>
      <c r="C14" s="129"/>
      <c r="D14" s="131"/>
      <c r="E14" s="131"/>
      <c r="F14" s="131"/>
      <c r="G14" s="131"/>
      <c r="H14" s="129"/>
      <c r="I14" s="131"/>
      <c r="J14" s="129"/>
      <c r="K14" s="131"/>
      <c r="L14" s="131"/>
      <c r="M14" s="131"/>
      <c r="N14" s="13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151"/>
      <c r="E21" s="151"/>
      <c r="F21" s="151"/>
      <c r="G21" s="151"/>
      <c r="H21" s="151"/>
      <c r="I21" s="151"/>
      <c r="J21" s="151"/>
      <c r="K21" s="151"/>
      <c r="L21" s="151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s="346" customFormat="1" ht="32.25" customHeight="1" thickBot="1">
      <c r="B33" s="249" t="e">
        <f>+'PRESUPUESTO OFICIAL'!#REF!</f>
        <v>#REF!</v>
      </c>
      <c r="C33" s="670" t="e">
        <f>+'PRESUPUESTO OFICIAL'!#REF!</f>
        <v>#REF!</v>
      </c>
      <c r="D33" s="671"/>
      <c r="E33" s="671"/>
      <c r="F33" s="671"/>
      <c r="G33" s="671"/>
      <c r="H33" s="671"/>
      <c r="I33" s="671"/>
      <c r="J33" s="671"/>
      <c r="K33" s="672"/>
      <c r="L33" s="566" t="e">
        <f>+'PRESUPUESTO OFICIAL'!#REF!</f>
        <v>#REF!</v>
      </c>
      <c r="M33" s="567"/>
      <c r="N33" s="258" t="e">
        <f>+'PRESUPUESTO OFICIAL'!#REF!</f>
        <v>#REF!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372</v>
      </c>
      <c r="B38" s="550" t="str">
        <f>+VLOOKUP(A38,Equipo!$A$4:$D$80,2,0)</f>
        <v>Camioneta D-300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39346</v>
      </c>
      <c r="L38" s="637">
        <v>6</v>
      </c>
      <c r="M38" s="638"/>
      <c r="N38" s="297">
        <f>+K38/L38</f>
        <v>6557.666666666667</v>
      </c>
    </row>
    <row r="39" spans="1:14">
      <c r="B39" s="550" t="s">
        <v>211</v>
      </c>
      <c r="C39" s="551"/>
      <c r="D39" s="551"/>
      <c r="E39" s="551"/>
      <c r="F39" s="551"/>
      <c r="G39" s="551"/>
      <c r="H39" s="552"/>
      <c r="I39" s="620"/>
      <c r="J39" s="621"/>
      <c r="K39" s="315"/>
      <c r="L39" s="637"/>
      <c r="M39" s="638"/>
      <c r="N39" s="297">
        <v>1500</v>
      </c>
    </row>
    <row r="40" spans="1:14">
      <c r="B40" s="550"/>
      <c r="C40" s="551"/>
      <c r="D40" s="551"/>
      <c r="E40" s="551"/>
      <c r="F40" s="551"/>
      <c r="G40" s="551"/>
      <c r="H40" s="552"/>
      <c r="I40" s="203"/>
      <c r="J40" s="202"/>
      <c r="K40" s="315"/>
      <c r="L40" s="252"/>
      <c r="M40" s="253"/>
      <c r="N40" s="297"/>
    </row>
    <row r="41" spans="1:14" ht="13.5" thickBot="1">
      <c r="B41" s="550"/>
      <c r="C41" s="551"/>
      <c r="D41" s="551"/>
      <c r="E41" s="551"/>
      <c r="F41" s="551"/>
      <c r="G41" s="551"/>
      <c r="H41" s="552"/>
      <c r="I41" s="622"/>
      <c r="J41" s="623"/>
      <c r="K41" s="315"/>
      <c r="L41" s="647"/>
      <c r="M41" s="648"/>
      <c r="N41" s="297"/>
    </row>
    <row r="42" spans="1:14" ht="14.25" thickBot="1">
      <c r="B42" s="524" t="s">
        <v>472</v>
      </c>
      <c r="C42" s="525"/>
      <c r="D42" s="525"/>
      <c r="E42" s="525"/>
      <c r="F42" s="525"/>
      <c r="G42" s="525"/>
      <c r="H42" s="525"/>
      <c r="I42" s="525"/>
      <c r="J42" s="525"/>
      <c r="K42" s="525"/>
      <c r="L42" s="525"/>
      <c r="M42" s="526"/>
      <c r="N42" s="204">
        <f>SUM(N38:N41)</f>
        <v>8057.666666666667</v>
      </c>
    </row>
    <row r="43" spans="1:14">
      <c r="B43" s="574" t="s">
        <v>138</v>
      </c>
      <c r="C43" s="575"/>
      <c r="D43" s="575"/>
      <c r="E43" s="575"/>
      <c r="F43" s="575"/>
      <c r="G43" s="575"/>
      <c r="H43" s="575"/>
      <c r="I43" s="575"/>
      <c r="J43" s="575"/>
      <c r="K43" s="575"/>
      <c r="L43" s="575"/>
      <c r="M43" s="575"/>
      <c r="N43" s="576"/>
    </row>
    <row r="44" spans="1:14">
      <c r="B44" s="577" t="s">
        <v>138</v>
      </c>
      <c r="C44" s="578"/>
      <c r="D44" s="578"/>
      <c r="E44" s="578"/>
      <c r="F44" s="578"/>
      <c r="G44" s="578"/>
      <c r="H44" s="578"/>
      <c r="I44" s="578"/>
      <c r="J44" s="578"/>
      <c r="K44" s="578"/>
      <c r="L44" s="578"/>
      <c r="M44" s="578"/>
      <c r="N44" s="579"/>
    </row>
    <row r="45" spans="1:14" ht="13.5" thickBot="1">
      <c r="B45" s="580"/>
      <c r="C45" s="581"/>
      <c r="D45" s="581"/>
      <c r="E45" s="581"/>
      <c r="F45" s="581"/>
      <c r="G45" s="581"/>
      <c r="H45" s="581"/>
      <c r="I45" s="581"/>
      <c r="J45" s="581"/>
      <c r="K45" s="581"/>
      <c r="L45" s="581"/>
      <c r="M45" s="581"/>
      <c r="N45" s="582"/>
    </row>
    <row r="46" spans="1:14" ht="13.5">
      <c r="B46" s="536" t="s">
        <v>125</v>
      </c>
      <c r="C46" s="537"/>
      <c r="D46" s="537"/>
      <c r="E46" s="537"/>
      <c r="F46" s="537"/>
      <c r="G46" s="537"/>
      <c r="H46" s="537"/>
      <c r="I46" s="539"/>
      <c r="J46" s="239" t="s">
        <v>16</v>
      </c>
      <c r="K46" s="237" t="s">
        <v>101</v>
      </c>
      <c r="L46" s="538" t="s">
        <v>139</v>
      </c>
      <c r="M46" s="539"/>
      <c r="N46" s="238" t="s">
        <v>140</v>
      </c>
    </row>
    <row r="47" spans="1:14">
      <c r="A47" s="113" t="s">
        <v>496</v>
      </c>
      <c r="B47" s="550" t="str">
        <f>VLOOKUP(A47,Materiales!$A$4:$D$141,2,0)</f>
        <v>DEFENSAS METALICAS (TRAMO DE 3,81m)</v>
      </c>
      <c r="C47" s="551"/>
      <c r="D47" s="551"/>
      <c r="E47" s="551"/>
      <c r="F47" s="551"/>
      <c r="G47" s="551"/>
      <c r="H47" s="551"/>
      <c r="I47" s="552"/>
      <c r="J47" s="372" t="str">
        <f>VLOOKUP(A47,Materiales!$A$4:$D$141,3,0)</f>
        <v>UND.</v>
      </c>
      <c r="K47" s="200">
        <v>0.26</v>
      </c>
      <c r="L47" s="522">
        <f>VLOOKUP(A47,Materiales!$A$4:$D$141,4,0)</f>
        <v>341210</v>
      </c>
      <c r="M47" s="523"/>
      <c r="N47" s="297">
        <f>+L47*K47</f>
        <v>88714.6</v>
      </c>
    </row>
    <row r="48" spans="1:14">
      <c r="A48" s="113" t="s">
        <v>332</v>
      </c>
      <c r="B48" s="550" t="str">
        <f>VLOOKUP(A48,Materiales!$A$4:$D$141,2,0)</f>
        <v>POSTE PARA DEFENSA METALICA  DE 1,80m (INCLUYE TORNILLERIA)</v>
      </c>
      <c r="C48" s="551"/>
      <c r="D48" s="551"/>
      <c r="E48" s="551"/>
      <c r="F48" s="551"/>
      <c r="G48" s="551"/>
      <c r="H48" s="551"/>
      <c r="I48" s="552"/>
      <c r="J48" s="372" t="str">
        <f>VLOOKUP(A48,Materiales!$A$4:$D$141,3,0)</f>
        <v>U</v>
      </c>
      <c r="K48" s="200">
        <v>0.3</v>
      </c>
      <c r="L48" s="522">
        <f>VLOOKUP(A48,Materiales!$A$4:$D$141,4,0)</f>
        <v>149580</v>
      </c>
      <c r="M48" s="523"/>
      <c r="N48" s="297">
        <f t="shared" ref="N48:N51" si="0">+L48*K48</f>
        <v>44874</v>
      </c>
    </row>
    <row r="49" spans="1:14">
      <c r="A49" s="113" t="s">
        <v>499</v>
      </c>
      <c r="B49" s="550" t="str">
        <f>VLOOKUP(A49,Materiales!$A$4:$D$141,2,0)</f>
        <v>AMORTIGUADORES</v>
      </c>
      <c r="C49" s="551"/>
      <c r="D49" s="551"/>
      <c r="E49" s="551"/>
      <c r="F49" s="551"/>
      <c r="G49" s="551"/>
      <c r="H49" s="551"/>
      <c r="I49" s="552"/>
      <c r="J49" s="372" t="str">
        <f>VLOOKUP(A49,Materiales!$A$4:$D$141,3,0)</f>
        <v>UND.</v>
      </c>
      <c r="K49" s="200">
        <v>0.3</v>
      </c>
      <c r="L49" s="522">
        <f>VLOOKUP(A49,Materiales!$A$4:$D$141,4,0)</f>
        <v>37260</v>
      </c>
      <c r="M49" s="523"/>
      <c r="N49" s="297">
        <f t="shared" si="0"/>
        <v>11178</v>
      </c>
    </row>
    <row r="50" spans="1:14">
      <c r="A50" s="113" t="s">
        <v>502</v>
      </c>
      <c r="B50" s="550" t="str">
        <f>VLOOKUP(A50,Materiales!$A$4:$D$141,2,0)</f>
        <v>CAPTAFAROS</v>
      </c>
      <c r="C50" s="551"/>
      <c r="D50" s="551"/>
      <c r="E50" s="551"/>
      <c r="F50" s="551"/>
      <c r="G50" s="551"/>
      <c r="H50" s="551"/>
      <c r="I50" s="552"/>
      <c r="J50" s="372" t="str">
        <f>VLOOKUP(A50,Materiales!$A$4:$D$141,3,0)</f>
        <v>UND.</v>
      </c>
      <c r="K50" s="200">
        <v>0.3</v>
      </c>
      <c r="L50" s="522">
        <f>VLOOKUP(A50,Materiales!$A$4:$D$141,4,0)</f>
        <v>15850</v>
      </c>
      <c r="M50" s="523"/>
      <c r="N50" s="297">
        <f t="shared" si="0"/>
        <v>4755</v>
      </c>
    </row>
    <row r="51" spans="1:14" ht="13.5" thickBot="1">
      <c r="A51" s="113" t="s">
        <v>335</v>
      </c>
      <c r="B51" s="550" t="str">
        <f>VLOOKUP(A51,Materiales!$A$4:$D$141,2,0)</f>
        <v>SECCION FINAL DE DEFENSA METALICA (TERMINAL)</v>
      </c>
      <c r="C51" s="551"/>
      <c r="D51" s="551"/>
      <c r="E51" s="551"/>
      <c r="F51" s="551"/>
      <c r="G51" s="551"/>
      <c r="H51" s="551"/>
      <c r="I51" s="552"/>
      <c r="J51" s="372" t="str">
        <f>VLOOKUP(A51,Materiales!$A$4:$D$141,3,0)</f>
        <v>U</v>
      </c>
      <c r="K51" s="169">
        <v>7.0000000000000007E-2</v>
      </c>
      <c r="L51" s="522">
        <f>VLOOKUP(A51,Materiales!$A$4:$D$141,4,0)</f>
        <v>75280</v>
      </c>
      <c r="M51" s="523"/>
      <c r="N51" s="297">
        <f t="shared" si="0"/>
        <v>5269.6</v>
      </c>
    </row>
    <row r="52" spans="1:14" ht="14.25" thickBot="1">
      <c r="B52" s="524" t="s">
        <v>469</v>
      </c>
      <c r="C52" s="525"/>
      <c r="D52" s="525"/>
      <c r="E52" s="525"/>
      <c r="F52" s="525"/>
      <c r="G52" s="525"/>
      <c r="H52" s="525"/>
      <c r="I52" s="525"/>
      <c r="J52" s="525"/>
      <c r="K52" s="525"/>
      <c r="L52" s="525"/>
      <c r="M52" s="526"/>
      <c r="N52" s="319">
        <f>SUM(N47:N51)</f>
        <v>154791.20000000001</v>
      </c>
    </row>
    <row r="53" spans="1:14">
      <c r="B53" s="574" t="s">
        <v>89</v>
      </c>
      <c r="C53" s="575"/>
      <c r="D53" s="575"/>
      <c r="E53" s="575"/>
      <c r="F53" s="575"/>
      <c r="G53" s="575"/>
      <c r="H53" s="575"/>
      <c r="I53" s="575"/>
      <c r="J53" s="575"/>
      <c r="K53" s="575"/>
      <c r="L53" s="575"/>
      <c r="M53" s="575"/>
      <c r="N53" s="576"/>
    </row>
    <row r="54" spans="1:14">
      <c r="B54" s="577" t="s">
        <v>89</v>
      </c>
      <c r="C54" s="578"/>
      <c r="D54" s="578"/>
      <c r="E54" s="578"/>
      <c r="F54" s="578"/>
      <c r="G54" s="578"/>
      <c r="H54" s="578"/>
      <c r="I54" s="578"/>
      <c r="J54" s="578"/>
      <c r="K54" s="578"/>
      <c r="L54" s="578"/>
      <c r="M54" s="578"/>
      <c r="N54" s="579"/>
    </row>
    <row r="55" spans="1:14" ht="13.5" thickBot="1">
      <c r="B55" s="580"/>
      <c r="C55" s="581"/>
      <c r="D55" s="581"/>
      <c r="E55" s="581"/>
      <c r="F55" s="581"/>
      <c r="G55" s="581"/>
      <c r="H55" s="581"/>
      <c r="I55" s="581"/>
      <c r="J55" s="581"/>
      <c r="K55" s="581"/>
      <c r="L55" s="581"/>
      <c r="M55" s="581"/>
      <c r="N55" s="582"/>
    </row>
    <row r="56" spans="1:14" ht="13.5">
      <c r="B56" s="536" t="s">
        <v>141</v>
      </c>
      <c r="C56" s="537"/>
      <c r="D56" s="537"/>
      <c r="E56" s="537"/>
      <c r="F56" s="537"/>
      <c r="G56" s="537"/>
      <c r="H56" s="537"/>
      <c r="I56" s="237" t="s">
        <v>142</v>
      </c>
      <c r="J56" s="240" t="s">
        <v>143</v>
      </c>
      <c r="K56" s="241" t="s">
        <v>248</v>
      </c>
      <c r="L56" s="538" t="s">
        <v>17</v>
      </c>
      <c r="M56" s="539"/>
      <c r="N56" s="238" t="s">
        <v>140</v>
      </c>
    </row>
    <row r="57" spans="1:14">
      <c r="B57" s="540" t="s">
        <v>493</v>
      </c>
      <c r="C57" s="541"/>
      <c r="D57" s="541"/>
      <c r="E57" s="541"/>
      <c r="F57" s="541"/>
      <c r="G57" s="541"/>
      <c r="H57" s="621"/>
      <c r="I57" s="205"/>
      <c r="J57" s="209"/>
      <c r="K57" s="205"/>
      <c r="L57" s="553">
        <v>11909</v>
      </c>
      <c r="M57" s="554"/>
      <c r="N57" s="297">
        <f>+L57</f>
        <v>11909</v>
      </c>
    </row>
    <row r="58" spans="1:14" ht="13.5" thickBot="1">
      <c r="B58" s="624"/>
      <c r="C58" s="625"/>
      <c r="D58" s="625"/>
      <c r="E58" s="625"/>
      <c r="F58" s="625"/>
      <c r="G58" s="625"/>
      <c r="H58" s="625"/>
      <c r="I58" s="173"/>
      <c r="J58" s="161"/>
      <c r="K58" s="173"/>
      <c r="L58" s="645"/>
      <c r="M58" s="646"/>
      <c r="N58" s="327"/>
    </row>
    <row r="59" spans="1:14" ht="14.25" thickBot="1">
      <c r="B59" s="524" t="s">
        <v>472</v>
      </c>
      <c r="C59" s="525"/>
      <c r="D59" s="525"/>
      <c r="E59" s="525"/>
      <c r="F59" s="525"/>
      <c r="G59" s="525"/>
      <c r="H59" s="525"/>
      <c r="I59" s="525"/>
      <c r="J59" s="525"/>
      <c r="K59" s="525"/>
      <c r="L59" s="525"/>
      <c r="M59" s="526"/>
      <c r="N59" s="204">
        <f>SUM(N57:N58)</f>
        <v>11909</v>
      </c>
    </row>
    <row r="60" spans="1:14">
      <c r="B60" s="574" t="s">
        <v>90</v>
      </c>
      <c r="C60" s="575"/>
      <c r="D60" s="575"/>
      <c r="E60" s="575"/>
      <c r="F60" s="575"/>
      <c r="G60" s="575"/>
      <c r="H60" s="575"/>
      <c r="I60" s="575"/>
      <c r="J60" s="575"/>
      <c r="K60" s="575"/>
      <c r="L60" s="575"/>
      <c r="M60" s="575"/>
      <c r="N60" s="576"/>
    </row>
    <row r="61" spans="1:14">
      <c r="B61" s="577" t="s">
        <v>90</v>
      </c>
      <c r="C61" s="578"/>
      <c r="D61" s="578"/>
      <c r="E61" s="578"/>
      <c r="F61" s="578"/>
      <c r="G61" s="578"/>
      <c r="H61" s="578"/>
      <c r="I61" s="578"/>
      <c r="J61" s="578"/>
      <c r="K61" s="578"/>
      <c r="L61" s="578"/>
      <c r="M61" s="578"/>
      <c r="N61" s="579"/>
    </row>
    <row r="62" spans="1:14" ht="13.5" thickBot="1">
      <c r="B62" s="580"/>
      <c r="C62" s="581"/>
      <c r="D62" s="581"/>
      <c r="E62" s="581"/>
      <c r="F62" s="581"/>
      <c r="G62" s="581"/>
      <c r="H62" s="581"/>
      <c r="I62" s="581"/>
      <c r="J62" s="581"/>
      <c r="K62" s="581"/>
      <c r="L62" s="581"/>
      <c r="M62" s="581"/>
      <c r="N62" s="582"/>
    </row>
    <row r="63" spans="1:14" ht="13.5">
      <c r="B63" s="536" t="s">
        <v>144</v>
      </c>
      <c r="C63" s="537"/>
      <c r="D63" s="537"/>
      <c r="E63" s="537"/>
      <c r="F63" s="537"/>
      <c r="G63" s="537"/>
      <c r="H63" s="237" t="s">
        <v>101</v>
      </c>
      <c r="I63" s="237" t="s">
        <v>145</v>
      </c>
      <c r="J63" s="240" t="s">
        <v>84</v>
      </c>
      <c r="K63" s="241" t="s">
        <v>146</v>
      </c>
      <c r="L63" s="538" t="s">
        <v>136</v>
      </c>
      <c r="M63" s="539"/>
      <c r="N63" s="238" t="s">
        <v>140</v>
      </c>
    </row>
    <row r="64" spans="1:14">
      <c r="A64" s="113" t="s">
        <v>446</v>
      </c>
      <c r="B64" s="550" t="str">
        <f>VLOOKUP(A64,'Mano de Obra'!$A$4:$E$80,2,0)</f>
        <v>AYUDANTE</v>
      </c>
      <c r="C64" s="551"/>
      <c r="D64" s="551"/>
      <c r="E64" s="551"/>
      <c r="F64" s="551"/>
      <c r="G64" s="552"/>
      <c r="H64" s="208">
        <v>4</v>
      </c>
      <c r="I64" s="302">
        <f>VLOOKUP(A64,'Mano de Obra'!$A$4:$E$80,3,0)</f>
        <v>28000</v>
      </c>
      <c r="J64" s="335">
        <f>VLOOKUP(A64,'Mano de Obra'!$A$4:$E$80,4,0)</f>
        <v>1.85</v>
      </c>
      <c r="K64" s="307">
        <f>+H64*I64*J64</f>
        <v>207200</v>
      </c>
      <c r="L64" s="529">
        <v>35</v>
      </c>
      <c r="M64" s="530"/>
      <c r="N64" s="326">
        <f>+K64/L64</f>
        <v>5920</v>
      </c>
    </row>
    <row r="65" spans="1:14">
      <c r="A65" s="113" t="s">
        <v>448</v>
      </c>
      <c r="B65" s="550" t="str">
        <f>VLOOKUP(A65,'Mano de Obra'!$A$4:$E$80,2,0)</f>
        <v>OFICIAL</v>
      </c>
      <c r="C65" s="551"/>
      <c r="D65" s="551"/>
      <c r="E65" s="551"/>
      <c r="F65" s="551"/>
      <c r="G65" s="552"/>
      <c r="H65" s="208">
        <v>1</v>
      </c>
      <c r="I65" s="302">
        <f>VLOOKUP(A65,'Mano de Obra'!$A$4:$E$80,3,0)</f>
        <v>48000</v>
      </c>
      <c r="J65" s="335">
        <f>VLOOKUP(A65,'Mano de Obra'!$A$4:$E$80,4,0)</f>
        <v>1.85</v>
      </c>
      <c r="K65" s="307">
        <f t="shared" ref="K65:K66" si="1">+H65*I65*J65</f>
        <v>88800</v>
      </c>
      <c r="L65" s="529">
        <v>35</v>
      </c>
      <c r="M65" s="530"/>
      <c r="N65" s="326">
        <f>+K65/L65</f>
        <v>2537.1428571428573</v>
      </c>
    </row>
    <row r="66" spans="1:14">
      <c r="A66" s="113" t="s">
        <v>449</v>
      </c>
      <c r="B66" s="550" t="str">
        <f>VLOOKUP(A66,'Mano de Obra'!$A$4:$E$80,2,0)</f>
        <v>INSPECTOR DE OBRA</v>
      </c>
      <c r="C66" s="551"/>
      <c r="D66" s="551"/>
      <c r="E66" s="551"/>
      <c r="F66" s="551"/>
      <c r="G66" s="552"/>
      <c r="H66" s="208">
        <v>1</v>
      </c>
      <c r="I66" s="302">
        <f>VLOOKUP(A66,'Mano de Obra'!$A$4:$E$80,3,0)</f>
        <v>64000</v>
      </c>
      <c r="J66" s="335">
        <f>VLOOKUP(A66,'Mano de Obra'!$A$4:$E$80,4,0)</f>
        <v>1.85</v>
      </c>
      <c r="K66" s="307">
        <f t="shared" si="1"/>
        <v>118400</v>
      </c>
      <c r="L66" s="637">
        <v>35</v>
      </c>
      <c r="M66" s="638"/>
      <c r="N66" s="326">
        <f>+K66/L66</f>
        <v>3382.8571428571427</v>
      </c>
    </row>
    <row r="67" spans="1:14" ht="13.5" thickBot="1">
      <c r="B67" s="550"/>
      <c r="C67" s="551"/>
      <c r="D67" s="551"/>
      <c r="E67" s="551"/>
      <c r="F67" s="551"/>
      <c r="G67" s="551"/>
      <c r="H67" s="311"/>
      <c r="I67" s="173"/>
      <c r="J67" s="161"/>
      <c r="K67" s="309"/>
      <c r="L67" s="534"/>
      <c r="M67" s="535"/>
      <c r="N67" s="327"/>
    </row>
    <row r="68" spans="1:14" ht="14.25" thickBot="1">
      <c r="B68" s="524" t="s">
        <v>469</v>
      </c>
      <c r="C68" s="525"/>
      <c r="D68" s="525"/>
      <c r="E68" s="525"/>
      <c r="F68" s="525"/>
      <c r="G68" s="525"/>
      <c r="H68" s="525"/>
      <c r="I68" s="525"/>
      <c r="J68" s="525"/>
      <c r="K68" s="525"/>
      <c r="L68" s="525"/>
      <c r="M68" s="526"/>
      <c r="N68" s="319">
        <f>SUM(N64:N67)</f>
        <v>11840</v>
      </c>
    </row>
    <row r="69" spans="1:14" ht="13.5" thickBot="1">
      <c r="B69" s="159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7"/>
    </row>
    <row r="70" spans="1:14" ht="13.5" thickBot="1">
      <c r="B70" s="531" t="s">
        <v>474</v>
      </c>
      <c r="C70" s="532"/>
      <c r="D70" s="532"/>
      <c r="E70" s="532"/>
      <c r="F70" s="532"/>
      <c r="G70" s="532"/>
      <c r="H70" s="532"/>
      <c r="I70" s="532"/>
      <c r="J70" s="532"/>
      <c r="K70" s="532"/>
      <c r="L70" s="532"/>
      <c r="M70" s="533"/>
      <c r="N70" s="328">
        <f>+N68+N59+N52+N42</f>
        <v>186597.86666666667</v>
      </c>
    </row>
    <row r="71" spans="1:14">
      <c r="B71" s="574" t="s">
        <v>91</v>
      </c>
      <c r="C71" s="575"/>
      <c r="D71" s="575"/>
      <c r="E71" s="575"/>
      <c r="F71" s="575"/>
      <c r="G71" s="575"/>
      <c r="H71" s="575"/>
      <c r="I71" s="575"/>
      <c r="J71" s="575"/>
      <c r="K71" s="575"/>
      <c r="L71" s="575"/>
      <c r="M71" s="575"/>
      <c r="N71" s="576"/>
    </row>
    <row r="72" spans="1:14">
      <c r="B72" s="577" t="s">
        <v>91</v>
      </c>
      <c r="C72" s="578"/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9"/>
    </row>
    <row r="73" spans="1:14" ht="13.5" thickBot="1"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3.5">
      <c r="B74" s="536" t="s">
        <v>88</v>
      </c>
      <c r="C74" s="537"/>
      <c r="D74" s="537"/>
      <c r="E74" s="537"/>
      <c r="F74" s="537"/>
      <c r="G74" s="537"/>
      <c r="H74" s="537"/>
      <c r="I74" s="240"/>
      <c r="J74" s="246"/>
      <c r="K74" s="243" t="s">
        <v>92</v>
      </c>
      <c r="L74" s="527" t="s">
        <v>93</v>
      </c>
      <c r="M74" s="528"/>
      <c r="N74" s="244"/>
    </row>
    <row r="75" spans="1:14">
      <c r="B75" s="540" t="s">
        <v>82</v>
      </c>
      <c r="C75" s="541"/>
      <c r="D75" s="541"/>
      <c r="E75" s="541"/>
      <c r="F75" s="541"/>
      <c r="G75" s="541"/>
      <c r="H75" s="541"/>
      <c r="I75" s="182"/>
      <c r="J75" s="183"/>
      <c r="K75" s="251">
        <v>0.25</v>
      </c>
      <c r="L75" s="522">
        <f>+N70*K75</f>
        <v>46649.466666666667</v>
      </c>
      <c r="M75" s="523"/>
      <c r="N75" s="184"/>
    </row>
    <row r="76" spans="1:14">
      <c r="B76" s="185" t="s">
        <v>94</v>
      </c>
      <c r="C76" s="186"/>
      <c r="D76" s="186"/>
      <c r="E76" s="186"/>
      <c r="F76" s="186"/>
      <c r="G76" s="186"/>
      <c r="H76" s="186"/>
      <c r="I76" s="182"/>
      <c r="J76" s="183"/>
      <c r="K76" s="251">
        <v>0.05</v>
      </c>
      <c r="L76" s="522">
        <f>+N70*K76</f>
        <v>9329.8933333333334</v>
      </c>
      <c r="M76" s="523"/>
      <c r="N76" s="184"/>
    </row>
    <row r="77" spans="1:14" ht="13.5" thickBot="1">
      <c r="B77" s="187" t="s">
        <v>83</v>
      </c>
      <c r="C77" s="188"/>
      <c r="D77" s="188"/>
      <c r="E77" s="188"/>
      <c r="F77" s="188"/>
      <c r="G77" s="188"/>
      <c r="H77" s="188"/>
      <c r="I77" s="189"/>
      <c r="J77" s="190"/>
      <c r="K77" s="251">
        <v>0.05</v>
      </c>
      <c r="L77" s="627">
        <f>+N70*K77</f>
        <v>9329.8933333333334</v>
      </c>
      <c r="M77" s="628"/>
      <c r="N77" s="184"/>
    </row>
    <row r="78" spans="1:14" ht="14.25" thickBot="1">
      <c r="B78" s="524" t="s">
        <v>469</v>
      </c>
      <c r="C78" s="525"/>
      <c r="D78" s="525"/>
      <c r="E78" s="525"/>
      <c r="F78" s="525"/>
      <c r="G78" s="525"/>
      <c r="H78" s="525"/>
      <c r="I78" s="525"/>
      <c r="J78" s="525"/>
      <c r="K78" s="525"/>
      <c r="L78" s="525"/>
      <c r="M78" s="526"/>
      <c r="N78" s="204">
        <f>SUM(L75:M77)</f>
        <v>65309.253333333334</v>
      </c>
    </row>
    <row r="79" spans="1:14" ht="13.5" thickBot="1">
      <c r="B79" s="159"/>
      <c r="C79" s="140"/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7"/>
    </row>
    <row r="80" spans="1:14" ht="13.5" thickBot="1">
      <c r="B80" s="531" t="s">
        <v>473</v>
      </c>
      <c r="C80" s="532"/>
      <c r="D80" s="532"/>
      <c r="E80" s="532"/>
      <c r="F80" s="532"/>
      <c r="G80" s="532"/>
      <c r="H80" s="532"/>
      <c r="I80" s="532"/>
      <c r="J80" s="532"/>
      <c r="K80" s="532"/>
      <c r="L80" s="532"/>
      <c r="M80" s="533"/>
      <c r="N80" s="328">
        <f>ROUND(N70+N78,0)</f>
        <v>251907</v>
      </c>
    </row>
    <row r="81" spans="2:14">
      <c r="B81" s="138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41"/>
    </row>
    <row r="82" spans="2:14">
      <c r="B82" s="159"/>
      <c r="C82" s="140"/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7"/>
    </row>
    <row r="83" spans="2:14">
      <c r="B83" s="159"/>
      <c r="C83" s="140"/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7"/>
    </row>
    <row r="84" spans="2:14">
      <c r="B84" s="159"/>
      <c r="C84" s="140"/>
      <c r="D84" s="140"/>
      <c r="E84" s="140"/>
      <c r="F84" s="140"/>
      <c r="G84" s="145" t="str">
        <f>+'SV-01'!$G$96</f>
        <v>Firma</v>
      </c>
      <c r="H84" s="145"/>
      <c r="I84" s="145"/>
      <c r="J84" s="145"/>
      <c r="K84" s="140"/>
      <c r="L84" s="140"/>
      <c r="M84" s="140"/>
      <c r="N84" s="147"/>
    </row>
    <row r="85" spans="2:14" ht="13.5">
      <c r="B85" s="192"/>
      <c r="C85" s="193"/>
      <c r="D85" s="193"/>
      <c r="E85" s="193"/>
      <c r="F85" s="193"/>
      <c r="G85" s="145" t="str">
        <f>+'SV-01'!$G$97</f>
        <v>Nombre:</v>
      </c>
      <c r="H85" s="193"/>
      <c r="I85" s="193"/>
      <c r="J85" s="193"/>
      <c r="K85" s="193"/>
      <c r="L85" s="193"/>
      <c r="M85" s="193"/>
      <c r="N85" s="194"/>
    </row>
    <row r="86" spans="2:14" ht="13.5">
      <c r="B86" s="192"/>
      <c r="C86" s="193"/>
      <c r="D86" s="193"/>
      <c r="E86" s="193"/>
      <c r="F86" s="193"/>
      <c r="G86" s="145" t="str">
        <f>+'SV-01'!$G$98</f>
        <v>Representante Legal del Contratista o su Apoderado</v>
      </c>
      <c r="J86" s="193"/>
      <c r="K86" s="193"/>
      <c r="L86" s="193"/>
      <c r="M86" s="193"/>
      <c r="N86" s="194"/>
    </row>
    <row r="87" spans="2:14">
      <c r="B87" s="123"/>
      <c r="C87" s="155"/>
      <c r="D87" s="155"/>
      <c r="E87" s="155"/>
      <c r="F87" s="155"/>
      <c r="G87" s="145" t="str">
        <f>+'SV-01'!$G$99</f>
        <v>Matricula No. :</v>
      </c>
      <c r="H87" s="155"/>
      <c r="I87" s="155"/>
      <c r="J87" s="155"/>
      <c r="K87" s="155"/>
      <c r="L87" s="155"/>
      <c r="M87" s="155"/>
      <c r="N87" s="153"/>
    </row>
    <row r="88" spans="2:14">
      <c r="B88" s="159"/>
      <c r="C88" s="140"/>
      <c r="D88" s="140"/>
      <c r="E88" s="140"/>
      <c r="F88" s="140"/>
      <c r="G88" s="140" t="s">
        <v>206</v>
      </c>
      <c r="H88" s="140"/>
      <c r="I88" s="140"/>
      <c r="J88" s="140"/>
      <c r="K88" s="140"/>
      <c r="L88" s="140"/>
      <c r="M88" s="140"/>
      <c r="N88" s="147"/>
    </row>
    <row r="89" spans="2:14" ht="13.5">
      <c r="B89" s="165" t="str">
        <f>+'SV-01'!$B$101</f>
        <v>OBSERVACIONES INTERVENTORÍA</v>
      </c>
      <c r="C89" s="166"/>
      <c r="D89" s="166"/>
      <c r="E89" s="166"/>
      <c r="F89" s="166"/>
      <c r="G89" s="166"/>
      <c r="H89" s="166"/>
      <c r="I89" s="166"/>
      <c r="J89" s="166"/>
      <c r="K89" s="166"/>
      <c r="L89" s="166"/>
      <c r="M89" s="166"/>
      <c r="N89" s="167"/>
    </row>
    <row r="90" spans="2:14">
      <c r="B90" s="544"/>
      <c r="C90" s="545"/>
      <c r="D90" s="545"/>
      <c r="E90" s="545"/>
      <c r="F90" s="545"/>
      <c r="G90" s="545"/>
      <c r="H90" s="545"/>
      <c r="I90" s="545"/>
      <c r="J90" s="545"/>
      <c r="K90" s="545"/>
      <c r="L90" s="545"/>
      <c r="M90" s="545"/>
      <c r="N90" s="546"/>
    </row>
    <row r="91" spans="2:14">
      <c r="B91" s="547"/>
      <c r="C91" s="548"/>
      <c r="D91" s="548"/>
      <c r="E91" s="548"/>
      <c r="F91" s="548"/>
      <c r="G91" s="548"/>
      <c r="H91" s="548"/>
      <c r="I91" s="548"/>
      <c r="J91" s="548"/>
      <c r="K91" s="548"/>
      <c r="L91" s="548"/>
      <c r="M91" s="548"/>
      <c r="N91" s="549"/>
    </row>
    <row r="92" spans="2:14">
      <c r="B92" s="123"/>
      <c r="C92" s="155"/>
      <c r="D92" s="155"/>
      <c r="E92" s="155"/>
      <c r="F92" s="155"/>
      <c r="G92" s="155"/>
      <c r="H92" s="155"/>
      <c r="I92" s="155"/>
      <c r="J92" s="155"/>
      <c r="K92" s="155"/>
      <c r="L92" s="155"/>
      <c r="M92" s="155"/>
      <c r="N92" s="153"/>
    </row>
    <row r="93" spans="2:14">
      <c r="B93" s="159"/>
      <c r="C93" s="140"/>
      <c r="D93" s="140"/>
      <c r="E93" s="140"/>
      <c r="F93" s="140"/>
      <c r="G93" s="145" t="str">
        <f>+'SV-01'!$G$105</f>
        <v>Firma</v>
      </c>
      <c r="H93" s="140"/>
      <c r="I93" s="140"/>
      <c r="J93" s="140"/>
      <c r="K93" s="140"/>
      <c r="L93" s="140"/>
      <c r="M93" s="140"/>
      <c r="N93" s="147"/>
    </row>
    <row r="94" spans="2:14">
      <c r="B94" s="159"/>
      <c r="C94" s="140"/>
      <c r="D94" s="140"/>
      <c r="E94" s="140"/>
      <c r="F94" s="140"/>
      <c r="G94" s="140" t="str">
        <f>+'SV-01'!$G$106</f>
        <v>Nombre:</v>
      </c>
      <c r="H94" s="160"/>
      <c r="I94" s="160"/>
      <c r="J94" s="160"/>
      <c r="K94" s="140"/>
      <c r="L94" s="140"/>
      <c r="M94" s="140"/>
      <c r="N94" s="147"/>
    </row>
    <row r="95" spans="2:14">
      <c r="B95" s="159"/>
      <c r="C95" s="140"/>
      <c r="D95" s="140"/>
      <c r="E95" s="140"/>
      <c r="F95" s="140"/>
      <c r="G95" s="140" t="str">
        <f>+'SV-01'!$G$107</f>
        <v>Representante Legal del Interventor o su Apoderado</v>
      </c>
      <c r="H95" s="154"/>
      <c r="I95" s="154"/>
      <c r="J95" s="154"/>
      <c r="M95" s="140"/>
      <c r="N95" s="147"/>
    </row>
    <row r="96" spans="2:14">
      <c r="B96" s="196"/>
      <c r="C96" s="155"/>
      <c r="D96" s="155"/>
      <c r="E96" s="155"/>
      <c r="F96" s="155"/>
      <c r="G96" s="140" t="str">
        <f>+'SV-01'!$G$108</f>
        <v>Matricula No. :</v>
      </c>
      <c r="K96" s="155"/>
      <c r="L96" s="155"/>
      <c r="M96" s="155"/>
      <c r="N96" s="153"/>
    </row>
    <row r="97" spans="2:14" ht="12.75" customHeight="1">
      <c r="B97" s="199" t="str">
        <f>+'SV-01'!$B$109</f>
        <v xml:space="preserve">Original: Archivo de Gestión Contractual ( Subdirecciòn Administrativa) </v>
      </c>
      <c r="C97" s="197"/>
      <c r="D97" s="197"/>
      <c r="E97" s="140"/>
      <c r="F97" s="140"/>
      <c r="G97" s="140"/>
      <c r="H97" s="140"/>
      <c r="I97" s="140"/>
      <c r="J97" s="515"/>
      <c r="K97" s="515"/>
      <c r="L97" s="515"/>
      <c r="M97" s="515"/>
      <c r="N97" s="516"/>
    </row>
    <row r="98" spans="2:14" ht="12.75" customHeight="1">
      <c r="B98" s="199" t="str">
        <f>+'SV-01'!$B$110</f>
        <v>Copias : Unidad Ejecutora,  Contratista, Interventor y Dirección Territorial.</v>
      </c>
      <c r="C98" s="197"/>
      <c r="D98" s="197"/>
      <c r="E98" s="140"/>
      <c r="F98" s="140"/>
      <c r="G98" s="140"/>
      <c r="H98" s="140"/>
      <c r="I98" s="140"/>
      <c r="J98" s="515"/>
      <c r="K98" s="515"/>
      <c r="L98" s="515"/>
      <c r="M98" s="515"/>
      <c r="N98" s="516"/>
    </row>
    <row r="99" spans="2:14" ht="13.5" customHeight="1" thickBot="1">
      <c r="B99" s="519"/>
      <c r="C99" s="520"/>
      <c r="D99" s="520"/>
      <c r="E99" s="161"/>
      <c r="F99" s="161"/>
      <c r="G99" s="161"/>
      <c r="H99" s="161"/>
      <c r="I99" s="161"/>
      <c r="J99" s="517"/>
      <c r="K99" s="517"/>
      <c r="L99" s="517"/>
      <c r="M99" s="517"/>
      <c r="N99" s="518"/>
    </row>
  </sheetData>
  <mergeCells count="92"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K6:K8"/>
    <mergeCell ref="L6:L8"/>
    <mergeCell ref="M6:M8"/>
    <mergeCell ref="N6:N8"/>
    <mergeCell ref="C8:J8"/>
    <mergeCell ref="L32:M32"/>
    <mergeCell ref="D12:G12"/>
    <mergeCell ref="J12:M12"/>
    <mergeCell ref="L13:N13"/>
    <mergeCell ref="H18:M18"/>
    <mergeCell ref="D19:M20"/>
    <mergeCell ref="D22:M22"/>
    <mergeCell ref="D24:M24"/>
    <mergeCell ref="E26:M26"/>
    <mergeCell ref="G28:M28"/>
    <mergeCell ref="B30:N30"/>
    <mergeCell ref="C32:K32"/>
    <mergeCell ref="L33:M33"/>
    <mergeCell ref="I37:J37"/>
    <mergeCell ref="L37:M37"/>
    <mergeCell ref="C33:K33"/>
    <mergeCell ref="B34:N36"/>
    <mergeCell ref="B37:H37"/>
    <mergeCell ref="I38:J38"/>
    <mergeCell ref="L38:M38"/>
    <mergeCell ref="L39:M39"/>
    <mergeCell ref="I39:J39"/>
    <mergeCell ref="B39:H39"/>
    <mergeCell ref="B38:H38"/>
    <mergeCell ref="L48:M48"/>
    <mergeCell ref="I41:J41"/>
    <mergeCell ref="L41:M41"/>
    <mergeCell ref="B42:M42"/>
    <mergeCell ref="B46:I46"/>
    <mergeCell ref="L46:M46"/>
    <mergeCell ref="B47:I47"/>
    <mergeCell ref="L47:M47"/>
    <mergeCell ref="B43:N45"/>
    <mergeCell ref="L49:M49"/>
    <mergeCell ref="B50:I50"/>
    <mergeCell ref="L50:M50"/>
    <mergeCell ref="B51:I51"/>
    <mergeCell ref="L51:M51"/>
    <mergeCell ref="L66:M66"/>
    <mergeCell ref="B52:M52"/>
    <mergeCell ref="B56:H56"/>
    <mergeCell ref="L56:M56"/>
    <mergeCell ref="B57:H57"/>
    <mergeCell ref="L57:M57"/>
    <mergeCell ref="B58:H58"/>
    <mergeCell ref="L58:M58"/>
    <mergeCell ref="B59:M59"/>
    <mergeCell ref="L63:M63"/>
    <mergeCell ref="L64:M64"/>
    <mergeCell ref="L65:M65"/>
    <mergeCell ref="B53:N55"/>
    <mergeCell ref="B60:N62"/>
    <mergeCell ref="B66:G66"/>
    <mergeCell ref="L67:M67"/>
    <mergeCell ref="B68:M68"/>
    <mergeCell ref="B70:M70"/>
    <mergeCell ref="B74:H74"/>
    <mergeCell ref="L74:M74"/>
    <mergeCell ref="B71:N73"/>
    <mergeCell ref="B67:G67"/>
    <mergeCell ref="B90:N90"/>
    <mergeCell ref="B91:N91"/>
    <mergeCell ref="J97:N99"/>
    <mergeCell ref="B99:D99"/>
    <mergeCell ref="B75:H75"/>
    <mergeCell ref="L75:M75"/>
    <mergeCell ref="L76:M76"/>
    <mergeCell ref="L77:M77"/>
    <mergeCell ref="B78:M78"/>
    <mergeCell ref="B80:M80"/>
    <mergeCell ref="B40:H40"/>
    <mergeCell ref="B41:H41"/>
    <mergeCell ref="B63:G63"/>
    <mergeCell ref="B64:G64"/>
    <mergeCell ref="B65:G65"/>
    <mergeCell ref="B49:I49"/>
    <mergeCell ref="B48:I48"/>
  </mergeCells>
  <pageMargins left="0.74803149606299213" right="0.74803149606299213" top="0.98425196850393704" bottom="0.98425196850393704" header="0" footer="0"/>
  <pageSetup scale="51" orientation="portrait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0000"/>
  </sheetPr>
  <dimension ref="A1:N116"/>
  <sheetViews>
    <sheetView showGridLines="0" view="pageBreakPreview" zoomScaleNormal="100" zoomScaleSheetLayoutView="100" workbookViewId="0">
      <selection activeCell="K54" sqref="K54:M54"/>
    </sheetView>
  </sheetViews>
  <sheetFormatPr baseColWidth="10" defaultRowHeight="12.75"/>
  <cols>
    <col min="1" max="1" width="3.140625" style="113" customWidth="1"/>
    <col min="2" max="2" width="11.5703125" style="113" bestFit="1" customWidth="1"/>
    <col min="3" max="8" width="11.42578125" style="113"/>
    <col min="9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392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388"/>
      <c r="D11" s="388"/>
      <c r="E11" s="388"/>
      <c r="F11" s="388"/>
      <c r="G11" s="388"/>
      <c r="H11" s="388"/>
      <c r="I11" s="388"/>
      <c r="J11" s="388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390"/>
    </row>
    <row r="13" spans="2:14" ht="13.5">
      <c r="B13" s="128"/>
      <c r="C13" s="129"/>
      <c r="D13" s="389"/>
      <c r="E13" s="389"/>
      <c r="F13" s="389"/>
      <c r="G13" s="389"/>
      <c r="H13" s="129"/>
      <c r="I13" s="389"/>
      <c r="J13" s="129"/>
      <c r="K13" s="389"/>
      <c r="L13" s="559"/>
      <c r="M13" s="559"/>
      <c r="N13" s="560"/>
    </row>
    <row r="14" spans="2:14" ht="13.5">
      <c r="B14" s="128"/>
      <c r="C14" s="129"/>
      <c r="D14" s="389"/>
      <c r="E14" s="389"/>
      <c r="F14" s="389"/>
      <c r="G14" s="389"/>
      <c r="H14" s="129"/>
      <c r="I14" s="389"/>
      <c r="J14" s="129"/>
      <c r="K14" s="389"/>
      <c r="L14" s="389"/>
      <c r="M14" s="389"/>
      <c r="N14" s="39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387"/>
      <c r="E21" s="387"/>
      <c r="F21" s="387"/>
      <c r="G21" s="387"/>
      <c r="H21" s="387"/>
      <c r="I21" s="387"/>
      <c r="J21" s="387"/>
      <c r="K21" s="387"/>
      <c r="L21" s="387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s="346" customFormat="1" ht="13.5" thickBot="1">
      <c r="B33" s="249" t="str">
        <f>+'PRESUPUESTO OFICIAL'!D18</f>
        <v>SV-19</v>
      </c>
      <c r="C33" s="670" t="str">
        <f>+'PRESUPUESTO OFICIAL'!G18</f>
        <v>SUMINISTRO E INSTALACIÓN DE SEÑAL VERTICAL SP-47B</v>
      </c>
      <c r="D33" s="671"/>
      <c r="E33" s="671"/>
      <c r="F33" s="671"/>
      <c r="G33" s="671"/>
      <c r="H33" s="671"/>
      <c r="I33" s="671"/>
      <c r="J33" s="671"/>
      <c r="K33" s="672"/>
      <c r="L33" s="566" t="str">
        <f>+'PRESUPUESTO OFICIAL'!H18</f>
        <v>UNIDAD</v>
      </c>
      <c r="M33" s="567"/>
      <c r="N33" s="258">
        <f>+'PRESUPUESTO OFICIAL'!I18</f>
        <v>12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</v>
      </c>
      <c r="M38" s="638"/>
      <c r="N38" s="297">
        <f>+K38/L38</f>
        <v>5084.75</v>
      </c>
    </row>
    <row r="39" spans="1:14">
      <c r="A39" s="113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382"/>
      <c r="J39" s="383"/>
      <c r="K39" s="315">
        <f>VLOOKUP(A39,Equipo!$A$4:$D$80,4,0)</f>
        <v>20339</v>
      </c>
      <c r="L39" s="637">
        <v>4</v>
      </c>
      <c r="M39" s="638"/>
      <c r="N39" s="297">
        <f t="shared" ref="N39:N44" si="0">+K39/L39</f>
        <v>5084.75</v>
      </c>
    </row>
    <row r="40" spans="1:14">
      <c r="A40" s="113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382"/>
      <c r="J40" s="383"/>
      <c r="K40" s="315">
        <f>VLOOKUP(A40,Equipo!$A$4:$D$80,4,0)</f>
        <v>16271</v>
      </c>
      <c r="L40" s="637">
        <v>4</v>
      </c>
      <c r="M40" s="638"/>
      <c r="N40" s="297">
        <f t="shared" si="0"/>
        <v>4067.75</v>
      </c>
    </row>
    <row r="41" spans="1:14">
      <c r="A41" s="113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382"/>
      <c r="J41" s="383"/>
      <c r="K41" s="315">
        <f>VLOOKUP(A41,Equipo!$A$4:$D$80,4,0)</f>
        <v>20339</v>
      </c>
      <c r="L41" s="637">
        <v>4</v>
      </c>
      <c r="M41" s="638"/>
      <c r="N41" s="297">
        <f t="shared" si="0"/>
        <v>5084.75</v>
      </c>
    </row>
    <row r="42" spans="1:14">
      <c r="A42" s="113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382"/>
      <c r="J42" s="383"/>
      <c r="K42" s="315">
        <f>VLOOKUP(A42,Equipo!$A$4:$D$80,4,0)</f>
        <v>13574</v>
      </c>
      <c r="L42" s="637">
        <v>4</v>
      </c>
      <c r="M42" s="638"/>
      <c r="N42" s="297">
        <f t="shared" si="0"/>
        <v>3393.5</v>
      </c>
    </row>
    <row r="43" spans="1:14">
      <c r="A43" s="113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382"/>
      <c r="J43" s="383"/>
      <c r="K43" s="315">
        <f>VLOOKUP(A43,Equipo!$A$4:$D$80,4,0)</f>
        <v>8003</v>
      </c>
      <c r="L43" s="637">
        <v>4</v>
      </c>
      <c r="M43" s="638"/>
      <c r="N43" s="297">
        <f t="shared" si="0"/>
        <v>2000.75</v>
      </c>
    </row>
    <row r="44" spans="1:14">
      <c r="A44" s="113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382"/>
      <c r="J44" s="383"/>
      <c r="K44" s="315">
        <f>VLOOKUP(A44,Equipo!$A$4:$D$80,4,0)</f>
        <v>2715</v>
      </c>
      <c r="L44" s="637">
        <v>4</v>
      </c>
      <c r="M44" s="638"/>
      <c r="N44" s="297">
        <f t="shared" si="0"/>
        <v>678.75</v>
      </c>
    </row>
    <row r="45" spans="1:14">
      <c r="B45" s="550" t="s">
        <v>211</v>
      </c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>
        <v>1500</v>
      </c>
    </row>
    <row r="46" spans="1:14">
      <c r="B46" s="550"/>
      <c r="C46" s="551"/>
      <c r="D46" s="551"/>
      <c r="E46" s="551"/>
      <c r="F46" s="551"/>
      <c r="G46" s="551"/>
      <c r="H46" s="552"/>
      <c r="I46" s="203"/>
      <c r="J46" s="202"/>
      <c r="K46" s="315"/>
      <c r="L46" s="252"/>
      <c r="M46" s="253"/>
      <c r="N46" s="297"/>
    </row>
    <row r="47" spans="1:14" ht="13.5" thickBot="1">
      <c r="B47" s="550"/>
      <c r="C47" s="551"/>
      <c r="D47" s="551"/>
      <c r="E47" s="551"/>
      <c r="F47" s="551"/>
      <c r="G47" s="551"/>
      <c r="H47" s="552"/>
      <c r="I47" s="622"/>
      <c r="J47" s="623"/>
      <c r="K47" s="315"/>
      <c r="L47" s="647"/>
      <c r="M47" s="648"/>
      <c r="N47" s="297"/>
    </row>
    <row r="48" spans="1:14" ht="14.25" thickBot="1">
      <c r="B48" s="524" t="s">
        <v>472</v>
      </c>
      <c r="C48" s="525"/>
      <c r="D48" s="525"/>
      <c r="E48" s="525"/>
      <c r="F48" s="525"/>
      <c r="G48" s="525"/>
      <c r="H48" s="525"/>
      <c r="I48" s="525"/>
      <c r="J48" s="525"/>
      <c r="K48" s="525"/>
      <c r="L48" s="525"/>
      <c r="M48" s="526"/>
      <c r="N48" s="204">
        <f>SUM(N38:N47)</f>
        <v>26895</v>
      </c>
    </row>
    <row r="49" spans="1:14">
      <c r="B49" s="574" t="s">
        <v>138</v>
      </c>
      <c r="C49" s="575"/>
      <c r="D49" s="575"/>
      <c r="E49" s="575"/>
      <c r="F49" s="575"/>
      <c r="G49" s="575"/>
      <c r="H49" s="575"/>
      <c r="I49" s="575"/>
      <c r="J49" s="575"/>
      <c r="K49" s="575"/>
      <c r="L49" s="575"/>
      <c r="M49" s="575"/>
      <c r="N49" s="576"/>
    </row>
    <row r="50" spans="1:14">
      <c r="B50" s="577" t="s">
        <v>138</v>
      </c>
      <c r="C50" s="578"/>
      <c r="D50" s="578"/>
      <c r="E50" s="578"/>
      <c r="F50" s="578"/>
      <c r="G50" s="578"/>
      <c r="H50" s="578"/>
      <c r="I50" s="578"/>
      <c r="J50" s="578"/>
      <c r="K50" s="578"/>
      <c r="L50" s="578"/>
      <c r="M50" s="578"/>
      <c r="N50" s="579"/>
    </row>
    <row r="51" spans="1:14" ht="13.5" thickBot="1">
      <c r="B51" s="580"/>
      <c r="C51" s="581"/>
      <c r="D51" s="581"/>
      <c r="E51" s="581"/>
      <c r="F51" s="581"/>
      <c r="G51" s="581"/>
      <c r="H51" s="581"/>
      <c r="I51" s="581"/>
      <c r="J51" s="581"/>
      <c r="K51" s="581"/>
      <c r="L51" s="581"/>
      <c r="M51" s="581"/>
      <c r="N51" s="582"/>
    </row>
    <row r="52" spans="1:14" ht="13.5">
      <c r="B52" s="536" t="s">
        <v>125</v>
      </c>
      <c r="C52" s="537"/>
      <c r="D52" s="537"/>
      <c r="E52" s="537"/>
      <c r="F52" s="537"/>
      <c r="G52" s="537"/>
      <c r="H52" s="537"/>
      <c r="I52" s="539"/>
      <c r="J52" s="386" t="s">
        <v>16</v>
      </c>
      <c r="K52" s="237" t="s">
        <v>101</v>
      </c>
      <c r="L52" s="538" t="s">
        <v>139</v>
      </c>
      <c r="M52" s="539"/>
      <c r="N52" s="238" t="s">
        <v>140</v>
      </c>
    </row>
    <row r="53" spans="1:14">
      <c r="A53" s="113" t="s">
        <v>344</v>
      </c>
      <c r="B53" s="550" t="str">
        <f>VLOOKUP(A53,Materiales!$A$4:$D$141,2,0)</f>
        <v>LAMINA GALV. CALIBRE 16</v>
      </c>
      <c r="C53" s="551"/>
      <c r="D53" s="551"/>
      <c r="E53" s="551"/>
      <c r="F53" s="551"/>
      <c r="G53" s="551"/>
      <c r="H53" s="551"/>
      <c r="I53" s="552"/>
      <c r="J53" s="393" t="str">
        <f>VLOOKUP(A53,Materiales!$A$4:$D$141,3,0)</f>
        <v>M2</v>
      </c>
      <c r="K53" s="200">
        <v>0.79700000000000004</v>
      </c>
      <c r="L53" s="522">
        <f>VLOOKUP(A53,Materiales!$A$4:$D$141,4,0)</f>
        <v>49580</v>
      </c>
      <c r="M53" s="523"/>
      <c r="N53" s="297">
        <f>+L53*K53</f>
        <v>39515.26</v>
      </c>
    </row>
    <row r="54" spans="1:14">
      <c r="A54" s="113" t="s">
        <v>345</v>
      </c>
      <c r="B54" s="550" t="str">
        <f>VLOOKUP(A54,Materiales!$A$4:$D$141,2,0)</f>
        <v>PAPEL REFLECTIVO TIPO III</v>
      </c>
      <c r="C54" s="551"/>
      <c r="D54" s="551"/>
      <c r="E54" s="551"/>
      <c r="F54" s="551"/>
      <c r="G54" s="551"/>
      <c r="H54" s="551"/>
      <c r="I54" s="552"/>
      <c r="J54" s="393" t="str">
        <f>VLOOKUP(A54,Materiales!$A$4:$D$141,3,0)</f>
        <v>M2</v>
      </c>
      <c r="K54" s="169">
        <v>1.7000000000000001E-2</v>
      </c>
      <c r="L54" s="522">
        <v>3522400</v>
      </c>
      <c r="M54" s="523"/>
      <c r="N54" s="297">
        <f t="shared" ref="N54:N61" si="1">+L54*K54</f>
        <v>59880.800000000003</v>
      </c>
    </row>
    <row r="55" spans="1:14">
      <c r="A55" s="113" t="s">
        <v>346</v>
      </c>
      <c r="B55" s="550" t="str">
        <f>VLOOKUP(A55,Materiales!$A$4:$D$141,2,0)</f>
        <v>ANGULO DE 2" X 1/4"</v>
      </c>
      <c r="C55" s="551"/>
      <c r="D55" s="551"/>
      <c r="E55" s="551"/>
      <c r="F55" s="551"/>
      <c r="G55" s="551"/>
      <c r="H55" s="551"/>
      <c r="I55" s="552"/>
      <c r="J55" s="393" t="str">
        <f>VLOOKUP(A55,Materiales!$A$4:$D$141,3,0)</f>
        <v>ML</v>
      </c>
      <c r="K55" s="169">
        <v>3.35</v>
      </c>
      <c r="L55" s="522">
        <f>VLOOKUP(A55,Materiales!$A$4:$D$141,4,0)</f>
        <v>17710</v>
      </c>
      <c r="M55" s="523"/>
      <c r="N55" s="297">
        <f t="shared" si="1"/>
        <v>59328.5</v>
      </c>
    </row>
    <row r="56" spans="1:14">
      <c r="A56" s="113" t="s">
        <v>347</v>
      </c>
      <c r="B56" s="550" t="str">
        <f>VLOOKUP(A56,Materiales!$A$4:$D$141,2,0)</f>
        <v>ANGULO DE 2" X 1/8"</v>
      </c>
      <c r="C56" s="551"/>
      <c r="D56" s="551"/>
      <c r="E56" s="551"/>
      <c r="F56" s="551"/>
      <c r="G56" s="551"/>
      <c r="H56" s="551"/>
      <c r="I56" s="552"/>
      <c r="J56" s="393" t="str">
        <f>VLOOKUP(A56,Materiales!$A$4:$D$141,3,0)</f>
        <v>ML</v>
      </c>
      <c r="K56" s="169">
        <v>1.5</v>
      </c>
      <c r="L56" s="522">
        <f>VLOOKUP(A56,Materiales!$A$4:$D$141,4,0)</f>
        <v>9810</v>
      </c>
      <c r="M56" s="523"/>
      <c r="N56" s="297">
        <f t="shared" si="1"/>
        <v>14715</v>
      </c>
    </row>
    <row r="57" spans="1:14">
      <c r="A57" s="113" t="s">
        <v>348</v>
      </c>
      <c r="B57" s="550" t="str">
        <f>VLOOKUP(A57,Materiales!$A$4:$D$141,2,0)</f>
        <v>TORNILLOS Y REMACHES</v>
      </c>
      <c r="C57" s="551"/>
      <c r="D57" s="551"/>
      <c r="E57" s="551"/>
      <c r="F57" s="551"/>
      <c r="G57" s="551"/>
      <c r="H57" s="551"/>
      <c r="I57" s="552"/>
      <c r="J57" s="393" t="str">
        <f>VLOOKUP(A57,Materiales!$A$4:$D$141,3,0)</f>
        <v>UND.</v>
      </c>
      <c r="K57" s="169">
        <v>6</v>
      </c>
      <c r="L57" s="522">
        <f>VLOOKUP(A57,Materiales!$A$4:$D$141,4,0)</f>
        <v>1004</v>
      </c>
      <c r="M57" s="523"/>
      <c r="N57" s="297">
        <f t="shared" si="1"/>
        <v>6024</v>
      </c>
    </row>
    <row r="58" spans="1:14">
      <c r="A58" s="113" t="s">
        <v>349</v>
      </c>
      <c r="B58" s="550" t="str">
        <f>VLOOKUP(A58,Materiales!$A$4:$D$141,2,0)</f>
        <v>PINTURA EN POLVO</v>
      </c>
      <c r="C58" s="551"/>
      <c r="D58" s="551"/>
      <c r="E58" s="551"/>
      <c r="F58" s="551"/>
      <c r="G58" s="551"/>
      <c r="H58" s="551"/>
      <c r="I58" s="552"/>
      <c r="J58" s="393" t="str">
        <f>VLOOKUP(A58,Materiales!$A$4:$D$141,3,0)</f>
        <v>GALON</v>
      </c>
      <c r="K58" s="169">
        <v>0.05</v>
      </c>
      <c r="L58" s="522">
        <f>VLOOKUP(A58,Materiales!$A$4:$D$141,4,0)</f>
        <v>170330</v>
      </c>
      <c r="M58" s="523"/>
      <c r="N58" s="297">
        <f t="shared" si="1"/>
        <v>8516.5</v>
      </c>
    </row>
    <row r="59" spans="1:14">
      <c r="A59" s="113" t="s">
        <v>350</v>
      </c>
      <c r="B59" s="550" t="str">
        <f>VLOOKUP(A59,Materiales!$A$4:$D$141,2,0)</f>
        <v>PINTURA ESMALTE</v>
      </c>
      <c r="C59" s="551"/>
      <c r="D59" s="551"/>
      <c r="E59" s="551"/>
      <c r="F59" s="551"/>
      <c r="G59" s="551"/>
      <c r="H59" s="551"/>
      <c r="I59" s="552"/>
      <c r="J59" s="393" t="str">
        <f>VLOOKUP(A59,Materiales!$A$4:$D$141,3,0)</f>
        <v>GALON</v>
      </c>
      <c r="K59" s="169">
        <v>0.06</v>
      </c>
      <c r="L59" s="522">
        <f>VLOOKUP(A59,Materiales!$A$4:$D$141,4,0)</f>
        <v>59020</v>
      </c>
      <c r="M59" s="523"/>
      <c r="N59" s="297">
        <f t="shared" si="1"/>
        <v>3541.2</v>
      </c>
    </row>
    <row r="60" spans="1:14">
      <c r="A60" s="113" t="s">
        <v>351</v>
      </c>
      <c r="B60" s="550" t="str">
        <f>VLOOKUP(A60,Materiales!$A$4:$D$141,2,0)</f>
        <v>SOLDADURA</v>
      </c>
      <c r="C60" s="551"/>
      <c r="D60" s="551"/>
      <c r="E60" s="551"/>
      <c r="F60" s="551"/>
      <c r="G60" s="551"/>
      <c r="H60" s="551"/>
      <c r="I60" s="552"/>
      <c r="J60" s="393" t="str">
        <f>VLOOKUP(A60,Materiales!$A$4:$D$141,3,0)</f>
        <v>KG</v>
      </c>
      <c r="K60" s="271">
        <v>0.25</v>
      </c>
      <c r="L60" s="522">
        <f>VLOOKUP(A60,Materiales!$A$4:$D$141,4,0)</f>
        <v>7210</v>
      </c>
      <c r="M60" s="523"/>
      <c r="N60" s="297">
        <f t="shared" si="1"/>
        <v>1802.5</v>
      </c>
    </row>
    <row r="61" spans="1:14">
      <c r="A61" s="113" t="s">
        <v>352</v>
      </c>
      <c r="B61" s="550" t="str">
        <f>VLOOKUP(A61,Materiales!$A$4:$D$141,2,0)</f>
        <v>CONCRETO CLASE E</v>
      </c>
      <c r="C61" s="551"/>
      <c r="D61" s="551"/>
      <c r="E61" s="551"/>
      <c r="F61" s="551"/>
      <c r="G61" s="551"/>
      <c r="H61" s="551"/>
      <c r="I61" s="552"/>
      <c r="J61" s="393" t="str">
        <f>VLOOKUP(A61,Materiales!$A$4:$D$141,3,0)</f>
        <v>M3</v>
      </c>
      <c r="K61" s="169">
        <v>0.05</v>
      </c>
      <c r="L61" s="522">
        <f>VLOOKUP(A61,Materiales!$A$4:$D$141,4,0)</f>
        <v>463800</v>
      </c>
      <c r="M61" s="523"/>
      <c r="N61" s="297">
        <f t="shared" si="1"/>
        <v>23190</v>
      </c>
    </row>
    <row r="62" spans="1:14">
      <c r="B62" s="550"/>
      <c r="C62" s="551"/>
      <c r="D62" s="551"/>
      <c r="E62" s="551"/>
      <c r="F62" s="551"/>
      <c r="G62" s="551"/>
      <c r="H62" s="551"/>
      <c r="I62" s="552"/>
      <c r="J62" s="393"/>
      <c r="K62" s="200"/>
      <c r="L62" s="522"/>
      <c r="M62" s="523"/>
      <c r="N62" s="297">
        <f t="shared" ref="N62:N63" si="2">+L62*K62</f>
        <v>0</v>
      </c>
    </row>
    <row r="63" spans="1:14" ht="13.5" thickBot="1">
      <c r="B63" s="550"/>
      <c r="C63" s="551"/>
      <c r="D63" s="551"/>
      <c r="E63" s="551"/>
      <c r="F63" s="551"/>
      <c r="G63" s="551"/>
      <c r="H63" s="551"/>
      <c r="I63" s="552"/>
      <c r="J63" s="393"/>
      <c r="K63" s="169"/>
      <c r="L63" s="522"/>
      <c r="M63" s="523"/>
      <c r="N63" s="297">
        <f t="shared" si="2"/>
        <v>0</v>
      </c>
    </row>
    <row r="64" spans="1:14" ht="14.25" thickBot="1">
      <c r="B64" s="524" t="s">
        <v>469</v>
      </c>
      <c r="C64" s="525"/>
      <c r="D64" s="525"/>
      <c r="E64" s="525"/>
      <c r="F64" s="525"/>
      <c r="G64" s="525"/>
      <c r="H64" s="525"/>
      <c r="I64" s="525"/>
      <c r="J64" s="525"/>
      <c r="K64" s="525"/>
      <c r="L64" s="525"/>
      <c r="M64" s="526"/>
      <c r="N64" s="319">
        <f>SUM(N53:N63)</f>
        <v>216513.76</v>
      </c>
    </row>
    <row r="65" spans="1:14">
      <c r="B65" s="574" t="s">
        <v>89</v>
      </c>
      <c r="C65" s="575"/>
      <c r="D65" s="575"/>
      <c r="E65" s="575"/>
      <c r="F65" s="575"/>
      <c r="G65" s="575"/>
      <c r="H65" s="575"/>
      <c r="I65" s="575"/>
      <c r="J65" s="575"/>
      <c r="K65" s="575"/>
      <c r="L65" s="575"/>
      <c r="M65" s="575"/>
      <c r="N65" s="576"/>
    </row>
    <row r="66" spans="1:14">
      <c r="B66" s="577" t="s">
        <v>89</v>
      </c>
      <c r="C66" s="578"/>
      <c r="D66" s="578"/>
      <c r="E66" s="578"/>
      <c r="F66" s="578"/>
      <c r="G66" s="578"/>
      <c r="H66" s="578"/>
      <c r="I66" s="578"/>
      <c r="J66" s="578"/>
      <c r="K66" s="578"/>
      <c r="L66" s="578"/>
      <c r="M66" s="578"/>
      <c r="N66" s="579"/>
    </row>
    <row r="67" spans="1:14" ht="13.5" thickBot="1">
      <c r="B67" s="580"/>
      <c r="C67" s="581"/>
      <c r="D67" s="581"/>
      <c r="E67" s="581"/>
      <c r="F67" s="581"/>
      <c r="G67" s="581"/>
      <c r="H67" s="581"/>
      <c r="I67" s="581"/>
      <c r="J67" s="581"/>
      <c r="K67" s="581"/>
      <c r="L67" s="581"/>
      <c r="M67" s="581"/>
      <c r="N67" s="582"/>
    </row>
    <row r="68" spans="1:14" ht="13.5">
      <c r="B68" s="536" t="s">
        <v>141</v>
      </c>
      <c r="C68" s="537"/>
      <c r="D68" s="537"/>
      <c r="E68" s="537"/>
      <c r="F68" s="537"/>
      <c r="G68" s="537"/>
      <c r="H68" s="537"/>
      <c r="I68" s="237" t="s">
        <v>142</v>
      </c>
      <c r="J68" s="381" t="s">
        <v>143</v>
      </c>
      <c r="K68" s="241" t="s">
        <v>248</v>
      </c>
      <c r="L68" s="538" t="s">
        <v>17</v>
      </c>
      <c r="M68" s="539"/>
      <c r="N68" s="238" t="s">
        <v>140</v>
      </c>
    </row>
    <row r="69" spans="1:14">
      <c r="B69" s="540" t="s">
        <v>493</v>
      </c>
      <c r="C69" s="541"/>
      <c r="D69" s="541"/>
      <c r="E69" s="541"/>
      <c r="F69" s="541"/>
      <c r="G69" s="541"/>
      <c r="H69" s="621"/>
      <c r="I69" s="205"/>
      <c r="J69" s="209"/>
      <c r="K69" s="205"/>
      <c r="L69" s="553">
        <v>23000</v>
      </c>
      <c r="M69" s="554"/>
      <c r="N69" s="297">
        <f>+L69</f>
        <v>23000</v>
      </c>
    </row>
    <row r="70" spans="1:14" ht="13.5" thickBot="1">
      <c r="B70" s="624"/>
      <c r="C70" s="625"/>
      <c r="D70" s="625"/>
      <c r="E70" s="625"/>
      <c r="F70" s="625"/>
      <c r="G70" s="625"/>
      <c r="H70" s="625"/>
      <c r="I70" s="173"/>
      <c r="J70" s="161"/>
      <c r="K70" s="173"/>
      <c r="L70" s="645"/>
      <c r="M70" s="646"/>
      <c r="N70" s="327"/>
    </row>
    <row r="71" spans="1:14" ht="14.25" thickBot="1">
      <c r="B71" s="524" t="s">
        <v>472</v>
      </c>
      <c r="C71" s="525"/>
      <c r="D71" s="525"/>
      <c r="E71" s="525"/>
      <c r="F71" s="525"/>
      <c r="G71" s="525"/>
      <c r="H71" s="525"/>
      <c r="I71" s="525"/>
      <c r="J71" s="525"/>
      <c r="K71" s="525"/>
      <c r="L71" s="525"/>
      <c r="M71" s="526"/>
      <c r="N71" s="204">
        <f>SUM(N69:N70)</f>
        <v>23000</v>
      </c>
    </row>
    <row r="72" spans="1:14">
      <c r="B72" s="574" t="s">
        <v>90</v>
      </c>
      <c r="C72" s="575"/>
      <c r="D72" s="575"/>
      <c r="E72" s="575"/>
      <c r="F72" s="575"/>
      <c r="G72" s="575"/>
      <c r="H72" s="575"/>
      <c r="I72" s="575"/>
      <c r="J72" s="575"/>
      <c r="K72" s="575"/>
      <c r="L72" s="575"/>
      <c r="M72" s="575"/>
      <c r="N72" s="576"/>
    </row>
    <row r="73" spans="1:14">
      <c r="B73" s="577" t="s">
        <v>90</v>
      </c>
      <c r="C73" s="578"/>
      <c r="D73" s="578"/>
      <c r="E73" s="578"/>
      <c r="F73" s="578"/>
      <c r="G73" s="578"/>
      <c r="H73" s="578"/>
      <c r="I73" s="578"/>
      <c r="J73" s="578"/>
      <c r="K73" s="578"/>
      <c r="L73" s="578"/>
      <c r="M73" s="578"/>
      <c r="N73" s="579"/>
    </row>
    <row r="74" spans="1:14" ht="13.5" thickBot="1">
      <c r="B74" s="580"/>
      <c r="C74" s="581"/>
      <c r="D74" s="581"/>
      <c r="E74" s="581"/>
      <c r="F74" s="581"/>
      <c r="G74" s="581"/>
      <c r="H74" s="581"/>
      <c r="I74" s="581"/>
      <c r="J74" s="581"/>
      <c r="K74" s="581"/>
      <c r="L74" s="581"/>
      <c r="M74" s="581"/>
      <c r="N74" s="582"/>
    </row>
    <row r="75" spans="1:14" ht="13.5">
      <c r="B75" s="536" t="s">
        <v>144</v>
      </c>
      <c r="C75" s="537"/>
      <c r="D75" s="537"/>
      <c r="E75" s="537"/>
      <c r="F75" s="537"/>
      <c r="G75" s="537"/>
      <c r="H75" s="237" t="s">
        <v>101</v>
      </c>
      <c r="I75" s="237" t="s">
        <v>145</v>
      </c>
      <c r="J75" s="381" t="s">
        <v>84</v>
      </c>
      <c r="K75" s="241" t="s">
        <v>146</v>
      </c>
      <c r="L75" s="538" t="s">
        <v>136</v>
      </c>
      <c r="M75" s="539"/>
      <c r="N75" s="238" t="s">
        <v>140</v>
      </c>
    </row>
    <row r="76" spans="1:14">
      <c r="A76" s="113" t="s">
        <v>441</v>
      </c>
      <c r="B76" s="550" t="str">
        <f>VLOOKUP(A76,'Mano de Obra'!$A$4:$E$80,2,0)</f>
        <v>CORTADOR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72000</v>
      </c>
      <c r="J76" s="335">
        <f>VLOOKUP(A76,'Mano de Obra'!$A$4:$E$80,4,0)</f>
        <v>1.85</v>
      </c>
      <c r="K76" s="307">
        <f>+H76*I76*J76</f>
        <v>133200</v>
      </c>
      <c r="L76" s="529">
        <v>24</v>
      </c>
      <c r="M76" s="530"/>
      <c r="N76" s="326">
        <f>+K76/L76</f>
        <v>5550</v>
      </c>
    </row>
    <row r="77" spans="1:14">
      <c r="A77" s="113" t="s">
        <v>442</v>
      </c>
      <c r="B77" s="550" t="str">
        <f>VLOOKUP(A77,'Mano de Obra'!$A$4:$E$80,2,0)</f>
        <v>SOLDADOR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88000</v>
      </c>
      <c r="J77" s="335">
        <f>VLOOKUP(A77,'Mano de Obra'!$A$4:$E$80,4,0)</f>
        <v>1.85</v>
      </c>
      <c r="K77" s="307">
        <f t="shared" ref="K77:K82" si="3">+H77*I77*J77</f>
        <v>162800</v>
      </c>
      <c r="L77" s="529">
        <v>24</v>
      </c>
      <c r="M77" s="530"/>
      <c r="N77" s="326">
        <f t="shared" ref="N77:N82" si="4">+K77/L77</f>
        <v>6783.333333333333</v>
      </c>
    </row>
    <row r="78" spans="1:14">
      <c r="A78" s="113" t="s">
        <v>443</v>
      </c>
      <c r="B78" s="550" t="str">
        <f>VLOOKUP(A78,'Mano de Obra'!$A$4:$E$80,2,0)</f>
        <v>PINTOR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335">
        <f>VLOOKUP(A78,'Mano de Obra'!$A$4:$E$80,4,0)</f>
        <v>1.85</v>
      </c>
      <c r="K78" s="307">
        <f t="shared" si="3"/>
        <v>133200</v>
      </c>
      <c r="L78" s="529">
        <v>24</v>
      </c>
      <c r="M78" s="530"/>
      <c r="N78" s="326">
        <f t="shared" si="4"/>
        <v>5550</v>
      </c>
    </row>
    <row r="79" spans="1:14">
      <c r="A79" s="113" t="s">
        <v>444</v>
      </c>
      <c r="B79" s="550" t="str">
        <f>VLOOKUP(A79,'Mano de Obra'!$A$4:$E$80,2,0)</f>
        <v>LAMINADOR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335">
        <f>VLOOKUP(A79,'Mano de Obra'!$A$4:$E$80,4,0)</f>
        <v>1.85</v>
      </c>
      <c r="K79" s="307">
        <f t="shared" si="3"/>
        <v>133200</v>
      </c>
      <c r="L79" s="529">
        <v>24</v>
      </c>
      <c r="M79" s="530"/>
      <c r="N79" s="326">
        <f t="shared" si="4"/>
        <v>5550</v>
      </c>
    </row>
    <row r="80" spans="1:14">
      <c r="A80" s="113" t="s">
        <v>445</v>
      </c>
      <c r="B80" s="550" t="str">
        <f>VLOOKUP(A80,'Mano de Obra'!$A$4:$E$80,2,0)</f>
        <v>SERIGRAFISTA</v>
      </c>
      <c r="C80" s="551"/>
      <c r="D80" s="551"/>
      <c r="E80" s="551"/>
      <c r="F80" s="551"/>
      <c r="G80" s="552"/>
      <c r="H80" s="208">
        <v>1</v>
      </c>
      <c r="I80" s="302">
        <f>VLOOKUP(A80,'Mano de Obra'!$A$4:$E$80,3,0)</f>
        <v>72000</v>
      </c>
      <c r="J80" s="335">
        <f>VLOOKUP(A80,'Mano de Obra'!$A$4:$E$80,4,0)</f>
        <v>1.85</v>
      </c>
      <c r="K80" s="307">
        <f t="shared" si="3"/>
        <v>133200</v>
      </c>
      <c r="L80" s="529">
        <v>24</v>
      </c>
      <c r="M80" s="530"/>
      <c r="N80" s="326">
        <f t="shared" si="4"/>
        <v>5550</v>
      </c>
    </row>
    <row r="81" spans="1:14">
      <c r="A81" s="113" t="s">
        <v>446</v>
      </c>
      <c r="B81" s="550" t="str">
        <f>VLOOKUP(A81,'Mano de Obra'!$A$4:$E$80,2,0)</f>
        <v>AYUDANTE</v>
      </c>
      <c r="C81" s="551"/>
      <c r="D81" s="551"/>
      <c r="E81" s="551"/>
      <c r="F81" s="551"/>
      <c r="G81" s="552"/>
      <c r="H81" s="208">
        <v>2</v>
      </c>
      <c r="I81" s="302">
        <f>VLOOKUP(A81,'Mano de Obra'!$A$4:$E$80,3,0)</f>
        <v>28000</v>
      </c>
      <c r="J81" s="335">
        <f>VLOOKUP(A81,'Mano de Obra'!$A$4:$E$80,4,0)</f>
        <v>1.85</v>
      </c>
      <c r="K81" s="307">
        <f t="shared" si="3"/>
        <v>103600</v>
      </c>
      <c r="L81" s="529">
        <v>24</v>
      </c>
      <c r="M81" s="530"/>
      <c r="N81" s="326">
        <f t="shared" si="4"/>
        <v>4316.666666666667</v>
      </c>
    </row>
    <row r="82" spans="1:14">
      <c r="A82" s="113" t="s">
        <v>447</v>
      </c>
      <c r="B82" s="550" t="str">
        <f>VLOOKUP(A82,'Mano de Obra'!$A$4:$E$80,2,0)</f>
        <v>CUADRILLA DE INSTALÑACIÓN (3)</v>
      </c>
      <c r="C82" s="551"/>
      <c r="D82" s="551"/>
      <c r="E82" s="551"/>
      <c r="F82" s="551"/>
      <c r="G82" s="552"/>
      <c r="H82" s="206">
        <v>1</v>
      </c>
      <c r="I82" s="302">
        <f>VLOOKUP(A82,'Mano de Obra'!$A$4:$E$80,3,0)</f>
        <v>83000</v>
      </c>
      <c r="J82" s="335">
        <f>VLOOKUP(A82,'Mano de Obra'!$A$4:$E$80,4,0)</f>
        <v>1.85</v>
      </c>
      <c r="K82" s="307">
        <f t="shared" si="3"/>
        <v>153550</v>
      </c>
      <c r="L82" s="529">
        <v>24</v>
      </c>
      <c r="M82" s="530"/>
      <c r="N82" s="326">
        <f t="shared" si="4"/>
        <v>6397.916666666667</v>
      </c>
    </row>
    <row r="83" spans="1:14">
      <c r="B83" s="550"/>
      <c r="C83" s="551"/>
      <c r="D83" s="551"/>
      <c r="E83" s="551"/>
      <c r="F83" s="551"/>
      <c r="G83" s="552"/>
      <c r="H83" s="208"/>
      <c r="I83" s="302"/>
      <c r="J83" s="335"/>
      <c r="K83" s="307"/>
      <c r="L83" s="637"/>
      <c r="M83" s="638"/>
      <c r="N83" s="326"/>
    </row>
    <row r="84" spans="1:14" ht="13.5" thickBot="1">
      <c r="B84" s="550"/>
      <c r="C84" s="551"/>
      <c r="D84" s="551"/>
      <c r="E84" s="551"/>
      <c r="F84" s="551"/>
      <c r="G84" s="551"/>
      <c r="H84" s="311"/>
      <c r="I84" s="173"/>
      <c r="J84" s="161"/>
      <c r="K84" s="309"/>
      <c r="L84" s="534"/>
      <c r="M84" s="535"/>
      <c r="N84" s="327"/>
    </row>
    <row r="85" spans="1:14" ht="14.25" thickBot="1">
      <c r="B85" s="524" t="s">
        <v>469</v>
      </c>
      <c r="C85" s="525"/>
      <c r="D85" s="525"/>
      <c r="E85" s="525"/>
      <c r="F85" s="525"/>
      <c r="G85" s="525"/>
      <c r="H85" s="525"/>
      <c r="I85" s="525"/>
      <c r="J85" s="525"/>
      <c r="K85" s="525"/>
      <c r="L85" s="525"/>
      <c r="M85" s="526"/>
      <c r="N85" s="319">
        <f>SUM(N76:N84)</f>
        <v>39697.916666666664</v>
      </c>
    </row>
    <row r="86" spans="1:14" ht="13.5" thickBot="1">
      <c r="B86" s="159"/>
      <c r="C86" s="140"/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7"/>
    </row>
    <row r="87" spans="1:14" ht="13.5" thickBot="1">
      <c r="B87" s="531" t="s">
        <v>474</v>
      </c>
      <c r="C87" s="532"/>
      <c r="D87" s="532"/>
      <c r="E87" s="532"/>
      <c r="F87" s="532"/>
      <c r="G87" s="532"/>
      <c r="H87" s="532"/>
      <c r="I87" s="532"/>
      <c r="J87" s="532"/>
      <c r="K87" s="532"/>
      <c r="L87" s="532"/>
      <c r="M87" s="533"/>
      <c r="N87" s="328">
        <f>+N85+N71+N64+N48</f>
        <v>306106.6766666667</v>
      </c>
    </row>
    <row r="88" spans="1:14">
      <c r="B88" s="574" t="s">
        <v>91</v>
      </c>
      <c r="C88" s="575"/>
      <c r="D88" s="575"/>
      <c r="E88" s="575"/>
      <c r="F88" s="575"/>
      <c r="G88" s="575"/>
      <c r="H88" s="575"/>
      <c r="I88" s="575"/>
      <c r="J88" s="575"/>
      <c r="K88" s="575"/>
      <c r="L88" s="575"/>
      <c r="M88" s="575"/>
      <c r="N88" s="576"/>
    </row>
    <row r="89" spans="1:14">
      <c r="B89" s="577" t="s">
        <v>91</v>
      </c>
      <c r="C89" s="578"/>
      <c r="D89" s="578"/>
      <c r="E89" s="578"/>
      <c r="F89" s="578"/>
      <c r="G89" s="578"/>
      <c r="H89" s="578"/>
      <c r="I89" s="578"/>
      <c r="J89" s="578"/>
      <c r="K89" s="578"/>
      <c r="L89" s="578"/>
      <c r="M89" s="578"/>
      <c r="N89" s="579"/>
    </row>
    <row r="90" spans="1:14" ht="13.5" thickBot="1">
      <c r="B90" s="580"/>
      <c r="C90" s="581"/>
      <c r="D90" s="581"/>
      <c r="E90" s="581"/>
      <c r="F90" s="581"/>
      <c r="G90" s="581"/>
      <c r="H90" s="581"/>
      <c r="I90" s="581"/>
      <c r="J90" s="581"/>
      <c r="K90" s="581"/>
      <c r="L90" s="581"/>
      <c r="M90" s="581"/>
      <c r="N90" s="582"/>
    </row>
    <row r="91" spans="1:14" ht="13.5">
      <c r="B91" s="536" t="s">
        <v>88</v>
      </c>
      <c r="C91" s="537"/>
      <c r="D91" s="537"/>
      <c r="E91" s="537"/>
      <c r="F91" s="537"/>
      <c r="G91" s="537"/>
      <c r="H91" s="537"/>
      <c r="I91" s="381"/>
      <c r="J91" s="391"/>
      <c r="K91" s="243" t="s">
        <v>92</v>
      </c>
      <c r="L91" s="527" t="s">
        <v>93</v>
      </c>
      <c r="M91" s="528"/>
      <c r="N91" s="244"/>
    </row>
    <row r="92" spans="1:14">
      <c r="B92" s="540" t="s">
        <v>82</v>
      </c>
      <c r="C92" s="541"/>
      <c r="D92" s="541"/>
      <c r="E92" s="541"/>
      <c r="F92" s="541"/>
      <c r="G92" s="541"/>
      <c r="H92" s="541"/>
      <c r="I92" s="182"/>
      <c r="J92" s="183"/>
      <c r="K92" s="251">
        <v>0.25</v>
      </c>
      <c r="L92" s="522">
        <f>+N87*K92</f>
        <v>76526.669166666674</v>
      </c>
      <c r="M92" s="523"/>
      <c r="N92" s="184"/>
    </row>
    <row r="93" spans="1:14">
      <c r="B93" s="185" t="s">
        <v>94</v>
      </c>
      <c r="C93" s="186"/>
      <c r="D93" s="186"/>
      <c r="E93" s="186"/>
      <c r="F93" s="186"/>
      <c r="G93" s="186"/>
      <c r="H93" s="186"/>
      <c r="I93" s="182"/>
      <c r="J93" s="183"/>
      <c r="K93" s="251">
        <v>0.05</v>
      </c>
      <c r="L93" s="522">
        <f>+N87*K93</f>
        <v>15305.333833333336</v>
      </c>
      <c r="M93" s="523"/>
      <c r="N93" s="184"/>
    </row>
    <row r="94" spans="1:14" ht="13.5" thickBot="1">
      <c r="B94" s="384" t="s">
        <v>83</v>
      </c>
      <c r="C94" s="385"/>
      <c r="D94" s="385"/>
      <c r="E94" s="385"/>
      <c r="F94" s="385"/>
      <c r="G94" s="385"/>
      <c r="H94" s="385"/>
      <c r="I94" s="189"/>
      <c r="J94" s="190"/>
      <c r="K94" s="251">
        <v>0.05</v>
      </c>
      <c r="L94" s="627">
        <f>+N87*K94</f>
        <v>15305.333833333336</v>
      </c>
      <c r="M94" s="628"/>
      <c r="N94" s="184"/>
    </row>
    <row r="95" spans="1:14" ht="14.25" thickBot="1">
      <c r="B95" s="524" t="s">
        <v>469</v>
      </c>
      <c r="C95" s="525"/>
      <c r="D95" s="525"/>
      <c r="E95" s="525"/>
      <c r="F95" s="525"/>
      <c r="G95" s="525"/>
      <c r="H95" s="525"/>
      <c r="I95" s="525"/>
      <c r="J95" s="525"/>
      <c r="K95" s="525"/>
      <c r="L95" s="525"/>
      <c r="M95" s="526"/>
      <c r="N95" s="204">
        <f>SUM(L92:M94)</f>
        <v>107137.33683333335</v>
      </c>
    </row>
    <row r="96" spans="1:14" ht="13.5" thickBot="1">
      <c r="B96" s="159"/>
      <c r="C96" s="140"/>
      <c r="D96" s="140"/>
      <c r="E96" s="140"/>
      <c r="F96" s="140"/>
      <c r="G96" s="140"/>
      <c r="H96" s="140"/>
      <c r="I96" s="140"/>
      <c r="J96" s="140"/>
      <c r="K96" s="140"/>
      <c r="L96" s="140"/>
      <c r="M96" s="140"/>
      <c r="N96" s="147"/>
    </row>
    <row r="97" spans="2:14" ht="13.5" thickBot="1">
      <c r="B97" s="531" t="s">
        <v>473</v>
      </c>
      <c r="C97" s="532"/>
      <c r="D97" s="532"/>
      <c r="E97" s="532"/>
      <c r="F97" s="532"/>
      <c r="G97" s="532"/>
      <c r="H97" s="532"/>
      <c r="I97" s="532"/>
      <c r="J97" s="532"/>
      <c r="K97" s="532"/>
      <c r="L97" s="532"/>
      <c r="M97" s="533"/>
      <c r="N97" s="328">
        <f>ROUND(N87+N95,0)</f>
        <v>413244</v>
      </c>
    </row>
    <row r="98" spans="2:14">
      <c r="B98" s="138"/>
      <c r="C98" s="139"/>
      <c r="D98" s="139"/>
      <c r="E98" s="139"/>
      <c r="F98" s="139"/>
      <c r="G98" s="139"/>
      <c r="H98" s="139"/>
      <c r="I98" s="139"/>
      <c r="J98" s="139"/>
      <c r="K98" s="139"/>
      <c r="L98" s="139"/>
      <c r="M98" s="139"/>
      <c r="N98" s="141"/>
    </row>
    <row r="99" spans="2:14">
      <c r="B99" s="159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0"/>
      <c r="H100" s="140"/>
      <c r="I100" s="140"/>
      <c r="J100" s="140"/>
      <c r="K100" s="140"/>
      <c r="L100" s="140"/>
      <c r="M100" s="140"/>
      <c r="N100" s="147"/>
    </row>
    <row r="101" spans="2:14">
      <c r="B101" s="159"/>
      <c r="C101" s="140"/>
      <c r="D101" s="140"/>
      <c r="E101" s="140"/>
      <c r="F101" s="140"/>
      <c r="G101" s="145" t="str">
        <f>+'SV-01'!$G$96</f>
        <v>Firma</v>
      </c>
      <c r="H101" s="145"/>
      <c r="I101" s="145"/>
      <c r="J101" s="145"/>
      <c r="K101" s="140"/>
      <c r="L101" s="140"/>
      <c r="M101" s="140"/>
      <c r="N101" s="147"/>
    </row>
    <row r="102" spans="2:14" ht="13.5">
      <c r="B102" s="192"/>
      <c r="C102" s="193"/>
      <c r="D102" s="193"/>
      <c r="E102" s="193"/>
      <c r="F102" s="193"/>
      <c r="G102" s="145" t="str">
        <f>+'SV-01'!$G$97</f>
        <v>Nombre:</v>
      </c>
      <c r="H102" s="193"/>
      <c r="I102" s="193"/>
      <c r="J102" s="193"/>
      <c r="K102" s="193"/>
      <c r="L102" s="193"/>
      <c r="M102" s="193"/>
      <c r="N102" s="194"/>
    </row>
    <row r="103" spans="2:14" ht="13.5">
      <c r="B103" s="192"/>
      <c r="C103" s="193"/>
      <c r="D103" s="193"/>
      <c r="E103" s="193"/>
      <c r="F103" s="193"/>
      <c r="G103" s="145" t="str">
        <f>+'SV-01'!$G$98</f>
        <v>Representante Legal del Contratista o su Apoderado</v>
      </c>
      <c r="J103" s="193"/>
      <c r="K103" s="193"/>
      <c r="L103" s="193"/>
      <c r="M103" s="193"/>
      <c r="N103" s="194"/>
    </row>
    <row r="104" spans="2:14">
      <c r="B104" s="123"/>
      <c r="C104" s="155"/>
      <c r="D104" s="155"/>
      <c r="E104" s="155"/>
      <c r="F104" s="155"/>
      <c r="G104" s="145" t="str">
        <f>+'SV-01'!$G$99</f>
        <v>Matricula No. :</v>
      </c>
      <c r="H104" s="155"/>
      <c r="I104" s="155"/>
      <c r="J104" s="155"/>
      <c r="K104" s="155"/>
      <c r="L104" s="155"/>
      <c r="M104" s="155"/>
      <c r="N104" s="153"/>
    </row>
    <row r="105" spans="2:14">
      <c r="B105" s="159"/>
      <c r="C105" s="140"/>
      <c r="D105" s="140"/>
      <c r="E105" s="140"/>
      <c r="F105" s="140"/>
      <c r="G105" s="140" t="s">
        <v>206</v>
      </c>
      <c r="H105" s="140"/>
      <c r="I105" s="140"/>
      <c r="J105" s="140"/>
      <c r="K105" s="140"/>
      <c r="L105" s="140"/>
      <c r="M105" s="140"/>
      <c r="N105" s="147"/>
    </row>
    <row r="106" spans="2:14" ht="13.5">
      <c r="B106" s="165" t="str">
        <f>+'SV-01'!$B$101</f>
        <v>OBSERVACIONES INTERVENTORÍA</v>
      </c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7"/>
    </row>
    <row r="107" spans="2:14">
      <c r="B107" s="544"/>
      <c r="C107" s="545"/>
      <c r="D107" s="545"/>
      <c r="E107" s="545"/>
      <c r="F107" s="545"/>
      <c r="G107" s="545"/>
      <c r="H107" s="545"/>
      <c r="I107" s="545"/>
      <c r="J107" s="545"/>
      <c r="K107" s="545"/>
      <c r="L107" s="545"/>
      <c r="M107" s="545"/>
      <c r="N107" s="546"/>
    </row>
    <row r="108" spans="2:14">
      <c r="B108" s="547"/>
      <c r="C108" s="548"/>
      <c r="D108" s="548"/>
      <c r="E108" s="548"/>
      <c r="F108" s="548"/>
      <c r="G108" s="548"/>
      <c r="H108" s="548"/>
      <c r="I108" s="548"/>
      <c r="J108" s="548"/>
      <c r="K108" s="548"/>
      <c r="L108" s="548"/>
      <c r="M108" s="548"/>
      <c r="N108" s="549"/>
    </row>
    <row r="109" spans="2:14">
      <c r="B109" s="123"/>
      <c r="C109" s="155"/>
      <c r="D109" s="155"/>
      <c r="E109" s="155"/>
      <c r="F109" s="155"/>
      <c r="G109" s="155"/>
      <c r="H109" s="155"/>
      <c r="I109" s="155"/>
      <c r="J109" s="155"/>
      <c r="K109" s="155"/>
      <c r="L109" s="155"/>
      <c r="M109" s="155"/>
      <c r="N109" s="153"/>
    </row>
    <row r="110" spans="2:14">
      <c r="B110" s="159"/>
      <c r="C110" s="140"/>
      <c r="D110" s="140"/>
      <c r="E110" s="140"/>
      <c r="F110" s="140"/>
      <c r="G110" s="145" t="str">
        <f>+'SV-01'!$G$105</f>
        <v>Firma</v>
      </c>
      <c r="H110" s="140"/>
      <c r="I110" s="140"/>
      <c r="J110" s="140"/>
      <c r="K110" s="140"/>
      <c r="L110" s="140"/>
      <c r="M110" s="140"/>
      <c r="N110" s="147"/>
    </row>
    <row r="111" spans="2:14">
      <c r="B111" s="159"/>
      <c r="C111" s="140"/>
      <c r="D111" s="140"/>
      <c r="E111" s="140"/>
      <c r="F111" s="140"/>
      <c r="G111" s="140" t="str">
        <f>+'SV-01'!$G$106</f>
        <v>Nombre:</v>
      </c>
      <c r="H111" s="160"/>
      <c r="I111" s="160"/>
      <c r="J111" s="160"/>
      <c r="K111" s="140"/>
      <c r="L111" s="140"/>
      <c r="M111" s="140"/>
      <c r="N111" s="147"/>
    </row>
    <row r="112" spans="2:14">
      <c r="B112" s="159"/>
      <c r="C112" s="140"/>
      <c r="D112" s="140"/>
      <c r="E112" s="140"/>
      <c r="F112" s="140"/>
      <c r="G112" s="140" t="str">
        <f>+'SV-01'!$G$107</f>
        <v>Representante Legal del Interventor o su Apoderado</v>
      </c>
      <c r="H112" s="154"/>
      <c r="I112" s="154"/>
      <c r="J112" s="154"/>
      <c r="M112" s="140"/>
      <c r="N112" s="147"/>
    </row>
    <row r="113" spans="2:14">
      <c r="B113" s="196"/>
      <c r="C113" s="155"/>
      <c r="D113" s="155"/>
      <c r="E113" s="155"/>
      <c r="F113" s="155"/>
      <c r="G113" s="140" t="str">
        <f>+'SV-01'!$G$108</f>
        <v>Matricula No. :</v>
      </c>
      <c r="K113" s="155"/>
      <c r="L113" s="155"/>
      <c r="M113" s="155"/>
      <c r="N113" s="153"/>
    </row>
    <row r="114" spans="2:14" ht="12.75" customHeight="1">
      <c r="B114" s="199" t="str">
        <f>+'SV-01'!$B$109</f>
        <v xml:space="preserve">Original: Archivo de Gestión Contractual ( Subdirecciòn Administrativa) </v>
      </c>
      <c r="C114" s="197"/>
      <c r="D114" s="197"/>
      <c r="E114" s="140"/>
      <c r="F114" s="140"/>
      <c r="G114" s="140"/>
      <c r="H114" s="140"/>
      <c r="I114" s="140"/>
      <c r="J114" s="515"/>
      <c r="K114" s="515"/>
      <c r="L114" s="515"/>
      <c r="M114" s="515"/>
      <c r="N114" s="516"/>
    </row>
    <row r="115" spans="2:14" ht="12.75" customHeight="1">
      <c r="B115" s="199" t="str">
        <f>+'SV-01'!$B$110</f>
        <v>Copias : Unidad Ejecutora,  Contratista, Interventor y Dirección Territorial.</v>
      </c>
      <c r="C115" s="197"/>
      <c r="D115" s="197"/>
      <c r="E115" s="140"/>
      <c r="F115" s="140"/>
      <c r="G115" s="140"/>
      <c r="H115" s="140"/>
      <c r="I115" s="140"/>
      <c r="J115" s="515"/>
      <c r="K115" s="515"/>
      <c r="L115" s="515"/>
      <c r="M115" s="515"/>
      <c r="N115" s="516"/>
    </row>
    <row r="116" spans="2:14" ht="13.5" customHeight="1" thickBot="1">
      <c r="B116" s="519"/>
      <c r="C116" s="520"/>
      <c r="D116" s="520"/>
      <c r="E116" s="161"/>
      <c r="F116" s="161"/>
      <c r="G116" s="161"/>
      <c r="H116" s="161"/>
      <c r="I116" s="161"/>
      <c r="J116" s="517"/>
      <c r="K116" s="517"/>
      <c r="L116" s="517"/>
      <c r="M116" s="517"/>
      <c r="N116" s="518"/>
    </row>
  </sheetData>
  <mergeCells count="126">
    <mergeCell ref="B70:H70"/>
    <mergeCell ref="L70:M70"/>
    <mergeCell ref="B71:M71"/>
    <mergeCell ref="B72:N74"/>
    <mergeCell ref="B63:I63"/>
    <mergeCell ref="L63:M63"/>
    <mergeCell ref="B64:M64"/>
    <mergeCell ref="B65:N67"/>
    <mergeCell ref="B43:H43"/>
    <mergeCell ref="B44:H44"/>
    <mergeCell ref="B45:H45"/>
    <mergeCell ref="I45:J45"/>
    <mergeCell ref="L45:M45"/>
    <mergeCell ref="B46:H46"/>
    <mergeCell ref="B47:H47"/>
    <mergeCell ref="I47:J47"/>
    <mergeCell ref="B48:M48"/>
    <mergeCell ref="B49:N51"/>
    <mergeCell ref="B52:I52"/>
    <mergeCell ref="L52:M52"/>
    <mergeCell ref="B53:I53"/>
    <mergeCell ref="L53:M53"/>
    <mergeCell ref="B54:I54"/>
    <mergeCell ref="B55:I55"/>
    <mergeCell ref="B58:I58"/>
    <mergeCell ref="B59:I59"/>
    <mergeCell ref="L54:M54"/>
    <mergeCell ref="L55:M55"/>
    <mergeCell ref="L56:M56"/>
    <mergeCell ref="L57:M57"/>
    <mergeCell ref="L58:M58"/>
    <mergeCell ref="L59:M59"/>
    <mergeCell ref="B69:H69"/>
    <mergeCell ref="L69:M69"/>
    <mergeCell ref="B68:H68"/>
    <mergeCell ref="L68:M68"/>
    <mergeCell ref="B60:I60"/>
    <mergeCell ref="L60:M60"/>
    <mergeCell ref="B61:I61"/>
    <mergeCell ref="L61:M61"/>
    <mergeCell ref="B62:I62"/>
    <mergeCell ref="L62:M62"/>
    <mergeCell ref="B56:I56"/>
    <mergeCell ref="B57:I57"/>
    <mergeCell ref="L94:M94"/>
    <mergeCell ref="B95:M95"/>
    <mergeCell ref="B97:M97"/>
    <mergeCell ref="B107:N107"/>
    <mergeCell ref="B108:N108"/>
    <mergeCell ref="J114:N116"/>
    <mergeCell ref="B116:D116"/>
    <mergeCell ref="B88:N90"/>
    <mergeCell ref="B91:H91"/>
    <mergeCell ref="L91:M91"/>
    <mergeCell ref="B92:H92"/>
    <mergeCell ref="L92:M92"/>
    <mergeCell ref="L93:M93"/>
    <mergeCell ref="B83:G83"/>
    <mergeCell ref="L83:M83"/>
    <mergeCell ref="B84:G84"/>
    <mergeCell ref="L84:M84"/>
    <mergeCell ref="B85:M85"/>
    <mergeCell ref="B87:M87"/>
    <mergeCell ref="B75:G75"/>
    <mergeCell ref="L75:M75"/>
    <mergeCell ref="B76:G76"/>
    <mergeCell ref="L76:M76"/>
    <mergeCell ref="B82:G82"/>
    <mergeCell ref="L82:M82"/>
    <mergeCell ref="B77:G77"/>
    <mergeCell ref="B78:G78"/>
    <mergeCell ref="B79:G79"/>
    <mergeCell ref="B80:G80"/>
    <mergeCell ref="B81:G81"/>
    <mergeCell ref="L77:M77"/>
    <mergeCell ref="L78:M78"/>
    <mergeCell ref="L79:M79"/>
    <mergeCell ref="L80:M80"/>
    <mergeCell ref="L81:M81"/>
    <mergeCell ref="L47:M47"/>
    <mergeCell ref="B34:N36"/>
    <mergeCell ref="B37:H37"/>
    <mergeCell ref="I37:J37"/>
    <mergeCell ref="L37:M37"/>
    <mergeCell ref="B38:H38"/>
    <mergeCell ref="I38:J38"/>
    <mergeCell ref="L38:M38"/>
    <mergeCell ref="L42:M42"/>
    <mergeCell ref="L43:M43"/>
    <mergeCell ref="L44:M44"/>
    <mergeCell ref="B42:H42"/>
    <mergeCell ref="G28:M28"/>
    <mergeCell ref="B30:N30"/>
    <mergeCell ref="C32:K32"/>
    <mergeCell ref="L32:M32"/>
    <mergeCell ref="C33:K33"/>
    <mergeCell ref="L33:M33"/>
    <mergeCell ref="L39:M39"/>
    <mergeCell ref="L40:M40"/>
    <mergeCell ref="L41:M41"/>
    <mergeCell ref="B39:H39"/>
    <mergeCell ref="B40:H40"/>
    <mergeCell ref="B41:H41"/>
    <mergeCell ref="L13:N13"/>
    <mergeCell ref="H18:M18"/>
    <mergeCell ref="D19:M20"/>
    <mergeCell ref="D22:M22"/>
    <mergeCell ref="D24:M24"/>
    <mergeCell ref="E26:M26"/>
    <mergeCell ref="K6:K8"/>
    <mergeCell ref="L6:L8"/>
    <mergeCell ref="M6:M8"/>
    <mergeCell ref="N6:N8"/>
    <mergeCell ref="C8:J8"/>
    <mergeCell ref="D12:G12"/>
    <mergeCell ref="J12:M12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</mergeCells>
  <pageMargins left="0.74803149606299213" right="0.74803149606299213" top="0.98425196850393704" bottom="0.98425196850393704" header="0" footer="0"/>
  <pageSetup scale="51" orientation="portrait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0000"/>
  </sheetPr>
  <dimension ref="A1:N115"/>
  <sheetViews>
    <sheetView showGridLines="0" view="pageBreakPreview" topLeftCell="A16" zoomScaleNormal="100" zoomScaleSheetLayoutView="100" workbookViewId="0">
      <selection activeCell="C33" sqref="C33:K33"/>
    </sheetView>
  </sheetViews>
  <sheetFormatPr baseColWidth="10" defaultRowHeight="12.75"/>
  <cols>
    <col min="1" max="1" width="3.140625" style="113" customWidth="1"/>
    <col min="2" max="2" width="11.5703125" style="113" bestFit="1" customWidth="1"/>
    <col min="3" max="8" width="11.42578125" style="113"/>
    <col min="9" max="12" width="11.5703125" style="113" bestFit="1" customWidth="1"/>
    <col min="13" max="13" width="11.42578125" style="113"/>
    <col min="14" max="14" width="11.85546875" style="113" bestFit="1" customWidth="1"/>
    <col min="15" max="16384" width="11.42578125" style="113"/>
  </cols>
  <sheetData>
    <row r="1" spans="2:14" ht="13.5" thickBot="1"/>
    <row r="2" spans="2:14">
      <c r="B2" s="587"/>
      <c r="C2" s="589" t="s">
        <v>181</v>
      </c>
      <c r="D2" s="590"/>
      <c r="E2" s="590"/>
      <c r="F2" s="590"/>
      <c r="G2" s="590"/>
      <c r="H2" s="590"/>
      <c r="I2" s="590"/>
      <c r="J2" s="591"/>
      <c r="K2" s="592" t="s">
        <v>182</v>
      </c>
      <c r="L2" s="594" t="s">
        <v>183</v>
      </c>
      <c r="M2" s="595"/>
      <c r="N2" s="596"/>
    </row>
    <row r="3" spans="2:14" ht="13.5">
      <c r="B3" s="588"/>
      <c r="C3" s="600" t="s">
        <v>96</v>
      </c>
      <c r="D3" s="601"/>
      <c r="E3" s="601"/>
      <c r="F3" s="601"/>
      <c r="G3" s="601"/>
      <c r="H3" s="601"/>
      <c r="I3" s="601"/>
      <c r="J3" s="602"/>
      <c r="K3" s="593"/>
      <c r="L3" s="597"/>
      <c r="M3" s="598"/>
      <c r="N3" s="599"/>
    </row>
    <row r="4" spans="2:14" ht="13.5">
      <c r="B4" s="588"/>
      <c r="C4" s="603" t="s">
        <v>241</v>
      </c>
      <c r="D4" s="604"/>
      <c r="E4" s="604"/>
      <c r="F4" s="604"/>
      <c r="G4" s="604"/>
      <c r="H4" s="604"/>
      <c r="I4" s="604"/>
      <c r="J4" s="605"/>
      <c r="K4" s="606" t="s">
        <v>184</v>
      </c>
      <c r="L4" s="608">
        <v>2</v>
      </c>
      <c r="M4" s="609"/>
      <c r="N4" s="610"/>
    </row>
    <row r="5" spans="2:14">
      <c r="B5" s="588"/>
      <c r="C5" s="614" t="s">
        <v>185</v>
      </c>
      <c r="D5" s="615"/>
      <c r="E5" s="615"/>
      <c r="F5" s="615"/>
      <c r="G5" s="615"/>
      <c r="H5" s="615"/>
      <c r="I5" s="615"/>
      <c r="J5" s="616"/>
      <c r="K5" s="607"/>
      <c r="L5" s="611"/>
      <c r="M5" s="612"/>
      <c r="N5" s="613"/>
    </row>
    <row r="6" spans="2:14">
      <c r="B6" s="588"/>
      <c r="C6" s="583" t="str">
        <f>+'DATOS INICIALES '!B5</f>
        <v>MANUAL DE INTERVENTORÍA OBRA PUBLICA</v>
      </c>
      <c r="D6" s="584"/>
      <c r="E6" s="584"/>
      <c r="F6" s="584"/>
      <c r="G6" s="584"/>
      <c r="H6" s="584"/>
      <c r="I6" s="584"/>
      <c r="J6" s="585"/>
      <c r="K6" s="606" t="s">
        <v>186</v>
      </c>
      <c r="L6" s="606">
        <v>1</v>
      </c>
      <c r="M6" s="606" t="s">
        <v>187</v>
      </c>
      <c r="N6" s="618">
        <v>1</v>
      </c>
    </row>
    <row r="7" spans="2:14">
      <c r="B7" s="588"/>
      <c r="C7" s="583"/>
      <c r="D7" s="584"/>
      <c r="E7" s="584"/>
      <c r="F7" s="584"/>
      <c r="G7" s="584"/>
      <c r="H7" s="584"/>
      <c r="I7" s="584"/>
      <c r="J7" s="585"/>
      <c r="K7" s="617"/>
      <c r="L7" s="617"/>
      <c r="M7" s="617"/>
      <c r="N7" s="619"/>
    </row>
    <row r="8" spans="2:14">
      <c r="B8" s="588"/>
      <c r="C8" s="614" t="s">
        <v>188</v>
      </c>
      <c r="D8" s="615"/>
      <c r="E8" s="615"/>
      <c r="F8" s="615"/>
      <c r="G8" s="615"/>
      <c r="H8" s="615"/>
      <c r="I8" s="615"/>
      <c r="J8" s="616"/>
      <c r="K8" s="617"/>
      <c r="L8" s="617"/>
      <c r="M8" s="617"/>
      <c r="N8" s="619"/>
    </row>
    <row r="9" spans="2:14" ht="14.25" thickBot="1">
      <c r="B9" s="392"/>
      <c r="C9" s="115"/>
      <c r="D9" s="115"/>
      <c r="E9" s="115"/>
      <c r="F9" s="115"/>
      <c r="G9" s="115"/>
      <c r="H9" s="115"/>
      <c r="I9" s="115"/>
      <c r="J9" s="115"/>
      <c r="K9" s="115"/>
      <c r="L9" s="116"/>
      <c r="M9" s="116"/>
      <c r="N9" s="117"/>
    </row>
    <row r="10" spans="2:14" ht="13.5">
      <c r="B10" s="118"/>
      <c r="C10" s="119"/>
      <c r="D10" s="119"/>
      <c r="E10" s="119"/>
      <c r="F10" s="119"/>
      <c r="G10" s="119"/>
      <c r="H10" s="119"/>
      <c r="I10" s="119"/>
      <c r="J10" s="119"/>
      <c r="K10" s="120" t="s">
        <v>189</v>
      </c>
      <c r="L10" s="121" t="s">
        <v>190</v>
      </c>
      <c r="M10" s="121" t="s">
        <v>191</v>
      </c>
      <c r="N10" s="122" t="s">
        <v>192</v>
      </c>
    </row>
    <row r="11" spans="2:14" ht="13.5">
      <c r="B11" s="123"/>
      <c r="C11" s="388"/>
      <c r="D11" s="388"/>
      <c r="E11" s="388"/>
      <c r="F11" s="388"/>
      <c r="G11" s="388"/>
      <c r="H11" s="388"/>
      <c r="I11" s="388"/>
      <c r="J11" s="388"/>
      <c r="K11" s="125"/>
      <c r="L11" s="126" t="str">
        <f>+'DATOS INICIALES '!K10</f>
        <v>XXX</v>
      </c>
      <c r="M11" s="126" t="str">
        <f>+'DATOS INICIALES '!L10</f>
        <v>XXX</v>
      </c>
      <c r="N11" s="127" t="str">
        <f>+'DATOS INICIALES '!M10</f>
        <v>XXX</v>
      </c>
    </row>
    <row r="12" spans="2:14" ht="13.5">
      <c r="B12" s="128" t="s">
        <v>193</v>
      </c>
      <c r="C12" s="129"/>
      <c r="D12" s="521" t="str">
        <f>+'DATOS INICIALES '!C11</f>
        <v>XXXXXXXXXX</v>
      </c>
      <c r="E12" s="521"/>
      <c r="F12" s="521"/>
      <c r="G12" s="521"/>
      <c r="H12" s="129"/>
      <c r="I12" s="129" t="s">
        <v>194</v>
      </c>
      <c r="J12" s="521" t="str">
        <f>+'DATOS INICIALES '!I11</f>
        <v>XXXXXXXXXX</v>
      </c>
      <c r="K12" s="521"/>
      <c r="L12" s="521"/>
      <c r="M12" s="521"/>
      <c r="N12" s="390"/>
    </row>
    <row r="13" spans="2:14" ht="13.5">
      <c r="B13" s="128"/>
      <c r="C13" s="129"/>
      <c r="D13" s="389"/>
      <c r="E13" s="389"/>
      <c r="F13" s="389"/>
      <c r="G13" s="389"/>
      <c r="H13" s="129"/>
      <c r="I13" s="389"/>
      <c r="J13" s="129"/>
      <c r="K13" s="389"/>
      <c r="L13" s="559"/>
      <c r="M13" s="559"/>
      <c r="N13" s="560"/>
    </row>
    <row r="14" spans="2:14" ht="13.5">
      <c r="B14" s="128"/>
      <c r="C14" s="129"/>
      <c r="D14" s="389"/>
      <c r="E14" s="389"/>
      <c r="F14" s="389"/>
      <c r="G14" s="389"/>
      <c r="H14" s="129"/>
      <c r="I14" s="389"/>
      <c r="J14" s="129"/>
      <c r="K14" s="389"/>
      <c r="L14" s="389"/>
      <c r="M14" s="389"/>
      <c r="N14" s="390"/>
    </row>
    <row r="15" spans="2:14" ht="13.5">
      <c r="B15" s="132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4"/>
    </row>
    <row r="16" spans="2:14" ht="13.5" thickBot="1">
      <c r="B16" s="135"/>
      <c r="C16" s="136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7"/>
    </row>
    <row r="17" spans="2:14">
      <c r="B17" s="138"/>
      <c r="C17" s="139"/>
      <c r="D17" s="139"/>
      <c r="E17" s="139"/>
      <c r="F17" s="139"/>
      <c r="G17" s="139"/>
      <c r="H17" s="140"/>
      <c r="I17" s="140"/>
      <c r="J17" s="139"/>
      <c r="K17" s="139"/>
      <c r="L17" s="139"/>
      <c r="M17" s="139"/>
      <c r="N17" s="141"/>
    </row>
    <row r="18" spans="2:14" ht="13.5">
      <c r="B18" s="142" t="s">
        <v>195</v>
      </c>
      <c r="C18" s="143"/>
      <c r="D18" s="144" t="str">
        <f>+'DATOS INICIALES '!C17</f>
        <v>XXXXXXXXXX</v>
      </c>
      <c r="E18" s="145"/>
      <c r="F18" s="145"/>
      <c r="G18" s="146" t="s">
        <v>187</v>
      </c>
      <c r="H18" s="586" t="str">
        <f>+'DATOS INICIALES '!G17</f>
        <v>XXXXXXXXXX</v>
      </c>
      <c r="I18" s="586"/>
      <c r="J18" s="586"/>
      <c r="K18" s="586"/>
      <c r="L18" s="586"/>
      <c r="M18" s="586"/>
      <c r="N18" s="147"/>
    </row>
    <row r="19" spans="2:14">
      <c r="B19" s="148" t="s">
        <v>196</v>
      </c>
      <c r="C19" s="149"/>
      <c r="D19" s="568" t="str">
        <f>+'DATOS INICIALES '!C18</f>
        <v>XXXXXXXXXXXXXXXXXXXXXXXXXXXXXXXXXXXXXX</v>
      </c>
      <c r="E19" s="568"/>
      <c r="F19" s="568"/>
      <c r="G19" s="568"/>
      <c r="H19" s="568"/>
      <c r="I19" s="568"/>
      <c r="J19" s="568"/>
      <c r="K19" s="568"/>
      <c r="L19" s="568"/>
      <c r="M19" s="568"/>
      <c r="N19" s="150"/>
    </row>
    <row r="20" spans="2:14">
      <c r="B20" s="148"/>
      <c r="C20" s="149"/>
      <c r="D20" s="569"/>
      <c r="E20" s="569"/>
      <c r="F20" s="569"/>
      <c r="G20" s="569"/>
      <c r="H20" s="569"/>
      <c r="I20" s="569"/>
      <c r="J20" s="569"/>
      <c r="K20" s="569"/>
      <c r="L20" s="569"/>
      <c r="M20" s="569"/>
      <c r="N20" s="150"/>
    </row>
    <row r="21" spans="2:14">
      <c r="B21" s="148"/>
      <c r="C21" s="149"/>
      <c r="D21" s="387"/>
      <c r="E21" s="387"/>
      <c r="F21" s="387"/>
      <c r="G21" s="387"/>
      <c r="H21" s="387"/>
      <c r="I21" s="387"/>
      <c r="J21" s="387"/>
      <c r="K21" s="387"/>
      <c r="L21" s="387"/>
      <c r="M21" s="152"/>
      <c r="N21" s="150"/>
    </row>
    <row r="22" spans="2:14">
      <c r="B22" s="148" t="s">
        <v>226</v>
      </c>
      <c r="C22" s="149"/>
      <c r="D22" s="557" t="str">
        <f>+'DATOS INICIALES '!C21</f>
        <v>XXXXXXXXXX</v>
      </c>
      <c r="E22" s="557"/>
      <c r="F22" s="557"/>
      <c r="G22" s="557"/>
      <c r="H22" s="557"/>
      <c r="I22" s="557"/>
      <c r="J22" s="557"/>
      <c r="K22" s="557"/>
      <c r="L22" s="557"/>
      <c r="M22" s="557"/>
      <c r="N22" s="153"/>
    </row>
    <row r="23" spans="2:14">
      <c r="B23" s="148"/>
      <c r="C23" s="149"/>
      <c r="D23" s="154"/>
      <c r="E23" s="154"/>
      <c r="F23" s="154"/>
      <c r="G23" s="154"/>
      <c r="H23" s="154"/>
      <c r="I23" s="154"/>
      <c r="J23" s="154"/>
      <c r="K23" s="154"/>
      <c r="L23" s="154"/>
      <c r="M23" s="155"/>
      <c r="N23" s="153"/>
    </row>
    <row r="24" spans="2:14">
      <c r="B24" s="148" t="s">
        <v>197</v>
      </c>
      <c r="C24" s="149"/>
      <c r="D24" s="557" t="str">
        <f>+'DATOS INICIALES '!C23</f>
        <v>XXXXXXXXXX</v>
      </c>
      <c r="E24" s="557"/>
      <c r="F24" s="557"/>
      <c r="G24" s="557"/>
      <c r="H24" s="557"/>
      <c r="I24" s="557"/>
      <c r="J24" s="557"/>
      <c r="K24" s="557"/>
      <c r="L24" s="557"/>
      <c r="M24" s="557"/>
      <c r="N24" s="153"/>
    </row>
    <row r="25" spans="2:14">
      <c r="B25" s="148"/>
      <c r="C25" s="149"/>
      <c r="D25" s="154"/>
      <c r="E25" s="154"/>
      <c r="F25" s="154"/>
      <c r="G25" s="154"/>
      <c r="H25" s="154"/>
      <c r="I25" s="154"/>
      <c r="J25" s="154"/>
      <c r="K25" s="154"/>
      <c r="L25" s="154"/>
      <c r="M25" s="155"/>
      <c r="N25" s="153"/>
    </row>
    <row r="26" spans="2:14">
      <c r="B26" s="148" t="s">
        <v>198</v>
      </c>
      <c r="C26" s="148"/>
      <c r="D26" s="154"/>
      <c r="E26" s="557" t="str">
        <f>+'DATOS INICIALES '!D25</f>
        <v>XXXXXXXXXX</v>
      </c>
      <c r="F26" s="557"/>
      <c r="G26" s="557"/>
      <c r="H26" s="557"/>
      <c r="I26" s="557"/>
      <c r="J26" s="557"/>
      <c r="K26" s="557"/>
      <c r="L26" s="557"/>
      <c r="M26" s="557"/>
      <c r="N26" s="153"/>
    </row>
    <row r="27" spans="2:14">
      <c r="B27" s="142"/>
      <c r="C27" s="143"/>
      <c r="D27" s="154"/>
      <c r="E27" s="154"/>
      <c r="F27" s="154"/>
      <c r="G27" s="154"/>
      <c r="H27" s="154"/>
      <c r="I27" s="154"/>
      <c r="J27" s="154"/>
      <c r="K27" s="154"/>
      <c r="L27" s="154"/>
      <c r="M27" s="155"/>
      <c r="N27" s="153"/>
    </row>
    <row r="28" spans="2:14">
      <c r="B28" s="148" t="s">
        <v>199</v>
      </c>
      <c r="C28" s="149"/>
      <c r="D28" s="154"/>
      <c r="E28" s="154"/>
      <c r="F28" s="154"/>
      <c r="G28" s="558" t="str">
        <f>+'DATOS INICIALES '!F27</f>
        <v>XXXXXXXXXX</v>
      </c>
      <c r="H28" s="558"/>
      <c r="I28" s="558"/>
      <c r="J28" s="558"/>
      <c r="K28" s="558"/>
      <c r="L28" s="558"/>
      <c r="M28" s="558"/>
      <c r="N28" s="153"/>
    </row>
    <row r="29" spans="2:14" ht="13.5" thickBot="1">
      <c r="B29" s="156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57"/>
      <c r="N29" s="158"/>
    </row>
    <row r="30" spans="2:14" ht="13.5">
      <c r="B30" s="561" t="s">
        <v>200</v>
      </c>
      <c r="C30" s="562"/>
      <c r="D30" s="562"/>
      <c r="E30" s="562"/>
      <c r="F30" s="562"/>
      <c r="G30" s="562"/>
      <c r="H30" s="562"/>
      <c r="I30" s="562"/>
      <c r="J30" s="562"/>
      <c r="K30" s="562"/>
      <c r="L30" s="562"/>
      <c r="M30" s="562"/>
      <c r="N30" s="563"/>
    </row>
    <row r="31" spans="2:14" ht="13.5" thickBot="1">
      <c r="B31" s="159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7"/>
    </row>
    <row r="32" spans="2:14" ht="13.5" customHeight="1">
      <c r="B32" s="235" t="s">
        <v>6</v>
      </c>
      <c r="C32" s="643" t="s">
        <v>125</v>
      </c>
      <c r="D32" s="644"/>
      <c r="E32" s="644"/>
      <c r="F32" s="644"/>
      <c r="G32" s="644"/>
      <c r="H32" s="644"/>
      <c r="I32" s="644"/>
      <c r="J32" s="644"/>
      <c r="K32" s="651" t="s">
        <v>201</v>
      </c>
      <c r="L32" s="536" t="s">
        <v>16</v>
      </c>
      <c r="M32" s="652"/>
      <c r="N32" s="235" t="s">
        <v>101</v>
      </c>
    </row>
    <row r="33" spans="1:14" s="346" customFormat="1" ht="13.5" thickBot="1">
      <c r="B33" s="249" t="str">
        <f>+'PRESUPUESTO OFICIAL'!D19</f>
        <v>SV-20</v>
      </c>
      <c r="C33" s="670" t="str">
        <f>+'PRESUPUESTO OFICIAL'!G19</f>
        <v>SUMINISTRO E INSTALACIÓN DE SEÑAL VERTICAL SP-47</v>
      </c>
      <c r="D33" s="671"/>
      <c r="E33" s="671"/>
      <c r="F33" s="671"/>
      <c r="G33" s="671"/>
      <c r="H33" s="671"/>
      <c r="I33" s="671"/>
      <c r="J33" s="671"/>
      <c r="K33" s="672"/>
      <c r="L33" s="566" t="str">
        <f>+'PRESUPUESTO OFICIAL'!H19</f>
        <v>UNIDAD</v>
      </c>
      <c r="M33" s="567"/>
      <c r="N33" s="258">
        <f>+'PRESUPUESTO OFICIAL'!I19</f>
        <v>12</v>
      </c>
    </row>
    <row r="34" spans="1:14">
      <c r="B34" s="574" t="s">
        <v>87</v>
      </c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>
      <c r="B35" s="577" t="s">
        <v>87</v>
      </c>
      <c r="C35" s="578"/>
      <c r="D35" s="578"/>
      <c r="E35" s="578"/>
      <c r="F35" s="578"/>
      <c r="G35" s="578"/>
      <c r="H35" s="578"/>
      <c r="I35" s="578"/>
      <c r="J35" s="578"/>
      <c r="K35" s="578"/>
      <c r="L35" s="578"/>
      <c r="M35" s="578"/>
      <c r="N35" s="579"/>
    </row>
    <row r="36" spans="1:14" ht="13.5" thickBot="1">
      <c r="B36" s="580"/>
      <c r="C36" s="581"/>
      <c r="D36" s="581"/>
      <c r="E36" s="581"/>
      <c r="F36" s="581"/>
      <c r="G36" s="581"/>
      <c r="H36" s="581"/>
      <c r="I36" s="581"/>
      <c r="J36" s="581"/>
      <c r="K36" s="581"/>
      <c r="L36" s="581"/>
      <c r="M36" s="581"/>
      <c r="N36" s="582"/>
    </row>
    <row r="37" spans="1:14" ht="13.5">
      <c r="B37" s="536" t="s">
        <v>125</v>
      </c>
      <c r="C37" s="537"/>
      <c r="D37" s="537"/>
      <c r="E37" s="537"/>
      <c r="F37" s="537"/>
      <c r="G37" s="537"/>
      <c r="H37" s="539"/>
      <c r="I37" s="555" t="s">
        <v>134</v>
      </c>
      <c r="J37" s="556"/>
      <c r="K37" s="237" t="s">
        <v>135</v>
      </c>
      <c r="L37" s="538" t="s">
        <v>136</v>
      </c>
      <c r="M37" s="539"/>
      <c r="N37" s="238" t="s">
        <v>140</v>
      </c>
    </row>
    <row r="38" spans="1:14">
      <c r="A38" s="113" t="s">
        <v>365</v>
      </c>
      <c r="B38" s="550" t="str">
        <f>+VLOOKUP(A38,Equipo!$A$4:$D$80,2,0)</f>
        <v>CORTADORA DE LÁMINA</v>
      </c>
      <c r="C38" s="551"/>
      <c r="D38" s="551"/>
      <c r="E38" s="551"/>
      <c r="F38" s="551"/>
      <c r="G38" s="551"/>
      <c r="H38" s="552"/>
      <c r="I38" s="620"/>
      <c r="J38" s="621"/>
      <c r="K38" s="315">
        <f>VLOOKUP(A38,Equipo!$A$4:$D$80,4,0)</f>
        <v>20339</v>
      </c>
      <c r="L38" s="637">
        <v>4</v>
      </c>
      <c r="M38" s="638"/>
      <c r="N38" s="297">
        <f>+K38/L38</f>
        <v>5084.75</v>
      </c>
    </row>
    <row r="39" spans="1:14">
      <c r="A39" s="113" t="s">
        <v>366</v>
      </c>
      <c r="B39" s="550" t="str">
        <f>+VLOOKUP(A39,Equipo!$A$4:$D$80,2,0)</f>
        <v>CORTADORA DE ANGULO</v>
      </c>
      <c r="C39" s="551"/>
      <c r="D39" s="551"/>
      <c r="E39" s="551"/>
      <c r="F39" s="551"/>
      <c r="G39" s="551"/>
      <c r="H39" s="552"/>
      <c r="I39" s="404"/>
      <c r="J39" s="405"/>
      <c r="K39" s="315">
        <f>VLOOKUP(A39,Equipo!$A$4:$D$80,4,0)</f>
        <v>20339</v>
      </c>
      <c r="L39" s="637">
        <v>4</v>
      </c>
      <c r="M39" s="638"/>
      <c r="N39" s="297">
        <f t="shared" ref="N39:N44" si="0">+K39/L39</f>
        <v>5084.75</v>
      </c>
    </row>
    <row r="40" spans="1:14">
      <c r="A40" s="113" t="s">
        <v>367</v>
      </c>
      <c r="B40" s="550" t="str">
        <f>+VLOOKUP(A40,Equipo!$A$4:$D$80,2,0)</f>
        <v>EQUIPO DE SOLDADURA</v>
      </c>
      <c r="C40" s="551"/>
      <c r="D40" s="551"/>
      <c r="E40" s="551"/>
      <c r="F40" s="551"/>
      <c r="G40" s="551"/>
      <c r="H40" s="552"/>
      <c r="I40" s="404"/>
      <c r="J40" s="405"/>
      <c r="K40" s="315">
        <f>VLOOKUP(A40,Equipo!$A$4:$D$80,4,0)</f>
        <v>16271</v>
      </c>
      <c r="L40" s="637">
        <v>4</v>
      </c>
      <c r="M40" s="638"/>
      <c r="N40" s="297">
        <f t="shared" si="0"/>
        <v>4067.75</v>
      </c>
    </row>
    <row r="41" spans="1:14">
      <c r="A41" s="113" t="s">
        <v>368</v>
      </c>
      <c r="B41" s="550" t="str">
        <f>+VLOOKUP(A41,Equipo!$A$4:$D$80,2,0)</f>
        <v>EQUIPO DE PINTURA</v>
      </c>
      <c r="C41" s="551"/>
      <c r="D41" s="551"/>
      <c r="E41" s="551"/>
      <c r="F41" s="551"/>
      <c r="G41" s="551"/>
      <c r="H41" s="552"/>
      <c r="I41" s="404"/>
      <c r="J41" s="405"/>
      <c r="K41" s="315">
        <f>VLOOKUP(A41,Equipo!$A$4:$D$80,4,0)</f>
        <v>20339</v>
      </c>
      <c r="L41" s="637">
        <v>4</v>
      </c>
      <c r="M41" s="638"/>
      <c r="N41" s="297">
        <f t="shared" si="0"/>
        <v>5084.75</v>
      </c>
    </row>
    <row r="42" spans="1:14">
      <c r="A42" s="113" t="s">
        <v>369</v>
      </c>
      <c r="B42" s="550" t="str">
        <f>+VLOOKUP(A42,Equipo!$A$4:$D$80,2,0)</f>
        <v>EQUIPO DE SERIGRAFÍA</v>
      </c>
      <c r="C42" s="551"/>
      <c r="D42" s="551"/>
      <c r="E42" s="551"/>
      <c r="F42" s="551"/>
      <c r="G42" s="551"/>
      <c r="H42" s="552"/>
      <c r="I42" s="404"/>
      <c r="J42" s="405"/>
      <c r="K42" s="315">
        <f>VLOOKUP(A42,Equipo!$A$4:$D$80,4,0)</f>
        <v>13574</v>
      </c>
      <c r="L42" s="637">
        <v>4</v>
      </c>
      <c r="M42" s="638"/>
      <c r="N42" s="297">
        <f t="shared" si="0"/>
        <v>3393.5</v>
      </c>
    </row>
    <row r="43" spans="1:14">
      <c r="A43" s="113" t="s">
        <v>370</v>
      </c>
      <c r="B43" s="550" t="str">
        <f>+VLOOKUP(A43,Equipo!$A$4:$D$80,2,0)</f>
        <v>EQUIPO DE LAMINACIÓN</v>
      </c>
      <c r="C43" s="551"/>
      <c r="D43" s="551"/>
      <c r="E43" s="551"/>
      <c r="F43" s="551"/>
      <c r="G43" s="551"/>
      <c r="H43" s="552"/>
      <c r="I43" s="404"/>
      <c r="J43" s="405"/>
      <c r="K43" s="315">
        <f>VLOOKUP(A43,Equipo!$A$4:$D$80,4,0)</f>
        <v>8003</v>
      </c>
      <c r="L43" s="637">
        <v>4</v>
      </c>
      <c r="M43" s="638"/>
      <c r="N43" s="297">
        <f t="shared" si="0"/>
        <v>2000.75</v>
      </c>
    </row>
    <row r="44" spans="1:14">
      <c r="A44" s="113" t="s">
        <v>371</v>
      </c>
      <c r="B44" s="550" t="str">
        <f>+VLOOKUP(A44,Equipo!$A$4:$D$80,2,0)</f>
        <v>TALADRO</v>
      </c>
      <c r="C44" s="551"/>
      <c r="D44" s="551"/>
      <c r="E44" s="551"/>
      <c r="F44" s="551"/>
      <c r="G44" s="551"/>
      <c r="H44" s="552"/>
      <c r="I44" s="620"/>
      <c r="J44" s="621"/>
      <c r="K44" s="315">
        <f>VLOOKUP(A44,Equipo!$A$4:$D$80,4,0)</f>
        <v>2715</v>
      </c>
      <c r="L44" s="637">
        <v>4</v>
      </c>
      <c r="M44" s="638"/>
      <c r="N44" s="297">
        <f t="shared" si="0"/>
        <v>678.75</v>
      </c>
    </row>
    <row r="45" spans="1:14">
      <c r="B45" s="550" t="s">
        <v>211</v>
      </c>
      <c r="C45" s="551"/>
      <c r="D45" s="551"/>
      <c r="E45" s="551"/>
      <c r="F45" s="551"/>
      <c r="G45" s="551"/>
      <c r="H45" s="552"/>
      <c r="I45" s="620"/>
      <c r="J45" s="621"/>
      <c r="K45" s="315"/>
      <c r="L45" s="637"/>
      <c r="M45" s="638"/>
      <c r="N45" s="297">
        <v>1500</v>
      </c>
    </row>
    <row r="46" spans="1:14" ht="13.5" thickBot="1">
      <c r="B46" s="550"/>
      <c r="C46" s="551"/>
      <c r="D46" s="551"/>
      <c r="E46" s="551"/>
      <c r="F46" s="551"/>
      <c r="G46" s="551"/>
      <c r="H46" s="552"/>
      <c r="I46" s="622"/>
      <c r="J46" s="623"/>
      <c r="K46" s="315"/>
      <c r="L46" s="637"/>
      <c r="M46" s="638"/>
      <c r="N46" s="297"/>
    </row>
    <row r="47" spans="1:14" ht="14.25" thickBot="1">
      <c r="B47" s="524" t="s">
        <v>472</v>
      </c>
      <c r="C47" s="525"/>
      <c r="D47" s="525"/>
      <c r="E47" s="525"/>
      <c r="F47" s="525"/>
      <c r="G47" s="525"/>
      <c r="H47" s="525"/>
      <c r="I47" s="525"/>
      <c r="J47" s="525"/>
      <c r="K47" s="525"/>
      <c r="L47" s="525"/>
      <c r="M47" s="526"/>
      <c r="N47" s="204">
        <f>SUM(N38:N46)</f>
        <v>26895</v>
      </c>
    </row>
    <row r="48" spans="1:14">
      <c r="B48" s="574" t="s">
        <v>138</v>
      </c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6"/>
    </row>
    <row r="49" spans="1:14">
      <c r="B49" s="577" t="s">
        <v>138</v>
      </c>
      <c r="C49" s="578"/>
      <c r="D49" s="578"/>
      <c r="E49" s="578"/>
      <c r="F49" s="578"/>
      <c r="G49" s="578"/>
      <c r="H49" s="578"/>
      <c r="I49" s="578"/>
      <c r="J49" s="578"/>
      <c r="K49" s="578"/>
      <c r="L49" s="578"/>
      <c r="M49" s="578"/>
      <c r="N49" s="579"/>
    </row>
    <row r="50" spans="1:14" ht="13.5" thickBot="1">
      <c r="B50" s="580"/>
      <c r="C50" s="581"/>
      <c r="D50" s="581"/>
      <c r="E50" s="581"/>
      <c r="F50" s="581"/>
      <c r="G50" s="581"/>
      <c r="H50" s="581"/>
      <c r="I50" s="581"/>
      <c r="J50" s="581"/>
      <c r="K50" s="581"/>
      <c r="L50" s="581"/>
      <c r="M50" s="581"/>
      <c r="N50" s="582"/>
    </row>
    <row r="51" spans="1:14" ht="13.5">
      <c r="B51" s="536" t="s">
        <v>125</v>
      </c>
      <c r="C51" s="537"/>
      <c r="D51" s="537"/>
      <c r="E51" s="537"/>
      <c r="F51" s="537"/>
      <c r="G51" s="537"/>
      <c r="H51" s="537"/>
      <c r="I51" s="539"/>
      <c r="J51" s="386" t="s">
        <v>16</v>
      </c>
      <c r="K51" s="237" t="s">
        <v>101</v>
      </c>
      <c r="L51" s="538" t="s">
        <v>139</v>
      </c>
      <c r="M51" s="539"/>
      <c r="N51" s="238" t="s">
        <v>140</v>
      </c>
    </row>
    <row r="52" spans="1:14">
      <c r="A52" s="113" t="s">
        <v>344</v>
      </c>
      <c r="B52" s="550" t="str">
        <f>VLOOKUP(A52,Materiales!$A$4:$D$141,2,0)</f>
        <v>LAMINA GALV. CALIBRE 16</v>
      </c>
      <c r="C52" s="551"/>
      <c r="D52" s="551"/>
      <c r="E52" s="551"/>
      <c r="F52" s="551"/>
      <c r="G52" s="551"/>
      <c r="H52" s="551"/>
      <c r="I52" s="552"/>
      <c r="J52" s="393" t="str">
        <f>VLOOKUP(A52,Materiales!$A$4:$D$141,3,0)</f>
        <v>M2</v>
      </c>
      <c r="K52" s="200">
        <v>0.66400000000000003</v>
      </c>
      <c r="L52" s="522">
        <f>VLOOKUP(A52,Materiales!$A$4:$D$141,4,0)</f>
        <v>49580</v>
      </c>
      <c r="M52" s="523"/>
      <c r="N52" s="297">
        <f>+L52*K52</f>
        <v>32921.120000000003</v>
      </c>
    </row>
    <row r="53" spans="1:14">
      <c r="A53" s="113" t="s">
        <v>345</v>
      </c>
      <c r="B53" s="550" t="str">
        <f>VLOOKUP(A53,Materiales!$A$4:$D$141,2,0)</f>
        <v>PAPEL REFLECTIVO TIPO III</v>
      </c>
      <c r="C53" s="551"/>
      <c r="D53" s="551"/>
      <c r="E53" s="551"/>
      <c r="F53" s="551"/>
      <c r="G53" s="551"/>
      <c r="H53" s="551"/>
      <c r="I53" s="552"/>
      <c r="J53" s="403" t="str">
        <f>VLOOKUP(A53,Materiales!$A$4:$D$141,3,0)</f>
        <v>M2</v>
      </c>
      <c r="K53" s="169">
        <v>1.7000000000000001E-2</v>
      </c>
      <c r="L53" s="522">
        <v>3522400</v>
      </c>
      <c r="M53" s="523"/>
      <c r="N53" s="297">
        <f t="shared" ref="N53:N60" si="1">+L53*K53</f>
        <v>59880.800000000003</v>
      </c>
    </row>
    <row r="54" spans="1:14">
      <c r="A54" s="113" t="s">
        <v>346</v>
      </c>
      <c r="B54" s="550" t="str">
        <f>VLOOKUP(A54,Materiales!$A$4:$D$141,2,0)</f>
        <v>ANGULO DE 2" X 1/4"</v>
      </c>
      <c r="C54" s="551"/>
      <c r="D54" s="551"/>
      <c r="E54" s="551"/>
      <c r="F54" s="551"/>
      <c r="G54" s="551"/>
      <c r="H54" s="551"/>
      <c r="I54" s="552"/>
      <c r="J54" s="403" t="str">
        <f>VLOOKUP(A54,Materiales!$A$4:$D$141,3,0)</f>
        <v>ML</v>
      </c>
      <c r="K54" s="200">
        <v>3.35</v>
      </c>
      <c r="L54" s="522">
        <f>VLOOKUP(A54,Materiales!$A$4:$D$141,4,0)</f>
        <v>17710</v>
      </c>
      <c r="M54" s="523"/>
      <c r="N54" s="297">
        <f t="shared" si="1"/>
        <v>59328.5</v>
      </c>
    </row>
    <row r="55" spans="1:14">
      <c r="A55" s="113" t="s">
        <v>347</v>
      </c>
      <c r="B55" s="550" t="str">
        <f>VLOOKUP(A55,Materiales!$A$4:$D$141,2,0)</f>
        <v>ANGULO DE 2" X 1/8"</v>
      </c>
      <c r="C55" s="551"/>
      <c r="D55" s="551"/>
      <c r="E55" s="551"/>
      <c r="F55" s="551"/>
      <c r="G55" s="551"/>
      <c r="H55" s="551"/>
      <c r="I55" s="552"/>
      <c r="J55" s="403" t="str">
        <f>VLOOKUP(A55,Materiales!$A$4:$D$141,3,0)</f>
        <v>ML</v>
      </c>
      <c r="K55" s="200">
        <v>1.5</v>
      </c>
      <c r="L55" s="522">
        <f>VLOOKUP(A55,Materiales!$A$4:$D$141,4,0)</f>
        <v>9810</v>
      </c>
      <c r="M55" s="523"/>
      <c r="N55" s="297">
        <f t="shared" si="1"/>
        <v>14715</v>
      </c>
    </row>
    <row r="56" spans="1:14">
      <c r="A56" s="113" t="s">
        <v>348</v>
      </c>
      <c r="B56" s="550" t="str">
        <f>VLOOKUP(A56,Materiales!$A$4:$D$141,2,0)</f>
        <v>TORNILLOS Y REMACHES</v>
      </c>
      <c r="C56" s="551"/>
      <c r="D56" s="551"/>
      <c r="E56" s="551"/>
      <c r="F56" s="551"/>
      <c r="G56" s="551"/>
      <c r="H56" s="551"/>
      <c r="I56" s="552"/>
      <c r="J56" s="403" t="str">
        <f>VLOOKUP(A56,Materiales!$A$4:$D$141,3,0)</f>
        <v>UND.</v>
      </c>
      <c r="K56" s="200">
        <v>8</v>
      </c>
      <c r="L56" s="522">
        <f>VLOOKUP(A56,Materiales!$A$4:$D$141,4,0)</f>
        <v>1004</v>
      </c>
      <c r="M56" s="523"/>
      <c r="N56" s="297">
        <f t="shared" si="1"/>
        <v>8032</v>
      </c>
    </row>
    <row r="57" spans="1:14">
      <c r="A57" s="113" t="s">
        <v>349</v>
      </c>
      <c r="B57" s="550" t="str">
        <f>VLOOKUP(A57,Materiales!$A$4:$D$141,2,0)</f>
        <v>PINTURA EN POLVO</v>
      </c>
      <c r="C57" s="551"/>
      <c r="D57" s="551"/>
      <c r="E57" s="551"/>
      <c r="F57" s="551"/>
      <c r="G57" s="551"/>
      <c r="H57" s="551"/>
      <c r="I57" s="552"/>
      <c r="J57" s="403" t="str">
        <f>VLOOKUP(A57,Materiales!$A$4:$D$141,3,0)</f>
        <v>GALON</v>
      </c>
      <c r="K57" s="200">
        <v>0.05</v>
      </c>
      <c r="L57" s="522">
        <f>VLOOKUP(A57,Materiales!$A$4:$D$141,4,0)</f>
        <v>170330</v>
      </c>
      <c r="M57" s="523"/>
      <c r="N57" s="297">
        <f t="shared" si="1"/>
        <v>8516.5</v>
      </c>
    </row>
    <row r="58" spans="1:14">
      <c r="A58" s="113" t="s">
        <v>350</v>
      </c>
      <c r="B58" s="550" t="str">
        <f>VLOOKUP(A58,Materiales!$A$4:$D$141,2,0)</f>
        <v>PINTURA ESMALTE</v>
      </c>
      <c r="C58" s="551"/>
      <c r="D58" s="551"/>
      <c r="E58" s="551"/>
      <c r="F58" s="551"/>
      <c r="G58" s="551"/>
      <c r="H58" s="551"/>
      <c r="I58" s="552"/>
      <c r="J58" s="403" t="str">
        <f>VLOOKUP(A58,Materiales!$A$4:$D$141,3,0)</f>
        <v>GALON</v>
      </c>
      <c r="K58" s="200">
        <v>0.06</v>
      </c>
      <c r="L58" s="522">
        <f>VLOOKUP(A58,Materiales!$A$4:$D$141,4,0)</f>
        <v>59020</v>
      </c>
      <c r="M58" s="523"/>
      <c r="N58" s="297">
        <f t="shared" si="1"/>
        <v>3541.2</v>
      </c>
    </row>
    <row r="59" spans="1:14">
      <c r="A59" s="113" t="s">
        <v>351</v>
      </c>
      <c r="B59" s="550" t="str">
        <f>VLOOKUP(A59,Materiales!$A$4:$D$141,2,0)</f>
        <v>SOLDADURA</v>
      </c>
      <c r="C59" s="551"/>
      <c r="D59" s="551"/>
      <c r="E59" s="551"/>
      <c r="F59" s="551"/>
      <c r="G59" s="551"/>
      <c r="H59" s="551"/>
      <c r="I59" s="552"/>
      <c r="J59" s="403" t="str">
        <f>VLOOKUP(A59,Materiales!$A$4:$D$141,3,0)</f>
        <v>KG</v>
      </c>
      <c r="K59" s="200">
        <v>0.25</v>
      </c>
      <c r="L59" s="522">
        <f>VLOOKUP(A59,Materiales!$A$4:$D$141,4,0)</f>
        <v>7210</v>
      </c>
      <c r="M59" s="523"/>
      <c r="N59" s="297">
        <f t="shared" si="1"/>
        <v>1802.5</v>
      </c>
    </row>
    <row r="60" spans="1:14">
      <c r="A60" s="113" t="s">
        <v>352</v>
      </c>
      <c r="B60" s="550" t="str">
        <f>VLOOKUP(A60,Materiales!$A$4:$D$141,2,0)</f>
        <v>CONCRETO CLASE E</v>
      </c>
      <c r="C60" s="551"/>
      <c r="D60" s="551"/>
      <c r="E60" s="551"/>
      <c r="F60" s="551"/>
      <c r="G60" s="551"/>
      <c r="H60" s="551"/>
      <c r="I60" s="552"/>
      <c r="J60" s="403" t="str">
        <f>VLOOKUP(A60,Materiales!$A$4:$D$141,3,0)</f>
        <v>M3</v>
      </c>
      <c r="K60" s="200">
        <v>0.05</v>
      </c>
      <c r="L60" s="522">
        <f>VLOOKUP(A60,Materiales!$A$4:$D$141,4,0)</f>
        <v>463800</v>
      </c>
      <c r="M60" s="523"/>
      <c r="N60" s="297">
        <f t="shared" si="1"/>
        <v>23190</v>
      </c>
    </row>
    <row r="61" spans="1:14">
      <c r="B61" s="550"/>
      <c r="C61" s="551"/>
      <c r="D61" s="551"/>
      <c r="E61" s="551"/>
      <c r="F61" s="551"/>
      <c r="G61" s="551"/>
      <c r="H61" s="551"/>
      <c r="I61" s="552"/>
      <c r="J61" s="393"/>
      <c r="K61" s="200"/>
      <c r="L61" s="522"/>
      <c r="M61" s="523"/>
      <c r="N61" s="297">
        <f t="shared" ref="N61:N62" si="2">+L61*K61</f>
        <v>0</v>
      </c>
    </row>
    <row r="62" spans="1:14" ht="13.5" thickBot="1">
      <c r="B62" s="550"/>
      <c r="C62" s="551"/>
      <c r="D62" s="551"/>
      <c r="E62" s="551"/>
      <c r="F62" s="551"/>
      <c r="G62" s="551"/>
      <c r="H62" s="551"/>
      <c r="I62" s="552"/>
      <c r="J62" s="393"/>
      <c r="K62" s="169"/>
      <c r="L62" s="522"/>
      <c r="M62" s="523"/>
      <c r="N62" s="297">
        <f t="shared" si="2"/>
        <v>0</v>
      </c>
    </row>
    <row r="63" spans="1:14" ht="14.25" thickBot="1">
      <c r="B63" s="524" t="s">
        <v>469</v>
      </c>
      <c r="C63" s="525"/>
      <c r="D63" s="525"/>
      <c r="E63" s="525"/>
      <c r="F63" s="525"/>
      <c r="G63" s="525"/>
      <c r="H63" s="525"/>
      <c r="I63" s="525"/>
      <c r="J63" s="525"/>
      <c r="K63" s="525"/>
      <c r="L63" s="525"/>
      <c r="M63" s="526"/>
      <c r="N63" s="319">
        <f>SUM(N52:N62)</f>
        <v>211927.62000000002</v>
      </c>
    </row>
    <row r="64" spans="1:14">
      <c r="B64" s="574" t="s">
        <v>89</v>
      </c>
      <c r="C64" s="575"/>
      <c r="D64" s="575"/>
      <c r="E64" s="575"/>
      <c r="F64" s="575"/>
      <c r="G64" s="575"/>
      <c r="H64" s="575"/>
      <c r="I64" s="575"/>
      <c r="J64" s="575"/>
      <c r="K64" s="575"/>
      <c r="L64" s="575"/>
      <c r="M64" s="575"/>
      <c r="N64" s="576"/>
    </row>
    <row r="65" spans="1:14">
      <c r="B65" s="577" t="s">
        <v>89</v>
      </c>
      <c r="C65" s="578"/>
      <c r="D65" s="578"/>
      <c r="E65" s="578"/>
      <c r="F65" s="578"/>
      <c r="G65" s="578"/>
      <c r="H65" s="578"/>
      <c r="I65" s="578"/>
      <c r="J65" s="578"/>
      <c r="K65" s="578"/>
      <c r="L65" s="578"/>
      <c r="M65" s="578"/>
      <c r="N65" s="579"/>
    </row>
    <row r="66" spans="1:14" ht="13.5" thickBot="1">
      <c r="B66" s="580"/>
      <c r="C66" s="581"/>
      <c r="D66" s="581"/>
      <c r="E66" s="581"/>
      <c r="F66" s="581"/>
      <c r="G66" s="581"/>
      <c r="H66" s="581"/>
      <c r="I66" s="581"/>
      <c r="J66" s="581"/>
      <c r="K66" s="581"/>
      <c r="L66" s="581"/>
      <c r="M66" s="581"/>
      <c r="N66" s="582"/>
    </row>
    <row r="67" spans="1:14" ht="13.5">
      <c r="B67" s="536" t="s">
        <v>141</v>
      </c>
      <c r="C67" s="537"/>
      <c r="D67" s="537"/>
      <c r="E67" s="537"/>
      <c r="F67" s="537"/>
      <c r="G67" s="537"/>
      <c r="H67" s="537"/>
      <c r="I67" s="237" t="s">
        <v>142</v>
      </c>
      <c r="J67" s="381" t="s">
        <v>143</v>
      </c>
      <c r="K67" s="241" t="s">
        <v>248</v>
      </c>
      <c r="L67" s="538" t="s">
        <v>17</v>
      </c>
      <c r="M67" s="539"/>
      <c r="N67" s="238" t="s">
        <v>140</v>
      </c>
    </row>
    <row r="68" spans="1:14">
      <c r="B68" s="540" t="s">
        <v>493</v>
      </c>
      <c r="C68" s="541"/>
      <c r="D68" s="541"/>
      <c r="E68" s="541"/>
      <c r="F68" s="541"/>
      <c r="G68" s="541"/>
      <c r="H68" s="621"/>
      <c r="I68" s="205"/>
      <c r="J68" s="209"/>
      <c r="K68" s="205"/>
      <c r="L68" s="553">
        <v>23000</v>
      </c>
      <c r="M68" s="554"/>
      <c r="N68" s="297">
        <f>+L68</f>
        <v>23000</v>
      </c>
    </row>
    <row r="69" spans="1:14" ht="13.5" thickBot="1">
      <c r="B69" s="624"/>
      <c r="C69" s="625"/>
      <c r="D69" s="625"/>
      <c r="E69" s="625"/>
      <c r="F69" s="625"/>
      <c r="G69" s="625"/>
      <c r="H69" s="625"/>
      <c r="I69" s="173"/>
      <c r="J69" s="161"/>
      <c r="K69" s="173"/>
      <c r="L69" s="645"/>
      <c r="M69" s="646"/>
      <c r="N69" s="327"/>
    </row>
    <row r="70" spans="1:14" ht="14.25" thickBot="1">
      <c r="B70" s="524" t="s">
        <v>472</v>
      </c>
      <c r="C70" s="525"/>
      <c r="D70" s="525"/>
      <c r="E70" s="525"/>
      <c r="F70" s="525"/>
      <c r="G70" s="525"/>
      <c r="H70" s="525"/>
      <c r="I70" s="525"/>
      <c r="J70" s="525"/>
      <c r="K70" s="525"/>
      <c r="L70" s="525"/>
      <c r="M70" s="526"/>
      <c r="N70" s="204">
        <f>SUM(N68:N69)</f>
        <v>23000</v>
      </c>
    </row>
    <row r="71" spans="1:14">
      <c r="B71" s="574" t="s">
        <v>90</v>
      </c>
      <c r="C71" s="575"/>
      <c r="D71" s="575"/>
      <c r="E71" s="575"/>
      <c r="F71" s="575"/>
      <c r="G71" s="575"/>
      <c r="H71" s="575"/>
      <c r="I71" s="575"/>
      <c r="J71" s="575"/>
      <c r="K71" s="575"/>
      <c r="L71" s="575"/>
      <c r="M71" s="575"/>
      <c r="N71" s="576"/>
    </row>
    <row r="72" spans="1:14">
      <c r="B72" s="577" t="s">
        <v>90</v>
      </c>
      <c r="C72" s="578"/>
      <c r="D72" s="578"/>
      <c r="E72" s="578"/>
      <c r="F72" s="578"/>
      <c r="G72" s="578"/>
      <c r="H72" s="578"/>
      <c r="I72" s="578"/>
      <c r="J72" s="578"/>
      <c r="K72" s="578"/>
      <c r="L72" s="578"/>
      <c r="M72" s="578"/>
      <c r="N72" s="579"/>
    </row>
    <row r="73" spans="1:14" ht="13.5" thickBot="1">
      <c r="B73" s="580"/>
      <c r="C73" s="581"/>
      <c r="D73" s="581"/>
      <c r="E73" s="581"/>
      <c r="F73" s="581"/>
      <c r="G73" s="581"/>
      <c r="H73" s="581"/>
      <c r="I73" s="581"/>
      <c r="J73" s="581"/>
      <c r="K73" s="581"/>
      <c r="L73" s="581"/>
      <c r="M73" s="581"/>
      <c r="N73" s="582"/>
    </row>
    <row r="74" spans="1:14" ht="13.5">
      <c r="B74" s="536" t="s">
        <v>144</v>
      </c>
      <c r="C74" s="537"/>
      <c r="D74" s="537"/>
      <c r="E74" s="537"/>
      <c r="F74" s="537"/>
      <c r="G74" s="537"/>
      <c r="H74" s="237" t="s">
        <v>101</v>
      </c>
      <c r="I74" s="237" t="s">
        <v>145</v>
      </c>
      <c r="J74" s="381" t="s">
        <v>84</v>
      </c>
      <c r="K74" s="241" t="s">
        <v>146</v>
      </c>
      <c r="L74" s="538" t="s">
        <v>136</v>
      </c>
      <c r="M74" s="539"/>
      <c r="N74" s="238" t="s">
        <v>140</v>
      </c>
    </row>
    <row r="75" spans="1:14">
      <c r="A75" s="113" t="s">
        <v>441</v>
      </c>
      <c r="B75" s="550" t="str">
        <f>VLOOKUP(A75,'Mano de Obra'!$A$4:$E$80,2,0)</f>
        <v>CORTADOR</v>
      </c>
      <c r="C75" s="551"/>
      <c r="D75" s="551"/>
      <c r="E75" s="551"/>
      <c r="F75" s="551"/>
      <c r="G75" s="552"/>
      <c r="H75" s="208">
        <v>1</v>
      </c>
      <c r="I75" s="302">
        <f>VLOOKUP(A75,'Mano de Obra'!$A$4:$E$80,3,0)</f>
        <v>72000</v>
      </c>
      <c r="J75" s="335">
        <f>VLOOKUP(A75,'Mano de Obra'!$A$4:$E$80,4,0)</f>
        <v>1.85</v>
      </c>
      <c r="K75" s="307">
        <f>+H75*I75*J75</f>
        <v>133200</v>
      </c>
      <c r="L75" s="529">
        <v>24</v>
      </c>
      <c r="M75" s="530"/>
      <c r="N75" s="326">
        <f>+K75/L75</f>
        <v>5550</v>
      </c>
    </row>
    <row r="76" spans="1:14">
      <c r="A76" s="113" t="s">
        <v>442</v>
      </c>
      <c r="B76" s="550" t="str">
        <f>VLOOKUP(A76,'Mano de Obra'!$A$4:$E$80,2,0)</f>
        <v>SOLDADOR</v>
      </c>
      <c r="C76" s="551"/>
      <c r="D76" s="551"/>
      <c r="E76" s="551"/>
      <c r="F76" s="551"/>
      <c r="G76" s="552"/>
      <c r="H76" s="208">
        <v>1</v>
      </c>
      <c r="I76" s="302">
        <f>VLOOKUP(A76,'Mano de Obra'!$A$4:$E$80,3,0)</f>
        <v>88000</v>
      </c>
      <c r="J76" s="335">
        <f>VLOOKUP(A76,'Mano de Obra'!$A$4:$E$80,4,0)</f>
        <v>1.85</v>
      </c>
      <c r="K76" s="307">
        <f t="shared" ref="K76:K81" si="3">+H76*I76*J76</f>
        <v>162800</v>
      </c>
      <c r="L76" s="529">
        <v>24</v>
      </c>
      <c r="M76" s="530"/>
      <c r="N76" s="326">
        <f t="shared" ref="N76:N81" si="4">+K76/L76</f>
        <v>6783.333333333333</v>
      </c>
    </row>
    <row r="77" spans="1:14">
      <c r="A77" s="113" t="s">
        <v>443</v>
      </c>
      <c r="B77" s="550" t="str">
        <f>VLOOKUP(A77,'Mano de Obra'!$A$4:$E$80,2,0)</f>
        <v>PINTOR</v>
      </c>
      <c r="C77" s="551"/>
      <c r="D77" s="551"/>
      <c r="E77" s="551"/>
      <c r="F77" s="551"/>
      <c r="G77" s="552"/>
      <c r="H77" s="208">
        <v>1</v>
      </c>
      <c r="I77" s="302">
        <f>VLOOKUP(A77,'Mano de Obra'!$A$4:$E$80,3,0)</f>
        <v>72000</v>
      </c>
      <c r="J77" s="335">
        <f>VLOOKUP(A77,'Mano de Obra'!$A$4:$E$80,4,0)</f>
        <v>1.85</v>
      </c>
      <c r="K77" s="307">
        <f t="shared" si="3"/>
        <v>133200</v>
      </c>
      <c r="L77" s="529">
        <v>24</v>
      </c>
      <c r="M77" s="530"/>
      <c r="N77" s="326">
        <f t="shared" si="4"/>
        <v>5550</v>
      </c>
    </row>
    <row r="78" spans="1:14">
      <c r="A78" s="113" t="s">
        <v>444</v>
      </c>
      <c r="B78" s="550" t="str">
        <f>VLOOKUP(A78,'Mano de Obra'!$A$4:$E$80,2,0)</f>
        <v>LAMINADOR</v>
      </c>
      <c r="C78" s="551"/>
      <c r="D78" s="551"/>
      <c r="E78" s="551"/>
      <c r="F78" s="551"/>
      <c r="G78" s="552"/>
      <c r="H78" s="208">
        <v>1</v>
      </c>
      <c r="I78" s="302">
        <f>VLOOKUP(A78,'Mano de Obra'!$A$4:$E$80,3,0)</f>
        <v>72000</v>
      </c>
      <c r="J78" s="335">
        <f>VLOOKUP(A78,'Mano de Obra'!$A$4:$E$80,4,0)</f>
        <v>1.85</v>
      </c>
      <c r="K78" s="307">
        <f t="shared" si="3"/>
        <v>133200</v>
      </c>
      <c r="L78" s="529">
        <v>24</v>
      </c>
      <c r="M78" s="530"/>
      <c r="N78" s="326">
        <f t="shared" si="4"/>
        <v>5550</v>
      </c>
    </row>
    <row r="79" spans="1:14">
      <c r="A79" s="113" t="s">
        <v>445</v>
      </c>
      <c r="B79" s="550" t="str">
        <f>VLOOKUP(A79,'Mano de Obra'!$A$4:$E$80,2,0)</f>
        <v>SERIGRAFISTA</v>
      </c>
      <c r="C79" s="551"/>
      <c r="D79" s="551"/>
      <c r="E79" s="551"/>
      <c r="F79" s="551"/>
      <c r="G79" s="552"/>
      <c r="H79" s="208">
        <v>1</v>
      </c>
      <c r="I79" s="302">
        <f>VLOOKUP(A79,'Mano de Obra'!$A$4:$E$80,3,0)</f>
        <v>72000</v>
      </c>
      <c r="J79" s="335">
        <f>VLOOKUP(A79,'Mano de Obra'!$A$4:$E$80,4,0)</f>
        <v>1.85</v>
      </c>
      <c r="K79" s="307">
        <f t="shared" si="3"/>
        <v>133200</v>
      </c>
      <c r="L79" s="529">
        <v>24</v>
      </c>
      <c r="M79" s="530"/>
      <c r="N79" s="326">
        <f t="shared" si="4"/>
        <v>5550</v>
      </c>
    </row>
    <row r="80" spans="1:14">
      <c r="A80" s="113" t="s">
        <v>446</v>
      </c>
      <c r="B80" s="550" t="str">
        <f>VLOOKUP(A80,'Mano de Obra'!$A$4:$E$80,2,0)</f>
        <v>AYUDANTE</v>
      </c>
      <c r="C80" s="551"/>
      <c r="D80" s="551"/>
      <c r="E80" s="551"/>
      <c r="F80" s="551"/>
      <c r="G80" s="552"/>
      <c r="H80" s="208">
        <v>2</v>
      </c>
      <c r="I80" s="302">
        <f>VLOOKUP(A80,'Mano de Obra'!$A$4:$E$80,3,0)</f>
        <v>28000</v>
      </c>
      <c r="J80" s="335">
        <f>VLOOKUP(A80,'Mano de Obra'!$A$4:$E$80,4,0)</f>
        <v>1.85</v>
      </c>
      <c r="K80" s="307">
        <f t="shared" si="3"/>
        <v>103600</v>
      </c>
      <c r="L80" s="529">
        <v>24</v>
      </c>
      <c r="M80" s="530"/>
      <c r="N80" s="326">
        <f t="shared" si="4"/>
        <v>4316.666666666667</v>
      </c>
    </row>
    <row r="81" spans="1:14">
      <c r="A81" s="113" t="s">
        <v>447</v>
      </c>
      <c r="B81" s="550" t="str">
        <f>VLOOKUP(A81,'Mano de Obra'!$A$4:$E$80,2,0)</f>
        <v>CUADRILLA DE INSTALÑACIÓN (3)</v>
      </c>
      <c r="C81" s="551"/>
      <c r="D81" s="551"/>
      <c r="E81" s="551"/>
      <c r="F81" s="551"/>
      <c r="G81" s="552"/>
      <c r="H81" s="206">
        <v>1</v>
      </c>
      <c r="I81" s="302">
        <f>VLOOKUP(A81,'Mano de Obra'!$A$4:$E$80,3,0)</f>
        <v>83000</v>
      </c>
      <c r="J81" s="335">
        <f>VLOOKUP(A81,'Mano de Obra'!$A$4:$E$80,4,0)</f>
        <v>1.85</v>
      </c>
      <c r="K81" s="307">
        <f t="shared" si="3"/>
        <v>153550</v>
      </c>
      <c r="L81" s="529">
        <v>24</v>
      </c>
      <c r="M81" s="530"/>
      <c r="N81" s="326">
        <f t="shared" si="4"/>
        <v>6397.916666666667</v>
      </c>
    </row>
    <row r="82" spans="1:14">
      <c r="B82" s="550"/>
      <c r="C82" s="551"/>
      <c r="D82" s="551"/>
      <c r="E82" s="551"/>
      <c r="F82" s="551"/>
      <c r="G82" s="552"/>
      <c r="H82" s="208"/>
      <c r="I82" s="302"/>
      <c r="J82" s="335"/>
      <c r="K82" s="307"/>
      <c r="L82" s="529"/>
      <c r="M82" s="530"/>
      <c r="N82" s="326"/>
    </row>
    <row r="83" spans="1:14" ht="13.5" thickBot="1">
      <c r="B83" s="550"/>
      <c r="C83" s="551"/>
      <c r="D83" s="551"/>
      <c r="E83" s="551"/>
      <c r="F83" s="551"/>
      <c r="G83" s="551"/>
      <c r="H83" s="311"/>
      <c r="I83" s="173"/>
      <c r="J83" s="161"/>
      <c r="K83" s="309"/>
      <c r="L83" s="534"/>
      <c r="M83" s="535"/>
      <c r="N83" s="327"/>
    </row>
    <row r="84" spans="1:14" ht="14.25" thickBot="1">
      <c r="B84" s="524" t="s">
        <v>469</v>
      </c>
      <c r="C84" s="525"/>
      <c r="D84" s="525"/>
      <c r="E84" s="525"/>
      <c r="F84" s="525"/>
      <c r="G84" s="525"/>
      <c r="H84" s="525"/>
      <c r="I84" s="525"/>
      <c r="J84" s="525"/>
      <c r="K84" s="525"/>
      <c r="L84" s="525"/>
      <c r="M84" s="526"/>
      <c r="N84" s="319">
        <f>SUM(N75:N83)</f>
        <v>39697.916666666664</v>
      </c>
    </row>
    <row r="85" spans="1:14" ht="13.5" thickBot="1">
      <c r="B85" s="159"/>
      <c r="C85" s="140"/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7"/>
    </row>
    <row r="86" spans="1:14" ht="13.5" thickBot="1">
      <c r="B86" s="531" t="s">
        <v>474</v>
      </c>
      <c r="C86" s="532"/>
      <c r="D86" s="532"/>
      <c r="E86" s="532"/>
      <c r="F86" s="532"/>
      <c r="G86" s="532"/>
      <c r="H86" s="532"/>
      <c r="I86" s="532"/>
      <c r="J86" s="532"/>
      <c r="K86" s="532"/>
      <c r="L86" s="532"/>
      <c r="M86" s="533"/>
      <c r="N86" s="328">
        <f>+N84+N70+N63+N47</f>
        <v>301520.53666666668</v>
      </c>
    </row>
    <row r="87" spans="1:14">
      <c r="B87" s="574" t="s">
        <v>91</v>
      </c>
      <c r="C87" s="575"/>
      <c r="D87" s="575"/>
      <c r="E87" s="575"/>
      <c r="F87" s="575"/>
      <c r="G87" s="575"/>
      <c r="H87" s="575"/>
      <c r="I87" s="575"/>
      <c r="J87" s="575"/>
      <c r="K87" s="575"/>
      <c r="L87" s="575"/>
      <c r="M87" s="575"/>
      <c r="N87" s="576"/>
    </row>
    <row r="88" spans="1:14">
      <c r="B88" s="577" t="s">
        <v>91</v>
      </c>
      <c r="C88" s="578"/>
      <c r="D88" s="578"/>
      <c r="E88" s="578"/>
      <c r="F88" s="578"/>
      <c r="G88" s="578"/>
      <c r="H88" s="578"/>
      <c r="I88" s="578"/>
      <c r="J88" s="578"/>
      <c r="K88" s="578"/>
      <c r="L88" s="578"/>
      <c r="M88" s="578"/>
      <c r="N88" s="579"/>
    </row>
    <row r="89" spans="1:14" ht="13.5" thickBot="1">
      <c r="B89" s="580"/>
      <c r="C89" s="581"/>
      <c r="D89" s="581"/>
      <c r="E89" s="581"/>
      <c r="F89" s="581"/>
      <c r="G89" s="581"/>
      <c r="H89" s="581"/>
      <c r="I89" s="581"/>
      <c r="J89" s="581"/>
      <c r="K89" s="581"/>
      <c r="L89" s="581"/>
      <c r="M89" s="581"/>
      <c r="N89" s="582"/>
    </row>
    <row r="90" spans="1:14" ht="13.5">
      <c r="B90" s="536" t="s">
        <v>88</v>
      </c>
      <c r="C90" s="537"/>
      <c r="D90" s="537"/>
      <c r="E90" s="537"/>
      <c r="F90" s="537"/>
      <c r="G90" s="537"/>
      <c r="H90" s="537"/>
      <c r="I90" s="381"/>
      <c r="J90" s="391"/>
      <c r="K90" s="243" t="s">
        <v>92</v>
      </c>
      <c r="L90" s="527" t="s">
        <v>93</v>
      </c>
      <c r="M90" s="528"/>
      <c r="N90" s="244"/>
    </row>
    <row r="91" spans="1:14">
      <c r="B91" s="540" t="s">
        <v>82</v>
      </c>
      <c r="C91" s="541"/>
      <c r="D91" s="541"/>
      <c r="E91" s="541"/>
      <c r="F91" s="541"/>
      <c r="G91" s="541"/>
      <c r="H91" s="541"/>
      <c r="I91" s="182"/>
      <c r="J91" s="183"/>
      <c r="K91" s="251">
        <v>0.25</v>
      </c>
      <c r="L91" s="522">
        <f>+N86*K91</f>
        <v>75380.13416666667</v>
      </c>
      <c r="M91" s="523"/>
      <c r="N91" s="184"/>
    </row>
    <row r="92" spans="1:14">
      <c r="B92" s="185" t="s">
        <v>94</v>
      </c>
      <c r="C92" s="186"/>
      <c r="D92" s="186"/>
      <c r="E92" s="186"/>
      <c r="F92" s="186"/>
      <c r="G92" s="186"/>
      <c r="H92" s="186"/>
      <c r="I92" s="182"/>
      <c r="J92" s="183"/>
      <c r="K92" s="251">
        <v>0.05</v>
      </c>
      <c r="L92" s="522">
        <f>+N86*K92</f>
        <v>15076.026833333335</v>
      </c>
      <c r="M92" s="523"/>
      <c r="N92" s="184"/>
    </row>
    <row r="93" spans="1:14" ht="13.5" thickBot="1">
      <c r="B93" s="384" t="s">
        <v>83</v>
      </c>
      <c r="C93" s="385"/>
      <c r="D93" s="385"/>
      <c r="E93" s="385"/>
      <c r="F93" s="385"/>
      <c r="G93" s="385"/>
      <c r="H93" s="385"/>
      <c r="I93" s="189"/>
      <c r="J93" s="190"/>
      <c r="K93" s="251">
        <v>0.05</v>
      </c>
      <c r="L93" s="627">
        <f>+N86*K93</f>
        <v>15076.026833333335</v>
      </c>
      <c r="M93" s="628"/>
      <c r="N93" s="184"/>
    </row>
    <row r="94" spans="1:14" ht="14.25" thickBot="1">
      <c r="B94" s="524" t="s">
        <v>469</v>
      </c>
      <c r="C94" s="525"/>
      <c r="D94" s="525"/>
      <c r="E94" s="525"/>
      <c r="F94" s="525"/>
      <c r="G94" s="525"/>
      <c r="H94" s="525"/>
      <c r="I94" s="525"/>
      <c r="J94" s="525"/>
      <c r="K94" s="525"/>
      <c r="L94" s="525"/>
      <c r="M94" s="526"/>
      <c r="N94" s="204">
        <f>SUM(L91:M93)</f>
        <v>105532.18783333334</v>
      </c>
    </row>
    <row r="95" spans="1:14" ht="13.5" thickBot="1">
      <c r="B95" s="159"/>
      <c r="C95" s="140"/>
      <c r="D95" s="140"/>
      <c r="E95" s="140"/>
      <c r="F95" s="140"/>
      <c r="G95" s="140"/>
      <c r="H95" s="140"/>
      <c r="I95" s="140"/>
      <c r="J95" s="140"/>
      <c r="K95" s="140"/>
      <c r="L95" s="140"/>
      <c r="M95" s="140"/>
      <c r="N95" s="147"/>
    </row>
    <row r="96" spans="1:14" ht="13.5" thickBot="1">
      <c r="B96" s="531" t="s">
        <v>473</v>
      </c>
      <c r="C96" s="532"/>
      <c r="D96" s="532"/>
      <c r="E96" s="532"/>
      <c r="F96" s="532"/>
      <c r="G96" s="532"/>
      <c r="H96" s="532"/>
      <c r="I96" s="532"/>
      <c r="J96" s="532"/>
      <c r="K96" s="532"/>
      <c r="L96" s="532"/>
      <c r="M96" s="533"/>
      <c r="N96" s="328">
        <f>ROUND(N86+N94,0)</f>
        <v>407053</v>
      </c>
    </row>
    <row r="97" spans="2:14">
      <c r="B97" s="138"/>
      <c r="C97" s="139"/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41"/>
    </row>
    <row r="98" spans="2:14">
      <c r="B98" s="159"/>
      <c r="C98" s="140"/>
      <c r="D98" s="140"/>
      <c r="E98" s="140"/>
      <c r="F98" s="140"/>
      <c r="G98" s="140"/>
      <c r="H98" s="140"/>
      <c r="I98" s="140"/>
      <c r="J98" s="140"/>
      <c r="K98" s="140"/>
      <c r="L98" s="140"/>
      <c r="M98" s="140"/>
      <c r="N98" s="147"/>
    </row>
    <row r="99" spans="2:14">
      <c r="B99" s="159"/>
      <c r="C99" s="140"/>
      <c r="D99" s="140"/>
      <c r="E99" s="140"/>
      <c r="F99" s="140"/>
      <c r="G99" s="140"/>
      <c r="H99" s="140"/>
      <c r="I99" s="140"/>
      <c r="J99" s="140"/>
      <c r="K99" s="140"/>
      <c r="L99" s="140"/>
      <c r="M99" s="140"/>
      <c r="N99" s="147"/>
    </row>
    <row r="100" spans="2:14">
      <c r="B100" s="159"/>
      <c r="C100" s="140"/>
      <c r="D100" s="140"/>
      <c r="E100" s="140"/>
      <c r="F100" s="140"/>
      <c r="G100" s="145" t="str">
        <f>+'SV-01'!$G$96</f>
        <v>Firma</v>
      </c>
      <c r="H100" s="145"/>
      <c r="I100" s="145"/>
      <c r="J100" s="145"/>
      <c r="K100" s="140"/>
      <c r="L100" s="140"/>
      <c r="M100" s="140"/>
      <c r="N100" s="147"/>
    </row>
    <row r="101" spans="2:14" ht="13.5">
      <c r="B101" s="192"/>
      <c r="C101" s="193"/>
      <c r="D101" s="193"/>
      <c r="E101" s="193"/>
      <c r="F101" s="193"/>
      <c r="G101" s="145" t="str">
        <f>+'SV-01'!$G$97</f>
        <v>Nombre:</v>
      </c>
      <c r="H101" s="193"/>
      <c r="I101" s="193"/>
      <c r="J101" s="193"/>
      <c r="K101" s="193"/>
      <c r="L101" s="193"/>
      <c r="M101" s="193"/>
      <c r="N101" s="194"/>
    </row>
    <row r="102" spans="2:14" ht="13.5">
      <c r="B102" s="192"/>
      <c r="C102" s="193"/>
      <c r="D102" s="193"/>
      <c r="E102" s="193"/>
      <c r="F102" s="193"/>
      <c r="G102" s="145" t="str">
        <f>+'SV-01'!$G$98</f>
        <v>Representante Legal del Contratista o su Apoderado</v>
      </c>
      <c r="J102" s="193"/>
      <c r="K102" s="193"/>
      <c r="L102" s="193"/>
      <c r="M102" s="193"/>
      <c r="N102" s="194"/>
    </row>
    <row r="103" spans="2:14">
      <c r="B103" s="123"/>
      <c r="C103" s="155"/>
      <c r="D103" s="155"/>
      <c r="E103" s="155"/>
      <c r="F103" s="155"/>
      <c r="G103" s="145" t="str">
        <f>+'SV-01'!$G$99</f>
        <v>Matricula No. :</v>
      </c>
      <c r="H103" s="155"/>
      <c r="I103" s="155"/>
      <c r="J103" s="155"/>
      <c r="K103" s="155"/>
      <c r="L103" s="155"/>
      <c r="M103" s="155"/>
      <c r="N103" s="153"/>
    </row>
    <row r="104" spans="2:14">
      <c r="B104" s="159"/>
      <c r="C104" s="140"/>
      <c r="D104" s="140"/>
      <c r="E104" s="140"/>
      <c r="F104" s="140"/>
      <c r="G104" s="140" t="s">
        <v>206</v>
      </c>
      <c r="H104" s="140"/>
      <c r="I104" s="140"/>
      <c r="J104" s="140"/>
      <c r="K104" s="140"/>
      <c r="L104" s="140"/>
      <c r="M104" s="140"/>
      <c r="N104" s="147"/>
    </row>
    <row r="105" spans="2:14" ht="13.5">
      <c r="B105" s="165" t="str">
        <f>+'SV-01'!$B$101</f>
        <v>OBSERVACIONES INTERVENTORÍA</v>
      </c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7"/>
    </row>
    <row r="106" spans="2:14">
      <c r="B106" s="544"/>
      <c r="C106" s="545"/>
      <c r="D106" s="545"/>
      <c r="E106" s="545"/>
      <c r="F106" s="545"/>
      <c r="G106" s="545"/>
      <c r="H106" s="545"/>
      <c r="I106" s="545"/>
      <c r="J106" s="545"/>
      <c r="K106" s="545"/>
      <c r="L106" s="545"/>
      <c r="M106" s="545"/>
      <c r="N106" s="546"/>
    </row>
    <row r="107" spans="2:14">
      <c r="B107" s="547"/>
      <c r="C107" s="548"/>
      <c r="D107" s="548"/>
      <c r="E107" s="548"/>
      <c r="F107" s="548"/>
      <c r="G107" s="548"/>
      <c r="H107" s="548"/>
      <c r="I107" s="548"/>
      <c r="J107" s="548"/>
      <c r="K107" s="548"/>
      <c r="L107" s="548"/>
      <c r="M107" s="548"/>
      <c r="N107" s="549"/>
    </row>
    <row r="108" spans="2:14">
      <c r="B108" s="123"/>
      <c r="C108" s="155"/>
      <c r="D108" s="155"/>
      <c r="E108" s="155"/>
      <c r="F108" s="155"/>
      <c r="G108" s="155"/>
      <c r="H108" s="155"/>
      <c r="I108" s="155"/>
      <c r="J108" s="155"/>
      <c r="K108" s="155"/>
      <c r="L108" s="155"/>
      <c r="M108" s="155"/>
      <c r="N108" s="153"/>
    </row>
    <row r="109" spans="2:14">
      <c r="B109" s="159"/>
      <c r="C109" s="140"/>
      <c r="D109" s="140"/>
      <c r="E109" s="140"/>
      <c r="F109" s="140"/>
      <c r="G109" s="145" t="str">
        <f>+'SV-01'!$G$105</f>
        <v>Firma</v>
      </c>
      <c r="H109" s="140"/>
      <c r="I109" s="140"/>
      <c r="J109" s="140"/>
      <c r="K109" s="140"/>
      <c r="L109" s="140"/>
      <c r="M109" s="140"/>
      <c r="N109" s="147"/>
    </row>
    <row r="110" spans="2:14">
      <c r="B110" s="159"/>
      <c r="C110" s="140"/>
      <c r="D110" s="140"/>
      <c r="E110" s="140"/>
      <c r="F110" s="140"/>
      <c r="G110" s="140" t="str">
        <f>+'SV-01'!$G$106</f>
        <v>Nombre:</v>
      </c>
      <c r="H110" s="160"/>
      <c r="I110" s="160"/>
      <c r="J110" s="160"/>
      <c r="K110" s="140"/>
      <c r="L110" s="140"/>
      <c r="M110" s="140"/>
      <c r="N110" s="147"/>
    </row>
    <row r="111" spans="2:14">
      <c r="B111" s="159"/>
      <c r="C111" s="140"/>
      <c r="D111" s="140"/>
      <c r="E111" s="140"/>
      <c r="F111" s="140"/>
      <c r="G111" s="140" t="str">
        <f>+'SV-01'!$G$107</f>
        <v>Representante Legal del Interventor o su Apoderado</v>
      </c>
      <c r="H111" s="154"/>
      <c r="I111" s="154"/>
      <c r="J111" s="154"/>
      <c r="M111" s="140"/>
      <c r="N111" s="147"/>
    </row>
    <row r="112" spans="2:14">
      <c r="B112" s="196"/>
      <c r="C112" s="155"/>
      <c r="D112" s="155"/>
      <c r="E112" s="155"/>
      <c r="F112" s="155"/>
      <c r="G112" s="140" t="str">
        <f>+'SV-01'!$G$108</f>
        <v>Matricula No. :</v>
      </c>
      <c r="K112" s="155"/>
      <c r="L112" s="155"/>
      <c r="M112" s="155"/>
      <c r="N112" s="153"/>
    </row>
    <row r="113" spans="2:14" ht="12.75" customHeight="1">
      <c r="B113" s="199" t="str">
        <f>+'SV-01'!$B$109</f>
        <v xml:space="preserve">Original: Archivo de Gestión Contractual ( Subdirecciòn Administrativa) </v>
      </c>
      <c r="C113" s="197"/>
      <c r="D113" s="197"/>
      <c r="E113" s="140"/>
      <c r="F113" s="140"/>
      <c r="G113" s="140"/>
      <c r="H113" s="140"/>
      <c r="I113" s="140"/>
      <c r="J113" s="515"/>
      <c r="K113" s="515"/>
      <c r="L113" s="515"/>
      <c r="M113" s="515"/>
      <c r="N113" s="516"/>
    </row>
    <row r="114" spans="2:14" ht="12.75" customHeight="1">
      <c r="B114" s="199" t="str">
        <f>+'SV-01'!$B$110</f>
        <v>Copias : Unidad Ejecutora,  Contratista, Interventor y Dirección Territorial.</v>
      </c>
      <c r="C114" s="197"/>
      <c r="D114" s="197"/>
      <c r="E114" s="140"/>
      <c r="F114" s="140"/>
      <c r="G114" s="140"/>
      <c r="H114" s="140"/>
      <c r="I114" s="140"/>
      <c r="J114" s="515"/>
      <c r="K114" s="515"/>
      <c r="L114" s="515"/>
      <c r="M114" s="515"/>
      <c r="N114" s="516"/>
    </row>
    <row r="115" spans="2:14" ht="13.5" customHeight="1" thickBot="1">
      <c r="B115" s="519"/>
      <c r="C115" s="520"/>
      <c r="D115" s="520"/>
      <c r="E115" s="161"/>
      <c r="F115" s="161"/>
      <c r="G115" s="161"/>
      <c r="H115" s="161"/>
      <c r="I115" s="161"/>
      <c r="J115" s="517"/>
      <c r="K115" s="517"/>
      <c r="L115" s="517"/>
      <c r="M115" s="517"/>
      <c r="N115" s="518"/>
    </row>
  </sheetData>
  <mergeCells count="126">
    <mergeCell ref="J113:N115"/>
    <mergeCell ref="B115:D115"/>
    <mergeCell ref="B87:N89"/>
    <mergeCell ref="B90:H90"/>
    <mergeCell ref="L90:M90"/>
    <mergeCell ref="B91:H91"/>
    <mergeCell ref="L91:M91"/>
    <mergeCell ref="L92:M92"/>
    <mergeCell ref="L93:M93"/>
    <mergeCell ref="B94:M94"/>
    <mergeCell ref="B96:M96"/>
    <mergeCell ref="B106:N106"/>
    <mergeCell ref="B107:N107"/>
    <mergeCell ref="B86:M86"/>
    <mergeCell ref="B74:G74"/>
    <mergeCell ref="L74:M74"/>
    <mergeCell ref="B75:G75"/>
    <mergeCell ref="L75:M75"/>
    <mergeCell ref="B81:G81"/>
    <mergeCell ref="L81:M81"/>
    <mergeCell ref="B80:G80"/>
    <mergeCell ref="L80:M80"/>
    <mergeCell ref="B82:G82"/>
    <mergeCell ref="L82:M82"/>
    <mergeCell ref="B83:G83"/>
    <mergeCell ref="L83:M83"/>
    <mergeCell ref="B84:M84"/>
    <mergeCell ref="B76:G76"/>
    <mergeCell ref="B77:G77"/>
    <mergeCell ref="B78:G78"/>
    <mergeCell ref="B79:G79"/>
    <mergeCell ref="L76:M76"/>
    <mergeCell ref="L77:M77"/>
    <mergeCell ref="L78:M78"/>
    <mergeCell ref="L79:M79"/>
    <mergeCell ref="B47:M47"/>
    <mergeCell ref="B48:N50"/>
    <mergeCell ref="B51:I51"/>
    <mergeCell ref="L51:M51"/>
    <mergeCell ref="B52:I52"/>
    <mergeCell ref="L52:M52"/>
    <mergeCell ref="B59:I59"/>
    <mergeCell ref="L59:M59"/>
    <mergeCell ref="B60:I60"/>
    <mergeCell ref="L60:M60"/>
    <mergeCell ref="L53:M53"/>
    <mergeCell ref="L54:M54"/>
    <mergeCell ref="L55:M55"/>
    <mergeCell ref="L56:M56"/>
    <mergeCell ref="L57:M57"/>
    <mergeCell ref="B56:I56"/>
    <mergeCell ref="B57:I57"/>
    <mergeCell ref="B58:I58"/>
    <mergeCell ref="B53:I53"/>
    <mergeCell ref="B54:I54"/>
    <mergeCell ref="B55:I55"/>
    <mergeCell ref="L58:M58"/>
    <mergeCell ref="B38:H38"/>
    <mergeCell ref="I38:J38"/>
    <mergeCell ref="L38:M38"/>
    <mergeCell ref="B44:H44"/>
    <mergeCell ref="I44:J44"/>
    <mergeCell ref="L44:M44"/>
    <mergeCell ref="B45:H45"/>
    <mergeCell ref="B46:H46"/>
    <mergeCell ref="I46:J46"/>
    <mergeCell ref="L46:M46"/>
    <mergeCell ref="L45:M45"/>
    <mergeCell ref="I45:J45"/>
    <mergeCell ref="L39:M39"/>
    <mergeCell ref="L40:M40"/>
    <mergeCell ref="L41:M41"/>
    <mergeCell ref="L42:M42"/>
    <mergeCell ref="L43:M43"/>
    <mergeCell ref="B39:H39"/>
    <mergeCell ref="B40:H40"/>
    <mergeCell ref="B41:H41"/>
    <mergeCell ref="B42:H42"/>
    <mergeCell ref="B43:H43"/>
    <mergeCell ref="G28:M28"/>
    <mergeCell ref="B30:N30"/>
    <mergeCell ref="C32:K32"/>
    <mergeCell ref="L32:M32"/>
    <mergeCell ref="C33:K33"/>
    <mergeCell ref="L33:M33"/>
    <mergeCell ref="B34:N36"/>
    <mergeCell ref="B37:H37"/>
    <mergeCell ref="I37:J37"/>
    <mergeCell ref="L37:M37"/>
    <mergeCell ref="E26:M26"/>
    <mergeCell ref="K6:K8"/>
    <mergeCell ref="L6:L8"/>
    <mergeCell ref="M6:M8"/>
    <mergeCell ref="N6:N8"/>
    <mergeCell ref="C8:J8"/>
    <mergeCell ref="D12:G12"/>
    <mergeCell ref="J12:M12"/>
    <mergeCell ref="L13:N13"/>
    <mergeCell ref="H18:M18"/>
    <mergeCell ref="D19:M20"/>
    <mergeCell ref="D22:M22"/>
    <mergeCell ref="D24:M24"/>
    <mergeCell ref="B2:B8"/>
    <mergeCell ref="C2:J2"/>
    <mergeCell ref="K2:K3"/>
    <mergeCell ref="L2:N3"/>
    <mergeCell ref="C3:J3"/>
    <mergeCell ref="C4:J4"/>
    <mergeCell ref="K4:K5"/>
    <mergeCell ref="L4:N5"/>
    <mergeCell ref="C5:J5"/>
    <mergeCell ref="C6:J7"/>
    <mergeCell ref="B61:I61"/>
    <mergeCell ref="L61:M61"/>
    <mergeCell ref="B71:N73"/>
    <mergeCell ref="B62:I62"/>
    <mergeCell ref="L62:M62"/>
    <mergeCell ref="B63:M63"/>
    <mergeCell ref="B64:N66"/>
    <mergeCell ref="B67:H67"/>
    <mergeCell ref="L67:M67"/>
    <mergeCell ref="B68:H68"/>
    <mergeCell ref="L68:M68"/>
    <mergeCell ref="B69:H69"/>
    <mergeCell ref="L69:M69"/>
    <mergeCell ref="B70:M70"/>
  </mergeCells>
  <pageMargins left="0.74803149606299213" right="0.74803149606299213" top="0.98425196850393704" bottom="0.98425196850393704" header="0" footer="0"/>
  <pageSetup scale="5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25</vt:i4>
      </vt:variant>
      <vt:variant>
        <vt:lpstr>Rangos con nombre</vt:lpstr>
      </vt:variant>
      <vt:variant>
        <vt:i4>24</vt:i4>
      </vt:variant>
    </vt:vector>
  </HeadingPairs>
  <TitlesOfParts>
    <vt:vector size="49" baseType="lpstr">
      <vt:lpstr>DATOS INICIALES </vt:lpstr>
      <vt:lpstr>PRESUPUESTO OFICIAL</vt:lpstr>
      <vt:lpstr>Materiales</vt:lpstr>
      <vt:lpstr>Equipo</vt:lpstr>
      <vt:lpstr>Mano de Obra</vt:lpstr>
      <vt:lpstr>SV-01</vt:lpstr>
      <vt:lpstr>SV-02</vt:lpstr>
      <vt:lpstr>SV-03</vt:lpstr>
      <vt:lpstr>SV-04</vt:lpstr>
      <vt:lpstr>SV-05</vt:lpstr>
      <vt:lpstr>SV-06</vt:lpstr>
      <vt:lpstr>SV-07</vt:lpstr>
      <vt:lpstr>SV-08</vt:lpstr>
      <vt:lpstr>SV-09</vt:lpstr>
      <vt:lpstr>SV-10</vt:lpstr>
      <vt:lpstr>SV-11</vt:lpstr>
      <vt:lpstr>SV-12</vt:lpstr>
      <vt:lpstr>SV-13</vt:lpstr>
      <vt:lpstr>SV-14</vt:lpstr>
      <vt:lpstr>SV-15</vt:lpstr>
      <vt:lpstr>SV-16</vt:lpstr>
      <vt:lpstr>SV-17</vt:lpstr>
      <vt:lpstr>SV-18</vt:lpstr>
      <vt:lpstr>SV-19</vt:lpstr>
      <vt:lpstr>SV-20</vt:lpstr>
      <vt:lpstr>Equipo!Área_de_impresión</vt:lpstr>
      <vt:lpstr>'Mano de Obra'!Área_de_impresión</vt:lpstr>
      <vt:lpstr>Materiales!Área_de_impresión</vt:lpstr>
      <vt:lpstr>'PRESUPUESTO OFICIAL'!Área_de_impresión</vt:lpstr>
      <vt:lpstr>'SV-01'!Área_de_impresión</vt:lpstr>
      <vt:lpstr>'SV-02'!Área_de_impresión</vt:lpstr>
      <vt:lpstr>'SV-03'!Área_de_impresión</vt:lpstr>
      <vt:lpstr>'SV-04'!Área_de_impresión</vt:lpstr>
      <vt:lpstr>'SV-05'!Área_de_impresión</vt:lpstr>
      <vt:lpstr>'SV-06'!Área_de_impresión</vt:lpstr>
      <vt:lpstr>'SV-07'!Área_de_impresión</vt:lpstr>
      <vt:lpstr>'SV-08'!Área_de_impresión</vt:lpstr>
      <vt:lpstr>'SV-09'!Área_de_impresión</vt:lpstr>
      <vt:lpstr>'SV-10'!Área_de_impresión</vt:lpstr>
      <vt:lpstr>'SV-11'!Área_de_impresión</vt:lpstr>
      <vt:lpstr>'SV-12'!Área_de_impresión</vt:lpstr>
      <vt:lpstr>'SV-13'!Área_de_impresión</vt:lpstr>
      <vt:lpstr>'SV-14'!Área_de_impresión</vt:lpstr>
      <vt:lpstr>'SV-15'!Área_de_impresión</vt:lpstr>
      <vt:lpstr>'SV-16'!Área_de_impresión</vt:lpstr>
      <vt:lpstr>'SV-17'!Área_de_impresión</vt:lpstr>
      <vt:lpstr>'SV-18'!Área_de_impresión</vt:lpstr>
      <vt:lpstr>'SV-19'!Área_de_impresión</vt:lpstr>
      <vt:lpstr>'SV-20'!Área_de_impresión</vt:lpstr>
    </vt:vector>
  </TitlesOfParts>
  <Company>Insrtituto Nacional de 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Julio Enrique Guevara Jaramillo</cp:lastModifiedBy>
  <cp:lastPrinted>2018-04-13T13:27:39Z</cp:lastPrinted>
  <dcterms:created xsi:type="dcterms:W3CDTF">2006-06-27T16:47:25Z</dcterms:created>
  <dcterms:modified xsi:type="dcterms:W3CDTF">2019-05-09T00:21:36Z</dcterms:modified>
</cp:coreProperties>
</file>