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D:\3. SAN GIL\1. ASESORIA ALCALDIA\3. CASONA\1. BORRADOR CASONA\"/>
    </mc:Choice>
  </mc:AlternateContent>
  <xr:revisionPtr revIDLastSave="0" documentId="8_{85749866-6625-4473-962B-DFA85A22D082}"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(Entidad)'!$K$155</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(Entidad)'!$K$155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(Entidad)'!$K$156</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1" i="265" l="1"/>
  <c r="K72" i="265"/>
  <c r="K73" i="265"/>
  <c r="K70" i="265"/>
  <c r="K14" i="265"/>
  <c r="K15" i="265"/>
  <c r="K16" i="265"/>
  <c r="K17" i="265"/>
  <c r="K18" i="265"/>
  <c r="K19" i="265"/>
  <c r="K74" i="265"/>
  <c r="K75" i="265"/>
  <c r="K76" i="265"/>
  <c r="K77" i="265"/>
  <c r="K112" i="265"/>
  <c r="K123" i="265"/>
  <c r="K131" i="265"/>
  <c r="K119" i="265"/>
  <c r="K78" i="265"/>
  <c r="K79" i="265"/>
  <c r="K38" i="265"/>
  <c r="K39" i="265"/>
  <c r="K40" i="265"/>
  <c r="K37" i="265"/>
  <c r="K36" i="265"/>
  <c r="K99" i="265"/>
  <c r="K140" i="265"/>
  <c r="K109" i="265"/>
  <c r="K102" i="265"/>
  <c r="K101" i="265"/>
  <c r="K142" i="265"/>
  <c r="K143" i="265" s="1"/>
  <c r="K145" i="265"/>
  <c r="K57" i="265"/>
  <c r="K58" i="265"/>
  <c r="K59" i="265"/>
  <c r="K60" i="265"/>
  <c r="K61" i="265"/>
  <c r="K62" i="265"/>
  <c r="K63" i="265"/>
  <c r="K64" i="265"/>
  <c r="K65" i="265"/>
  <c r="K66" i="265"/>
  <c r="K67" i="265"/>
  <c r="K56" i="265"/>
  <c r="K55" i="265"/>
  <c r="K45" i="265"/>
  <c r="K46" i="265"/>
  <c r="K47" i="265"/>
  <c r="K48" i="265"/>
  <c r="K49" i="265"/>
  <c r="K50" i="265"/>
  <c r="K51" i="265"/>
  <c r="K52" i="265"/>
  <c r="K53" i="265"/>
  <c r="K54" i="265"/>
  <c r="K44" i="265"/>
  <c r="K43" i="265"/>
  <c r="K30" i="265"/>
  <c r="K31" i="265"/>
  <c r="K32" i="265"/>
  <c r="K33" i="265"/>
  <c r="K29" i="265"/>
  <c r="K28" i="265"/>
  <c r="K23" i="265"/>
  <c r="K24" i="265"/>
  <c r="K25" i="265"/>
  <c r="K22" i="265"/>
  <c r="K146" i="265"/>
  <c r="J145" i="265"/>
  <c r="J142" i="265"/>
  <c r="K135" i="265"/>
  <c r="K136" i="265"/>
  <c r="K137" i="265"/>
  <c r="K138" i="265"/>
  <c r="K139" i="265"/>
  <c r="K134" i="265"/>
  <c r="K133" i="265"/>
  <c r="J139" i="265"/>
  <c r="J138" i="265"/>
  <c r="J137" i="265"/>
  <c r="J136" i="265"/>
  <c r="J135" i="265"/>
  <c r="J134" i="265"/>
  <c r="J133" i="265"/>
  <c r="K127" i="265"/>
  <c r="K128" i="265"/>
  <c r="K129" i="265"/>
  <c r="K130" i="265"/>
  <c r="K126" i="265"/>
  <c r="K125" i="265"/>
  <c r="J130" i="265"/>
  <c r="J129" i="265"/>
  <c r="J128" i="265"/>
  <c r="J127" i="265"/>
  <c r="J126" i="265"/>
  <c r="J125" i="265"/>
  <c r="K122" i="265"/>
  <c r="K121" i="265"/>
  <c r="J122" i="265"/>
  <c r="J121" i="265"/>
  <c r="J118" i="265"/>
  <c r="K118" i="265" s="1"/>
  <c r="J117" i="265"/>
  <c r="K117" i="265" s="1"/>
  <c r="J116" i="265"/>
  <c r="K116" i="265" s="1"/>
  <c r="J115" i="265"/>
  <c r="K115" i="265" s="1"/>
  <c r="J114" i="265"/>
  <c r="K114" i="265" s="1"/>
  <c r="J111" i="265"/>
  <c r="K111" i="265" s="1"/>
  <c r="J108" i="265"/>
  <c r="K108" i="265" s="1"/>
  <c r="J107" i="265"/>
  <c r="K107" i="265" s="1"/>
  <c r="J106" i="265"/>
  <c r="K106" i="265" s="1"/>
  <c r="J105" i="265"/>
  <c r="K105" i="265" s="1"/>
  <c r="J104" i="265"/>
  <c r="K104" i="265" s="1"/>
  <c r="J103" i="265"/>
  <c r="K103" i="265" s="1"/>
  <c r="J102" i="265"/>
  <c r="J101" i="265"/>
  <c r="J98" i="265"/>
  <c r="K98" i="265" s="1"/>
  <c r="J97" i="265"/>
  <c r="K97" i="265" s="1"/>
  <c r="J96" i="265"/>
  <c r="K96" i="265" s="1"/>
  <c r="J95" i="265"/>
  <c r="K95" i="265" s="1"/>
  <c r="J94" i="265"/>
  <c r="K94" i="265" s="1"/>
  <c r="J93" i="265"/>
  <c r="K93" i="265" s="1"/>
  <c r="J90" i="265"/>
  <c r="K90" i="265" s="1"/>
  <c r="J89" i="265"/>
  <c r="K89" i="265" s="1"/>
  <c r="J88" i="265"/>
  <c r="K88" i="265" s="1"/>
  <c r="J87" i="265"/>
  <c r="K87" i="265" s="1"/>
  <c r="J86" i="265"/>
  <c r="K86" i="265" s="1"/>
  <c r="J85" i="265"/>
  <c r="K85" i="265" s="1"/>
  <c r="J84" i="265"/>
  <c r="K84" i="265" s="1"/>
  <c r="J83" i="265"/>
  <c r="K83" i="265" s="1"/>
  <c r="J82" i="265"/>
  <c r="K82" i="265" s="1"/>
  <c r="J79" i="265"/>
  <c r="J78" i="265"/>
  <c r="J77" i="265"/>
  <c r="J76" i="265"/>
  <c r="J75" i="265"/>
  <c r="J74" i="265"/>
  <c r="J73" i="265"/>
  <c r="J72" i="265"/>
  <c r="J71" i="265"/>
  <c r="J70" i="265"/>
  <c r="J67" i="265"/>
  <c r="J66" i="265"/>
  <c r="J65" i="265"/>
  <c r="J64" i="265"/>
  <c r="J63" i="265"/>
  <c r="J62" i="265"/>
  <c r="J61" i="265"/>
  <c r="J60" i="265"/>
  <c r="J59" i="265"/>
  <c r="J58" i="265"/>
  <c r="J57" i="265"/>
  <c r="J56" i="265"/>
  <c r="J55" i="265"/>
  <c r="J54" i="265"/>
  <c r="J53" i="265"/>
  <c r="J52" i="265"/>
  <c r="J51" i="265"/>
  <c r="J50" i="265"/>
  <c r="J49" i="265"/>
  <c r="J48" i="265"/>
  <c r="J47" i="265"/>
  <c r="J46" i="265"/>
  <c r="J45" i="265"/>
  <c r="J44" i="265"/>
  <c r="J43" i="265"/>
  <c r="J40" i="265"/>
  <c r="J39" i="265"/>
  <c r="J38" i="265"/>
  <c r="J37" i="265"/>
  <c r="J36" i="265"/>
  <c r="J33" i="265"/>
  <c r="J32" i="265"/>
  <c r="J31" i="265"/>
  <c r="J30" i="265"/>
  <c r="J29" i="265"/>
  <c r="J28" i="265"/>
  <c r="J25" i="265"/>
  <c r="J24" i="265"/>
  <c r="J23" i="265"/>
  <c r="J22" i="265"/>
  <c r="J19" i="265"/>
  <c r="J18" i="265"/>
  <c r="J17" i="265"/>
  <c r="J16" i="265"/>
  <c r="J15" i="265"/>
  <c r="J14" i="265"/>
  <c r="K80" i="265" l="1"/>
  <c r="K41" i="265"/>
  <c r="K91" i="265"/>
  <c r="K68" i="265"/>
  <c r="K26" i="265"/>
  <c r="K34" i="265"/>
  <c r="K20" i="265"/>
  <c r="K147" i="265" l="1"/>
</calcChain>
</file>

<file path=xl/sharedStrings.xml><?xml version="1.0" encoding="utf-8"?>
<sst xmlns="http://schemas.openxmlformats.org/spreadsheetml/2006/main" count="404" uniqueCount="239">
  <si>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</si>
  <si>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</si>
  <si>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</si>
  <si>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</si>
  <si>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</si>
  <si>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</si>
  <si>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</si>
  <si>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</si>
  <si>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</si>
  <si>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</si>
  <si>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</si>
  <si>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</si>
  <si>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</si>
  <si>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</si>
  <si>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</si>
  <si>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</si>
  <si>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</si>
  <si>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</si>
  <si>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</si>
  <si>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</si>
  <si>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</si>
  <si>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</si>
  <si>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</si>
  <si>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</si>
  <si>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</si>
  <si>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</si>
  <si>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</si>
  <si>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</si>
  <si>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</si>
  <si>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</si>
  <si>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</si>
  <si>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</si>
  <si>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</si>
  <si>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</si>
  <si>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</si>
  <si>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</si>
  <si>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</si>
  <si>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</si>
  <si>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</si>
  <si>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</si>
  <si>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</si>
  <si>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</si>
  <si>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</si>
  <si>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</si>
  <si>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</si>
  <si>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</si>
  <si>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</si>
  <si>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</si>
  <si>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</si>
  <si>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</si>
  <si>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</si>
  <si>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</si>
  <si>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</si>
  <si>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</si>
  <si>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</si>
  <si>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</si>
  <si>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</si>
  <si>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</si>
  <si>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</si>
  <si>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</si>
  <si>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</si>
  <si>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</si>
  <si>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</si>
  <si>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</si>
  <si>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</si>
  <si>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</si>
  <si>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</si>
  <si>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</si>
  <si>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</si>
  <si>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</si>
  <si>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</si>
  <si>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</si>
  <si>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</si>
  <si>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</si>
  <si>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</si>
  <si>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</si>
  <si>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</si>
  <si>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</si>
  <si>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</si>
  <si>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</si>
  <si>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</si>
  <si>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</si>
  <si>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</si>
  <si>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</si>
  <si>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</si>
  <si>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</si>
  <si>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</si>
  <si>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</si>
  <si>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</si>
  <si>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</si>
  <si>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</si>
  <si>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</si>
  <si>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</si>
  <si>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</si>
  <si>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</si>
  <si>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</si>
  <si>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</si>
  <si>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</si>
  <si>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</si>
  <si>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1,4,1</t>
  </si>
  <si>
    <t>1,4,2</t>
  </si>
  <si>
    <t>Campamento</t>
  </si>
  <si>
    <t>Diseño y fabricación valla informativa 1*1</t>
  </si>
  <si>
    <t>Señalizaciín peatonal y vehicular</t>
  </si>
  <si>
    <t>Revisión retie distribución, transformación y uso final y retilap</t>
  </si>
  <si>
    <t>Estudio, conexión, revisión de instalaciones por la Empresa de Energía Municipal.</t>
  </si>
  <si>
    <t>Diseños, legalización y trámites</t>
  </si>
  <si>
    <t>GLB</t>
  </si>
  <si>
    <t>UND</t>
  </si>
  <si>
    <t>PRELIMINARES</t>
  </si>
  <si>
    <t>DESMONTE DE ESTRUCTURAS EXISTENTES</t>
  </si>
  <si>
    <t>2,1,2</t>
  </si>
  <si>
    <t>Desmonte cubierta tejo de barro</t>
  </si>
  <si>
    <t>Desmonte machimbre y soporte</t>
  </si>
  <si>
    <t>Desmonte estructura de madera</t>
  </si>
  <si>
    <t>Desmonte puertas y ventanas</t>
  </si>
  <si>
    <t>M2</t>
  </si>
  <si>
    <t>EXCAVACIONES</t>
  </si>
  <si>
    <t>Excavación para pilastras en piedra</t>
  </si>
  <si>
    <t xml:space="preserve">Relleno compactado con material común </t>
  </si>
  <si>
    <t xml:space="preserve">Excavación redes hidráulicas principales </t>
  </si>
  <si>
    <t xml:space="preserve">Relleno compactado con material seleccionado (incl. Sumin. Y Transp. del material a obra) </t>
  </si>
  <si>
    <t>Replanteo pisos</t>
  </si>
  <si>
    <t>Retiro de sobrantes (al botadero autorizado)</t>
  </si>
  <si>
    <t>M3</t>
  </si>
  <si>
    <t>ML</t>
  </si>
  <si>
    <t>CIMENTACIONES</t>
  </si>
  <si>
    <t>Concreto simple f'c=210 K/cm2 para pisos</t>
  </si>
  <si>
    <t>Suministro y colocación de base granular</t>
  </si>
  <si>
    <t>Sardinel bordillos</t>
  </si>
  <si>
    <t>Dados concreto 0,40*0,40m</t>
  </si>
  <si>
    <t>Columneta concreto 3000 PSI 0,20*0,20m</t>
  </si>
  <si>
    <t>Caja de inspección aguas negras de 80x80x80cm, en concreto de f'c=2,500psi impermeabilizado, incluye excavación y tape, tapa y herrajes, cañuelas, incluye todo lo necesario para su correcto  funcionamiento</t>
  </si>
  <si>
    <t>Caja de inspección aguas grises de 80x80x80cm, en concreto de f'c=2,500psi impermeabilizado, incluye excavación y tape, tapa y herrajes, cañuelas, incluye todo lo necesario para su correcto  funcionamiento</t>
  </si>
  <si>
    <t>Caja de inspección trampa de grasa de 80x80x80cm, en concreto de f'c=2,500psi impermeabilizado, incluye excavación y tape, tapa y herrajes, cañuelas, divisiones, incluye todo lo necesario para su correcto  funcionamiento</t>
  </si>
  <si>
    <t>Punto sanitario pvc 4"- incl. excavacion y tape</t>
  </si>
  <si>
    <t>Punto sanitario pvc 2"- incl. excavacion y tape</t>
  </si>
  <si>
    <t>Red aguas lluvias pvc 4- incl. excavacion y tape</t>
  </si>
  <si>
    <t xml:space="preserve">Colocación Lavamanos </t>
  </si>
  <si>
    <t>Barras de seguridad, para minusvalidos long. 0.45mt, acabado crmado en acero inoxidable</t>
  </si>
  <si>
    <t>Sanitario  blanco o similar con elementos necesarios para conexión</t>
  </si>
  <si>
    <t>llave control de 1/2" red white- o similar</t>
  </si>
  <si>
    <t>Griferia llave automatica  para lavamanos</t>
  </si>
  <si>
    <t xml:space="preserve">Sifon 3" patios </t>
  </si>
  <si>
    <t>Poceta lavatraperos</t>
  </si>
  <si>
    <t>Rejillas sosco 3x2</t>
  </si>
  <si>
    <t xml:space="preserve">Incrustaciones porcelana: toallero, papelera, jabonera, gancho </t>
  </si>
  <si>
    <t>Tuberia ventilacion 2 plg incluye cajuela</t>
  </si>
  <si>
    <t>Punto reventilacion de 2 plg.</t>
  </si>
  <si>
    <t>Punto Hidráulico en tubería PVCP f =1/2"</t>
  </si>
  <si>
    <t xml:space="preserve">Llave control de 1 plg </t>
  </si>
  <si>
    <t>Tuberia pvc presion 1' incluye excavacion, tape y/o cajuela</t>
  </si>
  <si>
    <t>Punto hidraulico de 1"</t>
  </si>
  <si>
    <t>Tuberia pvc presion 1/2" incluye excavacion, tape y/o cajuela</t>
  </si>
  <si>
    <t>Registros de cierre agua potable</t>
  </si>
  <si>
    <t>Tuberia 4" desague bajantes</t>
  </si>
  <si>
    <t>Tanque de agua 1000 lts Incluye estructura de soporte</t>
  </si>
  <si>
    <t>INSTALACIONES SANITARIAS</t>
  </si>
  <si>
    <t>MUROS Y PAÑETES</t>
  </si>
  <si>
    <t>Sobrecimiento espesor 0.5 piedra comun. Para tapia.altura promedio .45</t>
  </si>
  <si>
    <t>Mamposteria ladrillo masizo</t>
  </si>
  <si>
    <t>Tapia pizada</t>
  </si>
  <si>
    <t>Friso cubierta</t>
  </si>
  <si>
    <t>Pañete de muros en tapia pizada</t>
  </si>
  <si>
    <t>Friso rustico en mortero</t>
  </si>
  <si>
    <t>Pintura rustica para madera</t>
  </si>
  <si>
    <t xml:space="preserve">Vinilo 2 manos, pintura tipo 1 </t>
  </si>
  <si>
    <t>Cal para pañete cubierta</t>
  </si>
  <si>
    <t>Divisiones modulares oficinas</t>
  </si>
  <si>
    <t>ESTRUCTURAS MADERA</t>
  </si>
  <si>
    <t>Columnas de 14x14 cms x 3m</t>
  </si>
  <si>
    <t>Soleras x 6,00m</t>
  </si>
  <si>
    <t>Cumbreras x 6,00m</t>
  </si>
  <si>
    <t>Limahoyas x 6,00 m</t>
  </si>
  <si>
    <t>Correas en madera 5m</t>
  </si>
  <si>
    <t>Correas en madera 6m</t>
  </si>
  <si>
    <t>Limatesas x 6,00 m</t>
  </si>
  <si>
    <t>Dinteles x 4,00 m</t>
  </si>
  <si>
    <t>Dinteles x 2,00 m</t>
  </si>
  <si>
    <t>CIELO RASOS Y CUBIERTAS</t>
  </si>
  <si>
    <t>Suministro e instalacion cubierta en teja de barro 2a</t>
  </si>
  <si>
    <t>Esterilla de guadua</t>
  </si>
  <si>
    <t>Frisado cubierta interna</t>
  </si>
  <si>
    <t>Policarbonato cubierta, con estructura metalica tubular, pintado a fondo y base aceite</t>
  </si>
  <si>
    <t>re inmunizacion estructura en madera rolliza</t>
  </si>
  <si>
    <t>Canales Galvanizadas 20*30*20</t>
  </si>
  <si>
    <t>PISOS Y ENCHAPES</t>
  </si>
  <si>
    <t>Piso en ladrillo tablon</t>
  </si>
  <si>
    <t>Mortero e=0,8 para piso</t>
  </si>
  <si>
    <t>Piso en piedra tallada</t>
  </si>
  <si>
    <t>Enchape antideslizante con guardaescoba cocina color claro</t>
  </si>
  <si>
    <t>Enchape antideslizante con guardaescoba baños color claro</t>
  </si>
  <si>
    <t>Zocalo en piedra .50x.50 tallada</t>
  </si>
  <si>
    <t>Enchape en piedra*0,50m</t>
  </si>
  <si>
    <t>Bordillo de .20x.30 concreto 3000 psi</t>
  </si>
  <si>
    <t>VARIOS EXTERIORES Y PARQUES</t>
  </si>
  <si>
    <t>Silla colonial en hierro</t>
  </si>
  <si>
    <t>INSTALACIONES ELECTRICAS Y ESPECIALES</t>
  </si>
  <si>
    <t>11,1,2</t>
  </si>
  <si>
    <t>11,1,3</t>
  </si>
  <si>
    <t>11,1,4</t>
  </si>
  <si>
    <t>11,1,5</t>
  </si>
  <si>
    <t>11,1,6</t>
  </si>
  <si>
    <t>Suministro e instalacion armado para protecciones (incluye cortacircuitos, pararrayo,cruceta autosoportada)</t>
  </si>
  <si>
    <t>Suministro e instalacion de bajante en tubo 2"x3m imc. (incluye
capacete, curva pvc, union y accesorios de sujeccion).</t>
  </si>
  <si>
    <t>Sistema de puesta a tierra estructuras de media tension (incluye kit de tierra stavol)</t>
  </si>
  <si>
    <t>suministro e instalacion de poste x 12 mts (incluye ahoyada, hincada, aplomada y transporte hasta el sitio de instalacion)</t>
  </si>
  <si>
    <t>Sistema CCTV( incluye 2 camaras monito y sistema de almacenaje de informarcion.)</t>
  </si>
  <si>
    <t>11,2,1</t>
  </si>
  <si>
    <t>11,2,2</t>
  </si>
  <si>
    <t>Tablero tipo estadar</t>
  </si>
  <si>
    <t>Lámparas de emergencia led tipo rayton o similar (autonomía min 1 hora)</t>
  </si>
  <si>
    <t>11,3,1</t>
  </si>
  <si>
    <t>11,3,2</t>
  </si>
  <si>
    <t>11,3,5</t>
  </si>
  <si>
    <t>11,3,4</t>
  </si>
  <si>
    <t>11,3,6</t>
  </si>
  <si>
    <t>11,3,7</t>
  </si>
  <si>
    <t>Salida para toma monofasica doble de 120 voltios - 15 amperios</t>
  </si>
  <si>
    <t>Salida para interruptor sencillo 110V</t>
  </si>
  <si>
    <t>Salida para aire acondicionado mini split 220v</t>
  </si>
  <si>
    <t>Lampara muros tipo colonial 110V</t>
  </si>
  <si>
    <t>Salida para panel led redondo 24w en emt</t>
  </si>
  <si>
    <t>Salida para panel led 120x30cm 40w en emt</t>
  </si>
  <si>
    <t>EQUIPOS Y TABLEROS ELECTRICOS</t>
  </si>
  <si>
    <t>ADECUACIONES ELECTRICAS CAFETERIA, ADMO, BAÑOS</t>
  </si>
  <si>
    <t>CARPINTERIA MADERA-METALICA Y ACERO INOX</t>
  </si>
  <si>
    <t>Puerta pricipal en madera rustica a dos hojas 2,50m</t>
  </si>
  <si>
    <t>Puerta tipo colonial baños a una hoja con gato</t>
  </si>
  <si>
    <t>Puerta tipo colonial a dos hojas ancho 1,20m</t>
  </si>
  <si>
    <t>Isla cocina Industrial</t>
  </si>
  <si>
    <t>Divisiones orinales coll-roled (pintada)</t>
  </si>
  <si>
    <t>Modulares baños lamina cool roled (Pintada)</t>
  </si>
  <si>
    <t xml:space="preserve">Ventana colonial Madera </t>
  </si>
  <si>
    <t>INSTALACIONES REDES GAS</t>
  </si>
  <si>
    <t>ASEO Y LIMPIEZA</t>
  </si>
  <si>
    <t>Excavacion y suministro de red gas cocina Industrial 1/2" (Incluye accesorios)</t>
  </si>
  <si>
    <t>GBL</t>
  </si>
  <si>
    <t>Aseo y limpeza de la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</si>
</sst>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8"/>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thin">
        <color indexed="64"/>
      </top>
      <bottom style="thin">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3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49" fillId="0" borderId="34" xfId="128" applyFont="1" applyBorder="1" applyAlignment="1">
      <alignment horizontal="left" vertical="center" wrapText="1"/>
    </xf>
    <xf numFmtId="0" fontId="51" fillId="24" borderId="60" xfId="73" applyFont="1" applyFill="1" applyBorder="1" applyAlignment="1">
      <alignment vertical="center"/>
    </xf>
    <xf numFmtId="0" fontId="51" fillId="24" borderId="59" xfId="73" applyFont="1" applyFill="1" applyBorder="1" applyAlignment="1">
      <alignment vertical="center"/>
    </xf>
    <xf numFmtId="0" fontId="51" fillId="24" borderId="58" xfId="73" applyFont="1" applyFill="1" applyBorder="1" applyAlignment="1">
      <alignment vertical="center"/>
    </xf>
    <xf numFmtId="0" fontId="49" fillId="0" borderId="32" xfId="73" applyFont="1" applyBorder="1" applyAlignment="1">
      <alignment horizontal="center" vertical="center"/>
    </xf>
    <xf numFmtId="0" fontId="49" fillId="0" borderId="29" xfId="74" applyFont="1" applyBorder="1" applyAlignment="1">
      <alignment horizontal="center" vertical="center"/>
    </xf>
    <xf numFmtId="0" fontId="49" fillId="0" borderId="29" xfId="74" applyFont="1" applyBorder="1" applyAlignment="1">
      <alignment horizontal="left" vertical="center" wrapText="1"/>
    </xf>
    <xf numFmtId="4" fontId="49" fillId="0" borderId="29" xfId="39" applyNumberFormat="1" applyFont="1" applyBorder="1" applyAlignment="1">
      <alignment vertical="center" wrapText="1"/>
    </xf>
    <xf numFmtId="167" fontId="49" fillId="0" borderId="29" xfId="62" applyNumberFormat="1" applyFont="1" applyBorder="1" applyAlignment="1">
      <alignment horizontal="right" vertical="center" wrapText="1"/>
    </xf>
    <xf numFmtId="4" fontId="49" fillId="0" borderId="64" xfId="39" applyNumberFormat="1" applyFont="1" applyBorder="1" applyAlignment="1">
      <alignment vertical="center" wrapText="1"/>
    </xf>
    <xf numFmtId="4" fontId="49" fillId="0" borderId="29" xfId="39" applyNumberFormat="1" applyFont="1" applyBorder="1" applyAlignment="1">
      <alignment horizontal="center" vertical="center" wrapText="1"/>
    </xf>
    <xf numFmtId="4" fontId="49" fillId="0" borderId="18" xfId="39" applyNumberFormat="1" applyFont="1" applyBorder="1" applyAlignment="1">
      <alignment horizontal="center" vertical="center" wrapText="1"/>
    </xf>
    <xf numFmtId="2" fontId="49" fillId="0" borderId="18" xfId="73" applyNumberFormat="1" applyFont="1" applyBorder="1" applyAlignment="1">
      <alignment horizontal="center" vertical="center"/>
    </xf>
    <xf numFmtId="0" fontId="49" fillId="0" borderId="29" xfId="73" applyFont="1" applyBorder="1" applyAlignment="1">
      <alignment horizontal="center" vertical="center"/>
    </xf>
    <xf numFmtId="0" fontId="49" fillId="0" borderId="29" xfId="73" applyFont="1" applyBorder="1" applyAlignment="1">
      <alignment horizontal="left" vertical="center" wrapText="1"/>
    </xf>
    <xf numFmtId="4" fontId="49" fillId="0" borderId="20" xfId="39" applyNumberFormat="1" applyFont="1" applyBorder="1" applyAlignment="1">
      <alignment vertical="center" wrapText="1"/>
    </xf>
    <xf numFmtId="9" fontId="49" fillId="0" borderId="16" xfId="129" applyNumberFormat="1" applyFont="1" applyBorder="1" applyAlignment="1">
      <alignment horizontal="center" vertical="center"/>
    </xf>
    <xf numFmtId="181" fontId="49" fillId="0" borderId="16" xfId="129" applyNumberFormat="1" applyFont="1" applyBorder="1" applyAlignment="1">
      <alignment vertical="center"/>
    </xf>
    <xf numFmtId="0" fontId="49" fillId="0" borderId="16" xfId="128" applyFont="1" applyBorder="1" applyAlignment="1">
      <alignment horizontal="right" vertical="center"/>
    </xf>
    <xf numFmtId="0" fontId="49" fillId="0" borderId="22" xfId="128" applyFont="1" applyBorder="1" applyAlignment="1">
      <alignment horizontal="right" vertical="center"/>
    </xf>
    <xf numFmtId="0" fontId="49" fillId="0" borderId="31" xfId="128" applyFont="1" applyBorder="1" applyAlignment="1">
      <alignment vertical="center"/>
    </xf>
    <xf numFmtId="181" fontId="49" fillId="0" borderId="71" xfId="129" applyNumberFormat="1" applyFont="1" applyBorder="1" applyAlignment="1">
      <alignment vertical="center"/>
    </xf>
    <xf numFmtId="181" fontId="51" fillId="0" borderId="89" xfId="129" applyNumberFormat="1" applyFont="1" applyBorder="1" applyAlignment="1">
      <alignment vertical="center"/>
    </xf>
    <xf numFmtId="187" fontId="51" fillId="24" borderId="61" xfId="73" applyNumberFormat="1" applyFont="1" applyFill="1" applyBorder="1" applyAlignment="1">
      <alignment vertical="center"/>
    </xf>
    <xf numFmtId="0" fontId="49" fillId="0" borderId="25" xfId="73" applyFont="1" applyBorder="1" applyAlignment="1">
      <alignment horizontal="center" vertical="center"/>
    </xf>
    <xf numFmtId="0" fontId="49" fillId="0" borderId="25" xfId="73" applyFont="1" applyBorder="1" applyAlignment="1">
      <alignment horizontal="left" vertical="center" wrapText="1"/>
    </xf>
    <xf numFmtId="167" fontId="49" fillId="0" borderId="25" xfId="62" applyNumberFormat="1" applyFont="1" applyBorder="1" applyAlignment="1">
      <alignment horizontal="right" vertical="center" wrapText="1"/>
    </xf>
    <xf numFmtId="4" fontId="49" fillId="0" borderId="25" xfId="39" applyNumberFormat="1" applyFont="1" applyBorder="1" applyAlignment="1">
      <alignment horizontal="center" vertical="center" wrapText="1"/>
    </xf>
    <xf numFmtId="4" fontId="49" fillId="0" borderId="20" xfId="39" applyNumberFormat="1" applyFont="1" applyBorder="1" applyAlignment="1">
      <alignment horizontal="center" vertical="center" wrapText="1"/>
    </xf>
    <xf numFmtId="0" fontId="51" fillId="24" borderId="43" xfId="73" applyFont="1" applyFill="1" applyBorder="1" applyAlignment="1">
      <alignment horizontal="center" vertical="center"/>
    </xf>
    <xf numFmtId="187" fontId="51" fillId="24" borderId="44" xfId="135" applyNumberFormat="1" applyFont="1" applyFill="1" applyBorder="1" applyAlignment="1">
      <alignment vertical="center"/>
    </xf>
    <xf numFmtId="167" fontId="51" fillId="0" borderId="30" xfId="62" applyNumberFormat="1" applyFont="1" applyBorder="1" applyAlignment="1">
      <alignment horizontal="right" vertical="center" wrapText="1"/>
    </xf>
    <xf numFmtId="204" fontId="29" fillId="0" borderId="0" xfId="89" applyNumberFormat="1" applyFont="1"/>
    <xf numFmtId="167" fontId="49" fillId="0" borderId="19" xfId="62" applyNumberFormat="1" applyFont="1" applyBorder="1" applyAlignment="1">
      <alignment horizontal="right" vertical="center" wrapText="1"/>
    </xf>
    <xf numFmtId="0" fontId="32" fillId="0" borderId="87" xfId="89" applyFont="1" applyBorder="1"/>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24" borderId="41" xfId="135" applyFont="1" applyFill="1" applyBorder="1" applyAlignment="1">
      <alignment horizontal="right" vertical="center"/>
    </xf>
    <xf numFmtId="0" fontId="51" fillId="24" borderId="43" xfId="135" applyFont="1" applyFill="1" applyBorder="1" applyAlignment="1">
      <alignment horizontal="right" vertical="center"/>
    </xf>
    <xf numFmtId="0" fontId="51" fillId="24" borderId="53" xfId="135" applyFont="1" applyFill="1" applyBorder="1" applyAlignment="1">
      <alignment horizontal="right" vertical="center"/>
    </xf>
    <xf numFmtId="0" fontId="51" fillId="0" borderId="0" xfId="130" applyFont="1" applyAlignment="1">
      <alignment horizontal="center" vertical="top"/>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Resumen"/>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160"/>
  <sheetViews>
    <sheetView showGridLines="0" tabSelected="1" view="pageBreakPreview" topLeftCell="E107" zoomScaleNormal="100" zoomScaleSheetLayoutView="100" zoomScalePageLayoutView="55" workbookViewId="0">
      <selection activeCell="K72" sqref="K72"/>
    </sheetView>
  </sheetViews>
  <sheetFormatPr baseColWidth="10" defaultColWidth="11.44140625" defaultRowHeight="13.8"/>
  <cols>
    <col min="1" max="2" width="3.44140625" style="1" customWidth="1"/>
    <col min="3" max="3" width="10.109375" style="1" bestFit="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4" width="13.21875" style="1" bestFit="1" customWidth="1"/>
    <col min="15" max="16384" width="11.44140625" style="1"/>
  </cols>
  <sheetData>
    <row r="1" spans="1:13" ht="16.2" thickBot="1">
      <c r="A1" s="5"/>
      <c r="B1" s="5"/>
      <c r="C1" s="5"/>
      <c r="D1" s="5"/>
      <c r="E1" s="6"/>
      <c r="F1" s="5"/>
      <c r="G1" s="5"/>
      <c r="H1" s="5"/>
      <c r="I1" s="5"/>
      <c r="J1" s="5"/>
      <c r="K1" s="5"/>
      <c r="L1" s="5"/>
      <c r="M1" s="5"/>
    </row>
    <row r="2" spans="1:13" ht="16.2" thickTop="1">
      <c r="A2" s="5"/>
      <c r="B2" s="7"/>
      <c r="C2" s="228"/>
      <c r="D2" s="228"/>
      <c r="E2" s="229"/>
      <c r="F2" s="228"/>
      <c r="G2" s="228"/>
      <c r="H2" s="228"/>
      <c r="I2" s="228"/>
      <c r="J2" s="228"/>
      <c r="K2" s="228"/>
      <c r="L2" s="8"/>
      <c r="M2" s="5"/>
    </row>
    <row r="3" spans="1:13" ht="27" customHeight="1">
      <c r="A3" s="5"/>
      <c r="B3" s="9"/>
      <c r="C3" s="290" t="s">
        <v>95</v>
      </c>
      <c r="D3" s="291"/>
      <c r="E3" s="291"/>
      <c r="F3" s="291"/>
      <c r="G3" s="5"/>
      <c r="H3" s="5"/>
      <c r="I3" s="5"/>
      <c r="J3" s="5"/>
      <c r="K3" s="5"/>
      <c r="L3" s="10"/>
      <c r="M3" s="5"/>
    </row>
    <row r="4" spans="1:13" ht="15.6">
      <c r="A4" s="5"/>
      <c r="B4" s="9"/>
      <c r="C4" s="204" t="s">
        <v>0</v>
      </c>
      <c r="D4" s="203" t="s">
        <v>98</v>
      </c>
      <c r="E4" s="204" t="s">
        <v>1</v>
      </c>
      <c r="F4" s="205">
        <v>1</v>
      </c>
      <c r="G4" s="5"/>
      <c r="H4" s="5"/>
      <c r="I4" s="5"/>
      <c r="J4" s="5"/>
      <c r="K4" s="5"/>
      <c r="L4" s="10"/>
      <c r="M4" s="5"/>
    </row>
    <row r="5" spans="1:13" ht="15.6">
      <c r="A5" s="5"/>
      <c r="B5" s="9"/>
      <c r="C5" s="310"/>
      <c r="D5" s="310"/>
      <c r="E5" s="310"/>
      <c r="F5" s="310"/>
      <c r="G5" s="310"/>
      <c r="H5" s="310"/>
      <c r="I5" s="310"/>
      <c r="J5" s="310"/>
      <c r="K5" s="310"/>
      <c r="L5" s="10"/>
      <c r="M5" s="5"/>
    </row>
    <row r="6" spans="1:13" ht="16.2" thickBot="1">
      <c r="A6" s="5"/>
      <c r="B6" s="9"/>
      <c r="C6" s="306" t="s">
        <v>2</v>
      </c>
      <c r="D6" s="306"/>
      <c r="E6" s="306"/>
      <c r="F6" s="306"/>
      <c r="G6" s="306"/>
      <c r="H6" s="306"/>
      <c r="I6" s="306"/>
      <c r="J6" s="306"/>
      <c r="K6" s="306"/>
      <c r="L6" s="10"/>
      <c r="M6" s="5"/>
    </row>
    <row r="7" spans="1:13" s="20" customFormat="1" ht="15.6">
      <c r="A7" s="19"/>
      <c r="B7" s="219"/>
      <c r="C7" s="272" t="s">
        <v>84</v>
      </c>
      <c r="D7" s="273"/>
      <c r="E7" s="273"/>
      <c r="F7" s="273"/>
      <c r="G7" s="273"/>
      <c r="H7" s="273"/>
      <c r="I7" s="273"/>
      <c r="J7" s="273"/>
      <c r="K7" s="274"/>
      <c r="L7" s="21"/>
      <c r="M7" s="19"/>
    </row>
    <row r="8" spans="1:13" ht="43.5" customHeight="1">
      <c r="A8" s="5"/>
      <c r="B8" s="220"/>
      <c r="C8" s="275"/>
      <c r="D8" s="276"/>
      <c r="E8" s="276"/>
      <c r="F8" s="276"/>
      <c r="G8" s="276"/>
      <c r="H8" s="276"/>
      <c r="I8" s="276"/>
      <c r="J8" s="276"/>
      <c r="K8" s="277"/>
      <c r="L8" s="10"/>
      <c r="M8" s="5"/>
    </row>
    <row r="9" spans="1:13" ht="34.5" customHeight="1">
      <c r="A9" s="5"/>
      <c r="B9" s="220"/>
      <c r="C9" s="278" t="s">
        <v>85</v>
      </c>
      <c r="D9" s="279"/>
      <c r="E9" s="279"/>
      <c r="F9" s="279"/>
      <c r="G9" s="279"/>
      <c r="H9" s="279"/>
      <c r="I9" s="279"/>
      <c r="J9" s="279"/>
      <c r="K9" s="280"/>
      <c r="L9" s="10"/>
      <c r="M9" s="5"/>
    </row>
    <row r="10" spans="1:13" ht="30" customHeight="1" thickBot="1">
      <c r="A10" s="5"/>
      <c r="B10" s="9"/>
      <c r="C10" s="294"/>
      <c r="D10" s="295"/>
      <c r="E10" s="295"/>
      <c r="F10" s="295"/>
      <c r="G10" s="295"/>
      <c r="H10" s="295"/>
      <c r="I10" s="295"/>
      <c r="J10" s="295"/>
      <c r="K10" s="296"/>
      <c r="L10" s="10"/>
      <c r="M10" s="5"/>
    </row>
    <row r="11" spans="1:13" ht="30" customHeight="1">
      <c r="A11" s="5"/>
      <c r="B11" s="9"/>
      <c r="C11" s="285" t="s">
        <v>3</v>
      </c>
      <c r="D11" s="287" t="s">
        <v>4</v>
      </c>
      <c r="E11" s="289" t="s">
        <v>5</v>
      </c>
      <c r="F11" s="289"/>
      <c r="G11" s="285" t="s">
        <v>6</v>
      </c>
      <c r="H11" s="287" t="s">
        <v>7</v>
      </c>
      <c r="I11" s="287" t="s">
        <v>8</v>
      </c>
      <c r="J11" s="281" t="s">
        <v>9</v>
      </c>
      <c r="K11" s="283" t="s">
        <v>10</v>
      </c>
      <c r="L11" s="10"/>
      <c r="M11" s="5"/>
    </row>
    <row r="12" spans="1:13" ht="30" customHeight="1" thickBot="1">
      <c r="A12" s="5"/>
      <c r="B12" s="9"/>
      <c r="C12" s="286"/>
      <c r="D12" s="288"/>
      <c r="E12" s="129" t="s">
        <v>11</v>
      </c>
      <c r="F12" s="129" t="s">
        <v>12</v>
      </c>
      <c r="G12" s="286"/>
      <c r="H12" s="288"/>
      <c r="I12" s="288"/>
      <c r="J12" s="282"/>
      <c r="K12" s="284"/>
      <c r="L12" s="10"/>
      <c r="M12" s="5"/>
    </row>
    <row r="13" spans="1:13" ht="30" customHeight="1" thickBot="1">
      <c r="A13" s="5"/>
      <c r="B13" s="9"/>
      <c r="C13" s="238">
        <v>1</v>
      </c>
      <c r="D13" s="239" t="s">
        <v>109</v>
      </c>
      <c r="E13" s="239"/>
      <c r="F13" s="239"/>
      <c r="G13" s="239"/>
      <c r="H13" s="239"/>
      <c r="I13" s="239"/>
      <c r="J13" s="239"/>
      <c r="K13" s="240"/>
      <c r="L13" s="10"/>
      <c r="M13" s="5"/>
    </row>
    <row r="14" spans="1:13" ht="30" customHeight="1">
      <c r="A14" s="5"/>
      <c r="B14" s="9"/>
      <c r="C14" s="241">
        <v>1</v>
      </c>
      <c r="D14" s="242">
        <v>1.1000000000000001</v>
      </c>
      <c r="E14" s="242"/>
      <c r="F14" s="242"/>
      <c r="G14" s="243" t="s">
        <v>101</v>
      </c>
      <c r="H14" s="242" t="s">
        <v>107</v>
      </c>
      <c r="I14" s="247">
        <v>1</v>
      </c>
      <c r="J14" s="245">
        <f>915215*(1+35%)</f>
        <v>1235540.25</v>
      </c>
      <c r="K14" s="221">
        <f>+ROUND(J14*I14,0)</f>
        <v>1235540</v>
      </c>
      <c r="L14" s="10"/>
      <c r="M14" s="5"/>
    </row>
    <row r="15" spans="1:13" ht="30" customHeight="1">
      <c r="A15" s="5"/>
      <c r="B15" s="9"/>
      <c r="C15" s="162">
        <v>2</v>
      </c>
      <c r="D15" s="134">
        <v>1.2</v>
      </c>
      <c r="E15" s="134"/>
      <c r="F15" s="134"/>
      <c r="G15" s="135" t="s">
        <v>102</v>
      </c>
      <c r="H15" s="134" t="s">
        <v>108</v>
      </c>
      <c r="I15" s="248">
        <v>1</v>
      </c>
      <c r="J15" s="137">
        <f>985642*(1+35%)</f>
        <v>1330616.7000000002</v>
      </c>
      <c r="K15" s="138">
        <f>+ROUND(I15*J15,0)</f>
        <v>1330617</v>
      </c>
      <c r="L15" s="10"/>
      <c r="M15" s="5"/>
    </row>
    <row r="16" spans="1:13" ht="30" customHeight="1">
      <c r="A16" s="5"/>
      <c r="B16" s="9"/>
      <c r="C16" s="162">
        <v>3</v>
      </c>
      <c r="D16" s="134">
        <v>1.3</v>
      </c>
      <c r="E16" s="134"/>
      <c r="F16" s="134"/>
      <c r="G16" s="135" t="s">
        <v>103</v>
      </c>
      <c r="H16" s="134" t="s">
        <v>107</v>
      </c>
      <c r="I16" s="248">
        <v>1</v>
      </c>
      <c r="J16" s="137">
        <f>603157*(1+35%)</f>
        <v>814261.95000000007</v>
      </c>
      <c r="K16" s="138">
        <f t="shared" ref="K16:K19" si="0">+ROUND(I16*J16,0)</f>
        <v>814262</v>
      </c>
      <c r="L16" s="10"/>
      <c r="M16" s="5"/>
    </row>
    <row r="17" spans="1:13" ht="30" customHeight="1">
      <c r="A17" s="5"/>
      <c r="B17" s="9"/>
      <c r="C17" s="162">
        <v>4</v>
      </c>
      <c r="D17" s="134" t="s">
        <v>99</v>
      </c>
      <c r="E17" s="134"/>
      <c r="F17" s="134"/>
      <c r="G17" s="135" t="s">
        <v>104</v>
      </c>
      <c r="H17" s="134" t="s">
        <v>108</v>
      </c>
      <c r="I17" s="248">
        <v>1</v>
      </c>
      <c r="J17" s="137">
        <f>1968500*(1+35%)</f>
        <v>2657475</v>
      </c>
      <c r="K17" s="138">
        <f t="shared" si="0"/>
        <v>2657475</v>
      </c>
      <c r="L17" s="10"/>
      <c r="M17" s="5"/>
    </row>
    <row r="18" spans="1:13" ht="30" customHeight="1">
      <c r="A18" s="5"/>
      <c r="B18" s="9"/>
      <c r="C18" s="162">
        <v>5</v>
      </c>
      <c r="D18" s="134" t="s">
        <v>100</v>
      </c>
      <c r="E18" s="134"/>
      <c r="F18" s="134"/>
      <c r="G18" s="135" t="s">
        <v>105</v>
      </c>
      <c r="H18" s="134" t="s">
        <v>108</v>
      </c>
      <c r="I18" s="248">
        <v>1</v>
      </c>
      <c r="J18" s="137">
        <f>1957680*(1+35%)</f>
        <v>2642868</v>
      </c>
      <c r="K18" s="138">
        <f t="shared" si="0"/>
        <v>2642868</v>
      </c>
      <c r="L18" s="10"/>
      <c r="M18" s="5"/>
    </row>
    <row r="19" spans="1:13" ht="30" customHeight="1">
      <c r="A19" s="5"/>
      <c r="B19" s="9"/>
      <c r="C19" s="162">
        <v>6</v>
      </c>
      <c r="D19" s="134">
        <v>1.5</v>
      </c>
      <c r="E19" s="134"/>
      <c r="F19" s="134"/>
      <c r="G19" s="135" t="s">
        <v>106</v>
      </c>
      <c r="H19" s="134" t="s">
        <v>108</v>
      </c>
      <c r="I19" s="248">
        <v>1</v>
      </c>
      <c r="J19" s="137">
        <f>1965631*(1+35%)</f>
        <v>2653601.85</v>
      </c>
      <c r="K19" s="138">
        <f t="shared" si="0"/>
        <v>2653602</v>
      </c>
      <c r="L19" s="10"/>
      <c r="M19" s="5"/>
    </row>
    <row r="20" spans="1:13" ht="30" customHeight="1" thickBot="1">
      <c r="A20" s="5"/>
      <c r="B20" s="9"/>
      <c r="C20" s="139" t="s">
        <v>13</v>
      </c>
      <c r="D20" s="140"/>
      <c r="E20" s="140"/>
      <c r="F20" s="140"/>
      <c r="G20" s="141"/>
      <c r="H20" s="140"/>
      <c r="I20" s="246"/>
      <c r="J20" s="142"/>
      <c r="K20" s="143">
        <f>+SUM(K14:K19)</f>
        <v>11334364</v>
      </c>
      <c r="L20" s="10"/>
      <c r="M20" s="5"/>
    </row>
    <row r="21" spans="1:13" ht="30" customHeight="1" thickBot="1">
      <c r="A21" s="5"/>
      <c r="B21" s="9"/>
      <c r="C21" s="130">
        <v>2</v>
      </c>
      <c r="D21" s="131" t="s">
        <v>110</v>
      </c>
      <c r="E21" s="131"/>
      <c r="F21" s="131"/>
      <c r="G21" s="131"/>
      <c r="H21" s="131"/>
      <c r="I21" s="131"/>
      <c r="J21" s="131"/>
      <c r="K21" s="132"/>
      <c r="L21" s="10"/>
      <c r="M21" s="5"/>
    </row>
    <row r="22" spans="1:13" ht="30" customHeight="1">
      <c r="A22" s="5"/>
      <c r="B22" s="9"/>
      <c r="C22" s="133">
        <v>7</v>
      </c>
      <c r="D22" s="134">
        <v>2.1</v>
      </c>
      <c r="E22" s="134"/>
      <c r="F22" s="134"/>
      <c r="G22" s="144" t="s">
        <v>112</v>
      </c>
      <c r="H22" s="134" t="s">
        <v>116</v>
      </c>
      <c r="I22" s="248">
        <v>650</v>
      </c>
      <c r="J22" s="137">
        <f>38581*(1+35%)</f>
        <v>52084.350000000006</v>
      </c>
      <c r="K22" s="145">
        <f>+ROUND(I22*J22,0)</f>
        <v>33854828</v>
      </c>
      <c r="L22" s="10"/>
      <c r="M22" s="5"/>
    </row>
    <row r="23" spans="1:13" ht="30" customHeight="1">
      <c r="A23" s="5"/>
      <c r="B23" s="9"/>
      <c r="C23" s="133">
        <v>8</v>
      </c>
      <c r="D23" s="134" t="s">
        <v>111</v>
      </c>
      <c r="E23" s="134"/>
      <c r="F23" s="134"/>
      <c r="G23" s="144" t="s">
        <v>113</v>
      </c>
      <c r="H23" s="134" t="s">
        <v>116</v>
      </c>
      <c r="I23" s="248">
        <v>650</v>
      </c>
      <c r="J23" s="137">
        <f>31891*(1+35%)</f>
        <v>43052.850000000006</v>
      </c>
      <c r="K23" s="145">
        <f>+ROUNDDOWN(I23*J23,0)</f>
        <v>27984352</v>
      </c>
      <c r="L23" s="10"/>
      <c r="M23" s="5"/>
    </row>
    <row r="24" spans="1:13" s="5" customFormat="1" ht="30" customHeight="1">
      <c r="B24" s="9"/>
      <c r="C24" s="133">
        <v>9</v>
      </c>
      <c r="D24" s="146">
        <v>2.2000000000000002</v>
      </c>
      <c r="E24" s="146"/>
      <c r="F24" s="146"/>
      <c r="G24" s="147" t="s">
        <v>114</v>
      </c>
      <c r="H24" s="146" t="s">
        <v>116</v>
      </c>
      <c r="I24" s="248">
        <v>650</v>
      </c>
      <c r="J24" s="137">
        <f>10883*(1+35%)</f>
        <v>14692.050000000001</v>
      </c>
      <c r="K24" s="145">
        <f t="shared" ref="K24:K25" si="1">+ROUND(I24*J24,0)</f>
        <v>9549833</v>
      </c>
      <c r="L24" s="10"/>
    </row>
    <row r="25" spans="1:13" ht="30" customHeight="1">
      <c r="B25" s="16"/>
      <c r="C25" s="133">
        <v>10</v>
      </c>
      <c r="D25" s="134">
        <v>2.2999999999999998</v>
      </c>
      <c r="E25" s="134"/>
      <c r="F25" s="134"/>
      <c r="G25" s="144" t="s">
        <v>115</v>
      </c>
      <c r="H25" s="134" t="s">
        <v>107</v>
      </c>
      <c r="I25" s="248">
        <v>1</v>
      </c>
      <c r="J25" s="137">
        <f>1122000*(1+35%)</f>
        <v>1514700</v>
      </c>
      <c r="K25" s="145">
        <f t="shared" si="1"/>
        <v>1514700</v>
      </c>
      <c r="L25" s="17"/>
    </row>
    <row r="26" spans="1:13" ht="30" customHeight="1" thickBot="1">
      <c r="A26" s="5"/>
      <c r="B26" s="9"/>
      <c r="C26" s="139" t="s">
        <v>13</v>
      </c>
      <c r="D26" s="148"/>
      <c r="E26" s="149"/>
      <c r="F26" s="148"/>
      <c r="G26" s="148"/>
      <c r="H26" s="148"/>
      <c r="I26" s="136"/>
      <c r="J26" s="148"/>
      <c r="K26" s="143">
        <f>+SUM(K22:K25)</f>
        <v>72903713</v>
      </c>
      <c r="L26" s="10"/>
      <c r="M26" s="5"/>
    </row>
    <row r="27" spans="1:13" ht="30" customHeight="1" thickBot="1">
      <c r="A27" s="5"/>
      <c r="B27" s="9"/>
      <c r="C27" s="130">
        <v>3</v>
      </c>
      <c r="D27" s="131" t="s">
        <v>117</v>
      </c>
      <c r="E27" s="131"/>
      <c r="F27" s="131"/>
      <c r="G27" s="131"/>
      <c r="H27" s="131"/>
      <c r="I27" s="131"/>
      <c r="J27" s="131"/>
      <c r="K27" s="132"/>
      <c r="L27" s="10"/>
      <c r="M27" s="5"/>
    </row>
    <row r="28" spans="1:13" ht="30" customHeight="1">
      <c r="A28" s="5"/>
      <c r="B28" s="9"/>
      <c r="C28" s="133">
        <v>11</v>
      </c>
      <c r="D28" s="150">
        <v>3.1</v>
      </c>
      <c r="E28" s="150"/>
      <c r="F28" s="150"/>
      <c r="G28" s="151" t="s">
        <v>118</v>
      </c>
      <c r="H28" s="150" t="s">
        <v>108</v>
      </c>
      <c r="I28" s="248">
        <v>70</v>
      </c>
      <c r="J28" s="137">
        <f>168300*(1+35%)</f>
        <v>227205.00000000003</v>
      </c>
      <c r="K28" s="221">
        <f>+ROUND(I28*J28,0)</f>
        <v>15904350</v>
      </c>
      <c r="L28" s="10"/>
      <c r="M28" s="5"/>
    </row>
    <row r="29" spans="1:13" ht="30" customHeight="1">
      <c r="A29" s="5"/>
      <c r="B29" s="9"/>
      <c r="C29" s="133">
        <v>12</v>
      </c>
      <c r="D29" s="152">
        <v>3.2</v>
      </c>
      <c r="E29" s="152"/>
      <c r="F29" s="152"/>
      <c r="G29" s="151" t="s">
        <v>119</v>
      </c>
      <c r="H29" s="150" t="s">
        <v>124</v>
      </c>
      <c r="I29" s="248">
        <v>7</v>
      </c>
      <c r="J29" s="137">
        <f>158460*(1+35%)</f>
        <v>213921</v>
      </c>
      <c r="K29" s="145">
        <f>+ROUND(I29*J29,0)</f>
        <v>1497447</v>
      </c>
      <c r="L29" s="10"/>
      <c r="M29" s="5"/>
    </row>
    <row r="30" spans="1:13" ht="30" customHeight="1">
      <c r="A30" s="5"/>
      <c r="B30" s="9"/>
      <c r="C30" s="133">
        <v>13</v>
      </c>
      <c r="D30" s="150">
        <v>3.3</v>
      </c>
      <c r="E30" s="150"/>
      <c r="F30" s="150"/>
      <c r="G30" s="151" t="s">
        <v>120</v>
      </c>
      <c r="H30" s="150" t="s">
        <v>125</v>
      </c>
      <c r="I30" s="248">
        <v>30</v>
      </c>
      <c r="J30" s="137">
        <f>202060*(1+35%)</f>
        <v>272781</v>
      </c>
      <c r="K30" s="145">
        <f t="shared" ref="K30:K33" si="2">+ROUND(I30*J30,0)</f>
        <v>8183430</v>
      </c>
      <c r="L30" s="10"/>
      <c r="M30" s="5"/>
    </row>
    <row r="31" spans="1:13" s="5" customFormat="1" ht="30" customHeight="1">
      <c r="B31" s="9"/>
      <c r="C31" s="133">
        <v>14</v>
      </c>
      <c r="D31" s="146">
        <v>3.4</v>
      </c>
      <c r="E31" s="146"/>
      <c r="F31" s="146"/>
      <c r="G31" s="153" t="s">
        <v>121</v>
      </c>
      <c r="H31" s="146" t="s">
        <v>124</v>
      </c>
      <c r="I31" s="248">
        <v>8</v>
      </c>
      <c r="J31" s="137">
        <f>166203*(1+35%)</f>
        <v>224374.05000000002</v>
      </c>
      <c r="K31" s="145">
        <f t="shared" si="2"/>
        <v>1794992</v>
      </c>
      <c r="L31" s="10"/>
    </row>
    <row r="32" spans="1:13" ht="30" customHeight="1">
      <c r="A32" s="5"/>
      <c r="B32" s="9"/>
      <c r="C32" s="133">
        <v>15</v>
      </c>
      <c r="D32" s="150">
        <v>3.5</v>
      </c>
      <c r="E32" s="150"/>
      <c r="F32" s="150"/>
      <c r="G32" s="151" t="s">
        <v>122</v>
      </c>
      <c r="H32" s="150" t="s">
        <v>116</v>
      </c>
      <c r="I32" s="248">
        <v>1049</v>
      </c>
      <c r="J32" s="137">
        <f>16909*(1+35%)</f>
        <v>22827.15</v>
      </c>
      <c r="K32" s="145">
        <f t="shared" si="2"/>
        <v>23945680</v>
      </c>
      <c r="L32" s="10"/>
      <c r="M32" s="5"/>
    </row>
    <row r="33" spans="1:13" s="5" customFormat="1" ht="30" customHeight="1">
      <c r="B33" s="9"/>
      <c r="C33" s="155">
        <v>16</v>
      </c>
      <c r="D33" s="146">
        <v>3.6</v>
      </c>
      <c r="E33" s="146"/>
      <c r="F33" s="146"/>
      <c r="G33" s="153" t="s">
        <v>123</v>
      </c>
      <c r="H33" s="146" t="s">
        <v>124</v>
      </c>
      <c r="I33" s="248">
        <v>75</v>
      </c>
      <c r="J33" s="137">
        <f>77250*(1+35%)</f>
        <v>104287.5</v>
      </c>
      <c r="K33" s="145">
        <f t="shared" si="2"/>
        <v>7821563</v>
      </c>
      <c r="L33" s="10"/>
    </row>
    <row r="34" spans="1:13" ht="30" customHeight="1" thickBot="1">
      <c r="A34" s="5"/>
      <c r="B34" s="9"/>
      <c r="C34" s="157" t="s">
        <v>13</v>
      </c>
      <c r="D34" s="158"/>
      <c r="E34" s="158"/>
      <c r="F34" s="158"/>
      <c r="G34" s="159"/>
      <c r="H34" s="158"/>
      <c r="I34" s="136"/>
      <c r="J34" s="160"/>
      <c r="K34" s="161">
        <f>+SUM(K28:K33)</f>
        <v>59147462</v>
      </c>
      <c r="L34" s="10"/>
      <c r="M34" s="5"/>
    </row>
    <row r="35" spans="1:13" ht="30" customHeight="1" thickBot="1">
      <c r="A35" s="5"/>
      <c r="B35" s="9"/>
      <c r="C35" s="130">
        <v>4</v>
      </c>
      <c r="D35" s="131" t="s">
        <v>126</v>
      </c>
      <c r="E35" s="131"/>
      <c r="F35" s="131"/>
      <c r="G35" s="131"/>
      <c r="H35" s="131"/>
      <c r="I35" s="131"/>
      <c r="J35" s="131"/>
      <c r="K35" s="132"/>
      <c r="L35" s="10"/>
      <c r="M35" s="5"/>
    </row>
    <row r="36" spans="1:13" ht="30" customHeight="1">
      <c r="A36" s="5"/>
      <c r="B36" s="9"/>
      <c r="C36" s="133">
        <v>17</v>
      </c>
      <c r="D36" s="150">
        <v>4.0999999999999996</v>
      </c>
      <c r="E36" s="150"/>
      <c r="F36" s="150"/>
      <c r="G36" s="151" t="s">
        <v>127</v>
      </c>
      <c r="H36" s="150" t="s">
        <v>124</v>
      </c>
      <c r="I36" s="248">
        <v>26.93</v>
      </c>
      <c r="J36" s="137">
        <f>507916*(1+35%)</f>
        <v>685686.60000000009</v>
      </c>
      <c r="K36" s="145">
        <f>+ROUND(I36*J36,0)</f>
        <v>18465540</v>
      </c>
      <c r="L36" s="10"/>
      <c r="M36" s="5"/>
    </row>
    <row r="37" spans="1:13" ht="30" customHeight="1">
      <c r="A37" s="5"/>
      <c r="B37" s="9"/>
      <c r="C37" s="133">
        <v>18</v>
      </c>
      <c r="D37" s="150">
        <v>4.2</v>
      </c>
      <c r="E37" s="150"/>
      <c r="F37" s="150"/>
      <c r="G37" s="151" t="s">
        <v>128</v>
      </c>
      <c r="H37" s="150" t="s">
        <v>116</v>
      </c>
      <c r="I37" s="248">
        <v>32.06</v>
      </c>
      <c r="J37" s="137">
        <f>255561*(1+35%)</f>
        <v>345007.35000000003</v>
      </c>
      <c r="K37" s="145">
        <f>+ROUND(I37*J37,0)</f>
        <v>11060936</v>
      </c>
      <c r="L37" s="10"/>
      <c r="M37" s="5"/>
    </row>
    <row r="38" spans="1:13" ht="30" customHeight="1">
      <c r="A38" s="5"/>
      <c r="B38" s="9"/>
      <c r="C38" s="133">
        <v>19</v>
      </c>
      <c r="D38" s="150">
        <v>4.3</v>
      </c>
      <c r="E38" s="150"/>
      <c r="F38" s="150"/>
      <c r="G38" s="151" t="s">
        <v>129</v>
      </c>
      <c r="H38" s="150" t="s">
        <v>125</v>
      </c>
      <c r="I38" s="248">
        <v>100</v>
      </c>
      <c r="J38" s="137">
        <f>181570*(1+35%)</f>
        <v>245119.50000000003</v>
      </c>
      <c r="K38" s="145">
        <f t="shared" ref="K38:K40" si="3">+ROUND(I38*J38,0)</f>
        <v>24511950</v>
      </c>
      <c r="L38" s="10"/>
      <c r="M38" s="5"/>
    </row>
    <row r="39" spans="1:13" ht="30" customHeight="1">
      <c r="A39" s="5"/>
      <c r="B39" s="9"/>
      <c r="C39" s="133">
        <v>20</v>
      </c>
      <c r="D39" s="150">
        <v>4.4000000000000004</v>
      </c>
      <c r="E39" s="150"/>
      <c r="F39" s="150"/>
      <c r="G39" s="151" t="s">
        <v>130</v>
      </c>
      <c r="H39" s="150" t="s">
        <v>108</v>
      </c>
      <c r="I39" s="248">
        <v>6</v>
      </c>
      <c r="J39" s="137">
        <f>238629*(1+35%)</f>
        <v>322149.15000000002</v>
      </c>
      <c r="K39" s="145">
        <f t="shared" si="3"/>
        <v>1932895</v>
      </c>
      <c r="L39" s="10"/>
      <c r="M39" s="5"/>
    </row>
    <row r="40" spans="1:13" ht="30" customHeight="1">
      <c r="A40" s="5"/>
      <c r="B40" s="9"/>
      <c r="C40" s="162">
        <v>21</v>
      </c>
      <c r="D40" s="150">
        <v>4.5</v>
      </c>
      <c r="E40" s="150"/>
      <c r="F40" s="150"/>
      <c r="G40" s="151" t="s">
        <v>131</v>
      </c>
      <c r="H40" s="150" t="s">
        <v>125</v>
      </c>
      <c r="I40" s="248">
        <v>15</v>
      </c>
      <c r="J40" s="137">
        <f>318749*(1+35%)</f>
        <v>430311.15</v>
      </c>
      <c r="K40" s="145">
        <f t="shared" si="3"/>
        <v>6454667</v>
      </c>
      <c r="L40" s="10"/>
      <c r="M40" s="5"/>
    </row>
    <row r="41" spans="1:13" ht="30" customHeight="1" thickBot="1">
      <c r="A41" s="5"/>
      <c r="B41" s="9"/>
      <c r="C41" s="139" t="s">
        <v>13</v>
      </c>
      <c r="D41" s="163"/>
      <c r="E41" s="163"/>
      <c r="F41" s="163"/>
      <c r="G41" s="164"/>
      <c r="H41" s="165"/>
      <c r="I41" s="136"/>
      <c r="J41" s="142"/>
      <c r="K41" s="143">
        <f>ROUND(+SUM(K36:K40),0)</f>
        <v>62425988</v>
      </c>
      <c r="L41" s="10"/>
      <c r="M41" s="5"/>
    </row>
    <row r="42" spans="1:13" ht="30" customHeight="1" thickBot="1">
      <c r="A42" s="5"/>
      <c r="B42" s="9"/>
      <c r="C42" s="130">
        <v>5</v>
      </c>
      <c r="D42" s="131" t="s">
        <v>157</v>
      </c>
      <c r="E42" s="131"/>
      <c r="F42" s="131"/>
      <c r="G42" s="131"/>
      <c r="H42" s="131"/>
      <c r="I42" s="131"/>
      <c r="J42" s="131"/>
      <c r="K42" s="132"/>
      <c r="L42" s="10"/>
      <c r="M42" s="5"/>
    </row>
    <row r="43" spans="1:13" ht="53.4" customHeight="1">
      <c r="A43" s="5"/>
      <c r="B43" s="9"/>
      <c r="C43" s="133">
        <v>22</v>
      </c>
      <c r="D43" s="150">
        <v>5.0999999999999996</v>
      </c>
      <c r="E43" s="150"/>
      <c r="F43" s="150"/>
      <c r="G43" s="151" t="s">
        <v>132</v>
      </c>
      <c r="H43" s="150" t="s">
        <v>108</v>
      </c>
      <c r="I43" s="248">
        <v>4</v>
      </c>
      <c r="J43" s="137">
        <f>933591*(1+35%)</f>
        <v>1260347.8500000001</v>
      </c>
      <c r="K43" s="145">
        <f>+ROUND(I43*J43,0)</f>
        <v>5041391</v>
      </c>
      <c r="L43" s="10"/>
      <c r="M43" s="5"/>
    </row>
    <row r="44" spans="1:13" ht="47.4" customHeight="1">
      <c r="A44" s="5"/>
      <c r="B44" s="9"/>
      <c r="C44" s="133">
        <v>23</v>
      </c>
      <c r="D44" s="150">
        <v>5.2</v>
      </c>
      <c r="E44" s="150"/>
      <c r="F44" s="150"/>
      <c r="G44" s="151" t="s">
        <v>133</v>
      </c>
      <c r="H44" s="150" t="s">
        <v>108</v>
      </c>
      <c r="I44" s="248">
        <v>2</v>
      </c>
      <c r="J44" s="137">
        <f>918091*(1+35%)</f>
        <v>1239422.8500000001</v>
      </c>
      <c r="K44" s="145">
        <f>ROUND(+I44*J44,0)</f>
        <v>2478846</v>
      </c>
      <c r="L44" s="10"/>
      <c r="M44" s="5"/>
    </row>
    <row r="45" spans="1:13" ht="63" customHeight="1">
      <c r="A45" s="5"/>
      <c r="B45" s="9"/>
      <c r="C45" s="133">
        <v>24</v>
      </c>
      <c r="D45" s="150">
        <v>5.3</v>
      </c>
      <c r="E45" s="150"/>
      <c r="F45" s="150"/>
      <c r="G45" s="151" t="s">
        <v>134</v>
      </c>
      <c r="H45" s="150" t="s">
        <v>108</v>
      </c>
      <c r="I45" s="248">
        <v>2</v>
      </c>
      <c r="J45" s="137">
        <f>1233531*(1+35%)</f>
        <v>1665266.85</v>
      </c>
      <c r="K45" s="145">
        <f t="shared" ref="K45:K54" si="4">ROUND(+I45*J45,0)</f>
        <v>3330534</v>
      </c>
      <c r="L45" s="10"/>
      <c r="M45" s="5"/>
    </row>
    <row r="46" spans="1:13" ht="30" customHeight="1">
      <c r="A46" s="5"/>
      <c r="B46" s="9"/>
      <c r="C46" s="133">
        <v>25</v>
      </c>
      <c r="D46" s="150">
        <v>5.4</v>
      </c>
      <c r="E46" s="150"/>
      <c r="F46" s="150"/>
      <c r="G46" s="151" t="s">
        <v>135</v>
      </c>
      <c r="H46" s="150" t="s">
        <v>108</v>
      </c>
      <c r="I46" s="248">
        <v>6</v>
      </c>
      <c r="J46" s="137">
        <f>612940*(1+35%)</f>
        <v>827469</v>
      </c>
      <c r="K46" s="145">
        <f t="shared" si="4"/>
        <v>4964814</v>
      </c>
      <c r="L46" s="10"/>
      <c r="M46" s="5"/>
    </row>
    <row r="47" spans="1:13" ht="30" customHeight="1">
      <c r="A47" s="5"/>
      <c r="B47" s="9"/>
      <c r="C47" s="133">
        <v>26</v>
      </c>
      <c r="D47" s="150">
        <v>5.5</v>
      </c>
      <c r="E47" s="150"/>
      <c r="F47" s="150"/>
      <c r="G47" s="151" t="s">
        <v>136</v>
      </c>
      <c r="H47" s="150" t="s">
        <v>108</v>
      </c>
      <c r="I47" s="248">
        <v>14</v>
      </c>
      <c r="J47" s="137">
        <f>378566*(1+35%)</f>
        <v>511064.10000000003</v>
      </c>
      <c r="K47" s="145">
        <f t="shared" si="4"/>
        <v>7154897</v>
      </c>
      <c r="L47" s="10"/>
      <c r="M47" s="5"/>
    </row>
    <row r="48" spans="1:13" ht="30" customHeight="1">
      <c r="A48" s="5"/>
      <c r="B48" s="9"/>
      <c r="C48" s="133">
        <v>27</v>
      </c>
      <c r="D48" s="150">
        <v>5.6</v>
      </c>
      <c r="E48" s="150"/>
      <c r="F48" s="150"/>
      <c r="G48" s="151" t="s">
        <v>137</v>
      </c>
      <c r="H48" s="150" t="s">
        <v>125</v>
      </c>
      <c r="I48" s="248">
        <v>112</v>
      </c>
      <c r="J48" s="137">
        <f>54074*(1+35%)</f>
        <v>72999.900000000009</v>
      </c>
      <c r="K48" s="145">
        <f t="shared" si="4"/>
        <v>8175989</v>
      </c>
      <c r="L48" s="10"/>
      <c r="M48" s="5"/>
    </row>
    <row r="49" spans="1:13" ht="30" customHeight="1">
      <c r="A49" s="5"/>
      <c r="B49" s="9"/>
      <c r="C49" s="133">
        <v>28</v>
      </c>
      <c r="D49" s="150">
        <v>5.7</v>
      </c>
      <c r="E49" s="150"/>
      <c r="F49" s="150"/>
      <c r="G49" s="151" t="s">
        <v>138</v>
      </c>
      <c r="H49" s="150" t="s">
        <v>108</v>
      </c>
      <c r="I49" s="248">
        <v>6</v>
      </c>
      <c r="J49" s="137">
        <f>729537*(1+35%)</f>
        <v>984874.95000000007</v>
      </c>
      <c r="K49" s="145">
        <f t="shared" si="4"/>
        <v>5909250</v>
      </c>
      <c r="L49" s="10"/>
      <c r="M49" s="5"/>
    </row>
    <row r="50" spans="1:13" ht="30" customHeight="1">
      <c r="A50" s="5"/>
      <c r="B50" s="9"/>
      <c r="C50" s="133">
        <v>29</v>
      </c>
      <c r="D50" s="150">
        <v>5.8</v>
      </c>
      <c r="E50" s="150"/>
      <c r="F50" s="150"/>
      <c r="G50" s="151" t="s">
        <v>139</v>
      </c>
      <c r="H50" s="150" t="s">
        <v>108</v>
      </c>
      <c r="I50" s="248">
        <v>4</v>
      </c>
      <c r="J50" s="137">
        <f>248370*(1+35%)</f>
        <v>335299.5</v>
      </c>
      <c r="K50" s="145">
        <f t="shared" si="4"/>
        <v>1341198</v>
      </c>
      <c r="L50" s="10"/>
      <c r="M50" s="5"/>
    </row>
    <row r="51" spans="1:13" ht="30" customHeight="1">
      <c r="A51" s="5"/>
      <c r="B51" s="9"/>
      <c r="C51" s="133">
        <v>30</v>
      </c>
      <c r="D51" s="150">
        <v>5.9</v>
      </c>
      <c r="E51" s="150"/>
      <c r="F51" s="150"/>
      <c r="G51" s="151" t="s">
        <v>140</v>
      </c>
      <c r="H51" s="150" t="s">
        <v>108</v>
      </c>
      <c r="I51" s="248">
        <v>6</v>
      </c>
      <c r="J51" s="137">
        <f>191942*(1+35%)</f>
        <v>259121.7</v>
      </c>
      <c r="K51" s="145">
        <f t="shared" si="4"/>
        <v>1554730</v>
      </c>
      <c r="L51" s="10"/>
      <c r="M51" s="5"/>
    </row>
    <row r="52" spans="1:13" ht="30" customHeight="1">
      <c r="A52" s="5"/>
      <c r="B52" s="9"/>
      <c r="C52" s="133">
        <v>31</v>
      </c>
      <c r="D52" s="249">
        <v>5.0999999999999996</v>
      </c>
      <c r="E52" s="150"/>
      <c r="F52" s="150"/>
      <c r="G52" s="151" t="s">
        <v>141</v>
      </c>
      <c r="H52" s="150" t="s">
        <v>108</v>
      </c>
      <c r="I52" s="248">
        <v>6</v>
      </c>
      <c r="J52" s="137">
        <f>168802*(1+35%)</f>
        <v>227882.7</v>
      </c>
      <c r="K52" s="145">
        <f t="shared" si="4"/>
        <v>1367296</v>
      </c>
      <c r="L52" s="10"/>
      <c r="M52" s="5"/>
    </row>
    <row r="53" spans="1:13" ht="30" customHeight="1">
      <c r="A53" s="5"/>
      <c r="B53" s="9"/>
      <c r="C53" s="133">
        <v>32</v>
      </c>
      <c r="D53" s="150">
        <v>5.1100000000000003</v>
      </c>
      <c r="E53" s="150"/>
      <c r="F53" s="150"/>
      <c r="G53" s="151" t="s">
        <v>142</v>
      </c>
      <c r="H53" s="150" t="s">
        <v>108</v>
      </c>
      <c r="I53" s="248">
        <v>6</v>
      </c>
      <c r="J53" s="137">
        <f>309949*(1+35%)</f>
        <v>418431.15</v>
      </c>
      <c r="K53" s="145">
        <f t="shared" si="4"/>
        <v>2510587</v>
      </c>
      <c r="L53" s="10"/>
      <c r="M53" s="5"/>
    </row>
    <row r="54" spans="1:13" ht="30" customHeight="1">
      <c r="A54" s="5"/>
      <c r="B54" s="9"/>
      <c r="C54" s="133">
        <v>33</v>
      </c>
      <c r="D54" s="150">
        <v>5.12</v>
      </c>
      <c r="E54" s="150"/>
      <c r="F54" s="150"/>
      <c r="G54" s="151" t="s">
        <v>143</v>
      </c>
      <c r="H54" s="150" t="s">
        <v>108</v>
      </c>
      <c r="I54" s="248">
        <v>2</v>
      </c>
      <c r="J54" s="137">
        <f>34771*(1+35%)</f>
        <v>46940.850000000006</v>
      </c>
      <c r="K54" s="145">
        <f t="shared" si="4"/>
        <v>93882</v>
      </c>
      <c r="L54" s="10"/>
      <c r="M54" s="5"/>
    </row>
    <row r="55" spans="1:13" ht="30" customHeight="1">
      <c r="A55" s="5"/>
      <c r="B55" s="9"/>
      <c r="C55" s="133">
        <v>34</v>
      </c>
      <c r="D55" s="249">
        <v>5.13</v>
      </c>
      <c r="E55" s="150"/>
      <c r="F55" s="150"/>
      <c r="G55" s="151" t="s">
        <v>144</v>
      </c>
      <c r="H55" s="150" t="s">
        <v>108</v>
      </c>
      <c r="I55" s="248">
        <v>1</v>
      </c>
      <c r="J55" s="137">
        <f>533753*(1+35%)</f>
        <v>720566.55</v>
      </c>
      <c r="K55" s="145">
        <f>ROUNDDOWN(+I55*J55,0)</f>
        <v>720566</v>
      </c>
      <c r="L55" s="10"/>
      <c r="M55" s="5"/>
    </row>
    <row r="56" spans="1:13" ht="30" customHeight="1">
      <c r="A56" s="5"/>
      <c r="B56" s="9"/>
      <c r="C56" s="133">
        <v>35</v>
      </c>
      <c r="D56" s="249">
        <v>5.14</v>
      </c>
      <c r="E56" s="150"/>
      <c r="F56" s="150"/>
      <c r="G56" s="151" t="s">
        <v>145</v>
      </c>
      <c r="H56" s="150" t="s">
        <v>108</v>
      </c>
      <c r="I56" s="248">
        <v>6</v>
      </c>
      <c r="J56" s="137">
        <f>37231*(1+35%)</f>
        <v>50261.850000000006</v>
      </c>
      <c r="K56" s="145">
        <f>ROUND(+I56*J56,0)</f>
        <v>301571</v>
      </c>
      <c r="L56" s="10"/>
      <c r="M56" s="5"/>
    </row>
    <row r="57" spans="1:13" ht="30" customHeight="1">
      <c r="A57" s="5"/>
      <c r="B57" s="9"/>
      <c r="C57" s="133">
        <v>36</v>
      </c>
      <c r="D57" s="249">
        <v>5.15</v>
      </c>
      <c r="E57" s="150"/>
      <c r="F57" s="150"/>
      <c r="G57" s="151" t="s">
        <v>146</v>
      </c>
      <c r="H57" s="150" t="s">
        <v>108</v>
      </c>
      <c r="I57" s="248">
        <v>6</v>
      </c>
      <c r="J57" s="137">
        <f>169831*(1+35%)</f>
        <v>229271.85</v>
      </c>
      <c r="K57" s="145">
        <f t="shared" ref="K57:K67" si="5">ROUND(+I57*J57,0)</f>
        <v>1375631</v>
      </c>
      <c r="L57" s="10"/>
      <c r="M57" s="5"/>
    </row>
    <row r="58" spans="1:13" ht="30" customHeight="1">
      <c r="A58" s="5"/>
      <c r="B58" s="9"/>
      <c r="C58" s="133">
        <v>37</v>
      </c>
      <c r="D58" s="249">
        <v>5.16</v>
      </c>
      <c r="E58" s="150"/>
      <c r="F58" s="150"/>
      <c r="G58" s="151" t="s">
        <v>147</v>
      </c>
      <c r="H58" s="150" t="s">
        <v>125</v>
      </c>
      <c r="I58" s="248">
        <v>12</v>
      </c>
      <c r="J58" s="137">
        <f>46127*(1+35%)</f>
        <v>62271.450000000004</v>
      </c>
      <c r="K58" s="145">
        <f t="shared" si="5"/>
        <v>747257</v>
      </c>
      <c r="L58" s="10"/>
      <c r="M58" s="5"/>
    </row>
    <row r="59" spans="1:13" ht="30" customHeight="1">
      <c r="A59" s="5"/>
      <c r="B59" s="9"/>
      <c r="C59" s="133">
        <v>38</v>
      </c>
      <c r="D59" s="249">
        <v>5.17</v>
      </c>
      <c r="E59" s="150"/>
      <c r="F59" s="150"/>
      <c r="G59" s="151" t="s">
        <v>148</v>
      </c>
      <c r="H59" s="150" t="s">
        <v>108</v>
      </c>
      <c r="I59" s="248">
        <v>4</v>
      </c>
      <c r="J59" s="137">
        <f>41263*(1+35%)</f>
        <v>55705.05</v>
      </c>
      <c r="K59" s="145">
        <f t="shared" si="5"/>
        <v>222820</v>
      </c>
      <c r="L59" s="10"/>
      <c r="M59" s="5"/>
    </row>
    <row r="60" spans="1:13" ht="30" customHeight="1">
      <c r="A60" s="5"/>
      <c r="B60" s="9"/>
      <c r="C60" s="133">
        <v>39</v>
      </c>
      <c r="D60" s="249">
        <v>5.18</v>
      </c>
      <c r="E60" s="150"/>
      <c r="F60" s="150"/>
      <c r="G60" s="151" t="s">
        <v>149</v>
      </c>
      <c r="H60" s="150" t="s">
        <v>108</v>
      </c>
      <c r="I60" s="248">
        <v>14</v>
      </c>
      <c r="J60" s="137">
        <f>68523*(1+35%)</f>
        <v>92506.05</v>
      </c>
      <c r="K60" s="145">
        <f t="shared" si="5"/>
        <v>1295085</v>
      </c>
      <c r="L60" s="10"/>
      <c r="M60" s="5"/>
    </row>
    <row r="61" spans="1:13" ht="30" customHeight="1">
      <c r="A61" s="5"/>
      <c r="B61" s="9"/>
      <c r="C61" s="133">
        <v>40</v>
      </c>
      <c r="D61" s="249">
        <v>5.19</v>
      </c>
      <c r="E61" s="150"/>
      <c r="F61" s="150"/>
      <c r="G61" s="151" t="s">
        <v>150</v>
      </c>
      <c r="H61" s="150" t="s">
        <v>108</v>
      </c>
      <c r="I61" s="248">
        <v>2</v>
      </c>
      <c r="J61" s="137">
        <f>151244*(1+35%)</f>
        <v>204179.40000000002</v>
      </c>
      <c r="K61" s="145">
        <f t="shared" si="5"/>
        <v>408359</v>
      </c>
      <c r="L61" s="10"/>
      <c r="M61" s="5"/>
    </row>
    <row r="62" spans="1:13" ht="30" customHeight="1">
      <c r="A62" s="5"/>
      <c r="B62" s="9"/>
      <c r="C62" s="133">
        <v>41</v>
      </c>
      <c r="D62" s="249">
        <v>5.2</v>
      </c>
      <c r="E62" s="150"/>
      <c r="F62" s="150"/>
      <c r="G62" s="151" t="s">
        <v>151</v>
      </c>
      <c r="H62" s="150" t="s">
        <v>125</v>
      </c>
      <c r="I62" s="248">
        <v>45</v>
      </c>
      <c r="J62" s="137">
        <f>26990*(1+35%)</f>
        <v>36436.5</v>
      </c>
      <c r="K62" s="145">
        <f t="shared" si="5"/>
        <v>1639643</v>
      </c>
      <c r="L62" s="10"/>
      <c r="M62" s="5"/>
    </row>
    <row r="63" spans="1:13" ht="30" customHeight="1">
      <c r="A63" s="5"/>
      <c r="B63" s="9"/>
      <c r="C63" s="133">
        <v>42</v>
      </c>
      <c r="D63" s="249">
        <v>5.21</v>
      </c>
      <c r="E63" s="150"/>
      <c r="F63" s="150"/>
      <c r="G63" s="151" t="s">
        <v>152</v>
      </c>
      <c r="H63" s="150" t="s">
        <v>108</v>
      </c>
      <c r="I63" s="248">
        <v>7</v>
      </c>
      <c r="J63" s="137">
        <f>52112*(1+35%)</f>
        <v>70351.200000000012</v>
      </c>
      <c r="K63" s="145">
        <f t="shared" si="5"/>
        <v>492458</v>
      </c>
      <c r="L63" s="10"/>
      <c r="M63" s="5"/>
    </row>
    <row r="64" spans="1:13" ht="30" customHeight="1">
      <c r="A64" s="5"/>
      <c r="B64" s="9"/>
      <c r="C64" s="133">
        <v>43</v>
      </c>
      <c r="D64" s="249">
        <v>5.22</v>
      </c>
      <c r="E64" s="150"/>
      <c r="F64" s="150"/>
      <c r="G64" s="151" t="s">
        <v>153</v>
      </c>
      <c r="H64" s="150" t="s">
        <v>125</v>
      </c>
      <c r="I64" s="248">
        <v>62</v>
      </c>
      <c r="J64" s="137">
        <f>23155*(1+35%)</f>
        <v>31259.250000000004</v>
      </c>
      <c r="K64" s="145">
        <f t="shared" si="5"/>
        <v>1938074</v>
      </c>
      <c r="L64" s="10"/>
      <c r="M64" s="5"/>
    </row>
    <row r="65" spans="1:13" ht="30" customHeight="1">
      <c r="A65" s="5"/>
      <c r="B65" s="9"/>
      <c r="C65" s="133">
        <v>44</v>
      </c>
      <c r="D65" s="249">
        <v>5.23</v>
      </c>
      <c r="E65" s="150"/>
      <c r="F65" s="150"/>
      <c r="G65" s="151" t="s">
        <v>154</v>
      </c>
      <c r="H65" s="150" t="s">
        <v>108</v>
      </c>
      <c r="I65" s="248">
        <v>10</v>
      </c>
      <c r="J65" s="137">
        <f>31910*(1+35%)</f>
        <v>43078.5</v>
      </c>
      <c r="K65" s="145">
        <f t="shared" si="5"/>
        <v>430785</v>
      </c>
      <c r="L65" s="10"/>
      <c r="M65" s="5"/>
    </row>
    <row r="66" spans="1:13" ht="30" customHeight="1">
      <c r="A66" s="5"/>
      <c r="B66" s="9"/>
      <c r="C66" s="133">
        <v>45</v>
      </c>
      <c r="D66" s="249">
        <v>5.24</v>
      </c>
      <c r="E66" s="150"/>
      <c r="F66" s="150"/>
      <c r="G66" s="151" t="s">
        <v>155</v>
      </c>
      <c r="H66" s="150" t="s">
        <v>125</v>
      </c>
      <c r="I66" s="248">
        <v>30</v>
      </c>
      <c r="J66" s="137">
        <f>23503*(1+35%)</f>
        <v>31729.050000000003</v>
      </c>
      <c r="K66" s="145">
        <f t="shared" si="5"/>
        <v>951872</v>
      </c>
      <c r="L66" s="10"/>
      <c r="M66" s="5"/>
    </row>
    <row r="67" spans="1:13" ht="30" customHeight="1">
      <c r="A67" s="5"/>
      <c r="B67" s="9"/>
      <c r="C67" s="133">
        <v>46</v>
      </c>
      <c r="D67" s="249">
        <v>5.25</v>
      </c>
      <c r="E67" s="150"/>
      <c r="F67" s="150"/>
      <c r="G67" s="151" t="s">
        <v>156</v>
      </c>
      <c r="H67" s="150" t="s">
        <v>108</v>
      </c>
      <c r="I67" s="248">
        <v>2</v>
      </c>
      <c r="J67" s="137">
        <f>1080649*(1+35%)</f>
        <v>1458876.1500000001</v>
      </c>
      <c r="K67" s="145">
        <f t="shared" si="5"/>
        <v>2917752</v>
      </c>
      <c r="L67" s="10"/>
      <c r="M67" s="5"/>
    </row>
    <row r="68" spans="1:13" ht="30" customHeight="1" thickBot="1">
      <c r="A68" s="5"/>
      <c r="B68" s="9"/>
      <c r="C68" s="139" t="s">
        <v>13</v>
      </c>
      <c r="D68" s="163"/>
      <c r="E68" s="163"/>
      <c r="F68" s="163"/>
      <c r="G68" s="164"/>
      <c r="H68" s="165"/>
      <c r="I68" s="136"/>
      <c r="J68" s="142"/>
      <c r="K68" s="268">
        <f>+SUM(K43:K67)</f>
        <v>57365287</v>
      </c>
      <c r="L68" s="10"/>
      <c r="M68" s="5"/>
    </row>
    <row r="69" spans="1:13" ht="30" customHeight="1" thickBot="1">
      <c r="A69" s="5"/>
      <c r="B69" s="9"/>
      <c r="C69" s="130">
        <v>6</v>
      </c>
      <c r="D69" s="131" t="s">
        <v>158</v>
      </c>
      <c r="E69" s="131"/>
      <c r="F69" s="131"/>
      <c r="G69" s="131"/>
      <c r="H69" s="131"/>
      <c r="I69" s="131"/>
      <c r="J69" s="239"/>
      <c r="K69" s="240"/>
      <c r="L69" s="10"/>
      <c r="M69" s="5"/>
    </row>
    <row r="70" spans="1:13" ht="30" customHeight="1">
      <c r="A70" s="5"/>
      <c r="B70" s="9"/>
      <c r="C70" s="241">
        <v>47</v>
      </c>
      <c r="D70" s="250">
        <v>6.1</v>
      </c>
      <c r="E70" s="250"/>
      <c r="F70" s="250"/>
      <c r="G70" s="251" t="s">
        <v>159</v>
      </c>
      <c r="H70" s="250" t="s">
        <v>125</v>
      </c>
      <c r="I70" s="247">
        <v>100</v>
      </c>
      <c r="J70" s="137">
        <f>155048*(1+35%)</f>
        <v>209314.80000000002</v>
      </c>
      <c r="K70" s="145">
        <f>ROUNDDOWN(+I70*J70,0)</f>
        <v>20931480</v>
      </c>
      <c r="L70" s="10"/>
      <c r="M70" s="5"/>
    </row>
    <row r="71" spans="1:13" ht="30" customHeight="1">
      <c r="A71" s="5"/>
      <c r="B71" s="9"/>
      <c r="C71" s="133">
        <v>48</v>
      </c>
      <c r="D71" s="261">
        <v>6.2</v>
      </c>
      <c r="E71" s="261"/>
      <c r="F71" s="261"/>
      <c r="G71" s="262" t="s">
        <v>160</v>
      </c>
      <c r="H71" s="261" t="s">
        <v>116</v>
      </c>
      <c r="I71" s="264">
        <v>12</v>
      </c>
      <c r="J71" s="137">
        <f>81897*(1+35%)</f>
        <v>110560.95000000001</v>
      </c>
      <c r="K71" s="270">
        <f t="shared" ref="K71:K73" si="6">ROUNDDOWN(+I71*J71,0)</f>
        <v>1326731</v>
      </c>
      <c r="L71" s="271"/>
      <c r="M71" s="5"/>
    </row>
    <row r="72" spans="1:13" ht="30" customHeight="1">
      <c r="A72" s="5"/>
      <c r="B72" s="9"/>
      <c r="C72" s="133">
        <v>49</v>
      </c>
      <c r="D72" s="261">
        <v>6.3</v>
      </c>
      <c r="E72" s="261"/>
      <c r="F72" s="261"/>
      <c r="G72" s="262" t="s">
        <v>161</v>
      </c>
      <c r="H72" s="261" t="s">
        <v>116</v>
      </c>
      <c r="I72" s="264">
        <v>410</v>
      </c>
      <c r="J72" s="137">
        <f>68616*(1+35%)</f>
        <v>92631.6</v>
      </c>
      <c r="K72" s="145">
        <f t="shared" si="6"/>
        <v>37978956</v>
      </c>
      <c r="L72" s="10"/>
      <c r="M72" s="5"/>
    </row>
    <row r="73" spans="1:13" ht="30" customHeight="1">
      <c r="A73" s="5"/>
      <c r="B73" s="9"/>
      <c r="C73" s="133">
        <v>50</v>
      </c>
      <c r="D73" s="261">
        <v>6.4</v>
      </c>
      <c r="E73" s="261"/>
      <c r="F73" s="261"/>
      <c r="G73" s="262" t="s">
        <v>162</v>
      </c>
      <c r="H73" s="261" t="s">
        <v>116</v>
      </c>
      <c r="I73" s="264">
        <v>1075</v>
      </c>
      <c r="J73" s="137">
        <f>18251*(1+35%)</f>
        <v>24638.850000000002</v>
      </c>
      <c r="K73" s="145">
        <f t="shared" si="6"/>
        <v>26486763</v>
      </c>
      <c r="L73" s="10"/>
      <c r="M73" s="5"/>
    </row>
    <row r="74" spans="1:13" ht="30" customHeight="1">
      <c r="A74" s="5"/>
      <c r="B74" s="9"/>
      <c r="C74" s="133">
        <v>51</v>
      </c>
      <c r="D74" s="261">
        <v>6.5</v>
      </c>
      <c r="E74" s="261"/>
      <c r="F74" s="261"/>
      <c r="G74" s="262" t="s">
        <v>163</v>
      </c>
      <c r="H74" s="261" t="s">
        <v>116</v>
      </c>
      <c r="I74" s="264">
        <v>800</v>
      </c>
      <c r="J74" s="263">
        <f>10940*(1+35%)</f>
        <v>14769.000000000002</v>
      </c>
      <c r="K74" s="138">
        <f t="shared" ref="K74:K79" si="7">ROUND(I74*J74,0)</f>
        <v>11815200</v>
      </c>
      <c r="L74" s="10"/>
      <c r="M74" s="5"/>
    </row>
    <row r="75" spans="1:13" ht="30" customHeight="1">
      <c r="A75" s="5"/>
      <c r="B75" s="9"/>
      <c r="C75" s="133">
        <v>52</v>
      </c>
      <c r="D75" s="261">
        <v>6.6</v>
      </c>
      <c r="E75" s="261"/>
      <c r="F75" s="261"/>
      <c r="G75" s="262" t="s">
        <v>164</v>
      </c>
      <c r="H75" s="261" t="s">
        <v>116</v>
      </c>
      <c r="I75" s="264">
        <v>62</v>
      </c>
      <c r="J75" s="263">
        <f>15936*(1+35%)</f>
        <v>21513.600000000002</v>
      </c>
      <c r="K75" s="138">
        <f t="shared" si="7"/>
        <v>1333843</v>
      </c>
      <c r="L75" s="10"/>
      <c r="M75" s="5"/>
    </row>
    <row r="76" spans="1:13" ht="30" customHeight="1">
      <c r="A76" s="5"/>
      <c r="B76" s="9"/>
      <c r="C76" s="133">
        <v>53</v>
      </c>
      <c r="D76" s="261">
        <v>6.7</v>
      </c>
      <c r="E76" s="261"/>
      <c r="F76" s="261"/>
      <c r="G76" s="262" t="s">
        <v>165</v>
      </c>
      <c r="H76" s="261" t="s">
        <v>116</v>
      </c>
      <c r="I76" s="264">
        <v>380</v>
      </c>
      <c r="J76" s="263">
        <f>20910*(1+35%)</f>
        <v>28228.500000000004</v>
      </c>
      <c r="K76" s="138">
        <f t="shared" si="7"/>
        <v>10726830</v>
      </c>
      <c r="L76" s="10"/>
      <c r="M76" s="5"/>
    </row>
    <row r="77" spans="1:13" ht="30" customHeight="1">
      <c r="A77" s="5"/>
      <c r="B77" s="9"/>
      <c r="C77" s="133">
        <v>54</v>
      </c>
      <c r="D77" s="150">
        <v>6.8</v>
      </c>
      <c r="E77" s="261"/>
      <c r="F77" s="261"/>
      <c r="G77" s="262" t="s">
        <v>166</v>
      </c>
      <c r="H77" s="261" t="s">
        <v>116</v>
      </c>
      <c r="I77" s="264">
        <v>3660</v>
      </c>
      <c r="J77" s="263">
        <f>7850*(1+35%)</f>
        <v>10597.5</v>
      </c>
      <c r="K77" s="138">
        <f t="shared" si="7"/>
        <v>38786850</v>
      </c>
      <c r="L77" s="10"/>
      <c r="M77" s="5"/>
    </row>
    <row r="78" spans="1:13" ht="30" customHeight="1">
      <c r="A78" s="5"/>
      <c r="B78" s="9"/>
      <c r="C78" s="133">
        <v>55</v>
      </c>
      <c r="D78" s="150">
        <v>6.9</v>
      </c>
      <c r="E78" s="150"/>
      <c r="F78" s="150"/>
      <c r="G78" s="151" t="s">
        <v>167</v>
      </c>
      <c r="H78" s="261" t="s">
        <v>116</v>
      </c>
      <c r="I78" s="248">
        <v>3650</v>
      </c>
      <c r="J78" s="137">
        <f>7455*(1+35%)</f>
        <v>10064.25</v>
      </c>
      <c r="K78" s="138">
        <f t="shared" si="7"/>
        <v>36734513</v>
      </c>
      <c r="L78" s="10"/>
      <c r="M78" s="5"/>
    </row>
    <row r="79" spans="1:13" ht="30" customHeight="1">
      <c r="A79" s="5"/>
      <c r="B79" s="9"/>
      <c r="C79" s="133">
        <v>56</v>
      </c>
      <c r="D79" s="249">
        <v>6.1</v>
      </c>
      <c r="E79" s="150"/>
      <c r="F79" s="150"/>
      <c r="G79" s="151" t="s">
        <v>168</v>
      </c>
      <c r="H79" s="150" t="s">
        <v>125</v>
      </c>
      <c r="I79" s="248">
        <v>25</v>
      </c>
      <c r="J79" s="137">
        <f>303987*(1+35%)</f>
        <v>410382.45</v>
      </c>
      <c r="K79" s="138">
        <f t="shared" si="7"/>
        <v>10259561</v>
      </c>
      <c r="L79" s="10"/>
      <c r="M79" s="5"/>
    </row>
    <row r="80" spans="1:13" ht="30" customHeight="1" thickBot="1">
      <c r="A80" s="5"/>
      <c r="B80" s="9"/>
      <c r="C80" s="139" t="s">
        <v>13</v>
      </c>
      <c r="D80" s="163"/>
      <c r="E80" s="163"/>
      <c r="F80" s="163"/>
      <c r="G80" s="164"/>
      <c r="H80" s="165"/>
      <c r="I80" s="252"/>
      <c r="J80" s="142"/>
      <c r="K80" s="143">
        <f>ROUND(+SUM(K70:K79),0)</f>
        <v>196380727</v>
      </c>
      <c r="L80" s="10"/>
      <c r="M80" s="5"/>
    </row>
    <row r="81" spans="1:13" ht="30" customHeight="1" thickBot="1">
      <c r="A81" s="5"/>
      <c r="B81" s="9"/>
      <c r="C81" s="130">
        <v>7</v>
      </c>
      <c r="D81" s="131" t="s">
        <v>169</v>
      </c>
      <c r="E81" s="131"/>
      <c r="F81" s="131"/>
      <c r="G81" s="131"/>
      <c r="H81" s="131"/>
      <c r="I81" s="131"/>
      <c r="J81" s="131"/>
      <c r="K81" s="132"/>
      <c r="L81" s="10"/>
      <c r="M81" s="5"/>
    </row>
    <row r="82" spans="1:13" ht="30" customHeight="1">
      <c r="A82" s="5"/>
      <c r="B82" s="9"/>
      <c r="C82" s="241">
        <v>57</v>
      </c>
      <c r="D82" s="250">
        <v>7.1</v>
      </c>
      <c r="E82" s="250"/>
      <c r="F82" s="250"/>
      <c r="G82" s="251" t="s">
        <v>170</v>
      </c>
      <c r="H82" s="250" t="s">
        <v>108</v>
      </c>
      <c r="I82" s="247">
        <v>80</v>
      </c>
      <c r="J82" s="245">
        <f>204360*(1+35%)</f>
        <v>275886</v>
      </c>
      <c r="K82" s="221">
        <f>+I82*J82</f>
        <v>22070880</v>
      </c>
      <c r="L82" s="10"/>
      <c r="M82" s="5"/>
    </row>
    <row r="83" spans="1:13" ht="30" customHeight="1">
      <c r="A83" s="5"/>
      <c r="B83" s="9"/>
      <c r="C83" s="133">
        <v>58</v>
      </c>
      <c r="D83" s="261">
        <v>7.2</v>
      </c>
      <c r="E83" s="261"/>
      <c r="F83" s="261"/>
      <c r="G83" s="262" t="s">
        <v>171</v>
      </c>
      <c r="H83" s="261" t="s">
        <v>108</v>
      </c>
      <c r="I83" s="264">
        <v>48</v>
      </c>
      <c r="J83" s="263">
        <f>156040*(1+35%)</f>
        <v>210654</v>
      </c>
      <c r="K83" s="138">
        <f>+I83*J83</f>
        <v>10111392</v>
      </c>
      <c r="L83" s="10"/>
      <c r="M83" s="5"/>
    </row>
    <row r="84" spans="1:13" ht="30" customHeight="1">
      <c r="A84" s="5"/>
      <c r="B84" s="9"/>
      <c r="C84" s="133">
        <v>59</v>
      </c>
      <c r="D84" s="261">
        <v>7.3</v>
      </c>
      <c r="E84" s="261"/>
      <c r="F84" s="261"/>
      <c r="G84" s="262" t="s">
        <v>172</v>
      </c>
      <c r="H84" s="261" t="s">
        <v>108</v>
      </c>
      <c r="I84" s="264">
        <v>12</v>
      </c>
      <c r="J84" s="263">
        <f>1158290*(1+35%)</f>
        <v>1563691.5</v>
      </c>
      <c r="K84" s="138">
        <f t="shared" ref="K84:K90" si="8">+I84*J84</f>
        <v>18764298</v>
      </c>
      <c r="L84" s="10"/>
      <c r="M84" s="5"/>
    </row>
    <row r="85" spans="1:13" ht="30" customHeight="1">
      <c r="A85" s="5"/>
      <c r="B85" s="9"/>
      <c r="C85" s="133">
        <v>60</v>
      </c>
      <c r="D85" s="261">
        <v>7.4</v>
      </c>
      <c r="E85" s="261"/>
      <c r="F85" s="261"/>
      <c r="G85" s="262" t="s">
        <v>173</v>
      </c>
      <c r="H85" s="261" t="s">
        <v>108</v>
      </c>
      <c r="I85" s="264">
        <v>4</v>
      </c>
      <c r="J85" s="263">
        <f>218545*(1+35%)</f>
        <v>295035.75</v>
      </c>
      <c r="K85" s="138">
        <f t="shared" si="8"/>
        <v>1180143</v>
      </c>
      <c r="L85" s="10"/>
      <c r="M85" s="5"/>
    </row>
    <row r="86" spans="1:13" ht="30" customHeight="1">
      <c r="A86" s="5"/>
      <c r="B86" s="9"/>
      <c r="C86" s="133">
        <v>61</v>
      </c>
      <c r="D86" s="261">
        <v>7.5</v>
      </c>
      <c r="E86" s="261"/>
      <c r="F86" s="261"/>
      <c r="G86" s="262" t="s">
        <v>174</v>
      </c>
      <c r="H86" s="261" t="s">
        <v>108</v>
      </c>
      <c r="I86" s="264">
        <v>350</v>
      </c>
      <c r="J86" s="263">
        <f>82282*(1+35%)</f>
        <v>111080.70000000001</v>
      </c>
      <c r="K86" s="138">
        <f t="shared" si="8"/>
        <v>38878245.000000007</v>
      </c>
      <c r="L86" s="10"/>
      <c r="M86" s="5"/>
    </row>
    <row r="87" spans="1:13" ht="30" customHeight="1">
      <c r="A87" s="5"/>
      <c r="B87" s="9"/>
      <c r="C87" s="133">
        <v>62</v>
      </c>
      <c r="D87" s="261">
        <v>7.6</v>
      </c>
      <c r="E87" s="261"/>
      <c r="F87" s="261"/>
      <c r="G87" s="262" t="s">
        <v>175</v>
      </c>
      <c r="H87" s="261" t="s">
        <v>108</v>
      </c>
      <c r="I87" s="264">
        <v>350</v>
      </c>
      <c r="J87" s="263">
        <f>85380*(1+35%)</f>
        <v>115263.00000000001</v>
      </c>
      <c r="K87" s="138">
        <f t="shared" si="8"/>
        <v>40342050.000000007</v>
      </c>
      <c r="L87" s="10"/>
      <c r="M87" s="5"/>
    </row>
    <row r="88" spans="1:13" ht="30" customHeight="1">
      <c r="A88" s="5"/>
      <c r="B88" s="9"/>
      <c r="C88" s="133">
        <v>63</v>
      </c>
      <c r="D88" s="261">
        <v>7.7</v>
      </c>
      <c r="E88" s="261"/>
      <c r="F88" s="261"/>
      <c r="G88" s="262" t="s">
        <v>176</v>
      </c>
      <c r="H88" s="261" t="s">
        <v>108</v>
      </c>
      <c r="I88" s="264">
        <v>16</v>
      </c>
      <c r="J88" s="263">
        <f>112690*(1+35%)</f>
        <v>152131.5</v>
      </c>
      <c r="K88" s="138">
        <f t="shared" si="8"/>
        <v>2434104</v>
      </c>
      <c r="L88" s="10"/>
      <c r="M88" s="5"/>
    </row>
    <row r="89" spans="1:13" ht="30" customHeight="1">
      <c r="A89" s="5"/>
      <c r="B89" s="9"/>
      <c r="C89" s="133">
        <v>64</v>
      </c>
      <c r="D89" s="150">
        <v>7.8</v>
      </c>
      <c r="E89" s="150"/>
      <c r="F89" s="150"/>
      <c r="G89" s="151" t="s">
        <v>177</v>
      </c>
      <c r="H89" s="261" t="s">
        <v>108</v>
      </c>
      <c r="I89" s="248">
        <v>3</v>
      </c>
      <c r="J89" s="137">
        <f>313360*(1+35%)</f>
        <v>423036</v>
      </c>
      <c r="K89" s="138">
        <f t="shared" si="8"/>
        <v>1269108</v>
      </c>
      <c r="L89" s="10"/>
      <c r="M89" s="5"/>
    </row>
    <row r="90" spans="1:13" ht="30" customHeight="1">
      <c r="A90" s="5"/>
      <c r="B90" s="9"/>
      <c r="C90" s="133">
        <v>65</v>
      </c>
      <c r="D90" s="150">
        <v>7.9</v>
      </c>
      <c r="E90" s="150"/>
      <c r="F90" s="150"/>
      <c r="G90" s="151" t="s">
        <v>178</v>
      </c>
      <c r="H90" s="261" t="s">
        <v>108</v>
      </c>
      <c r="I90" s="248">
        <v>18</v>
      </c>
      <c r="J90" s="137">
        <f>153990*(1+35%)</f>
        <v>207886.5</v>
      </c>
      <c r="K90" s="138">
        <f t="shared" si="8"/>
        <v>3741957</v>
      </c>
      <c r="L90" s="10"/>
      <c r="M90" s="5"/>
    </row>
    <row r="91" spans="1:13" ht="30" customHeight="1" thickBot="1">
      <c r="A91" s="5"/>
      <c r="B91" s="9"/>
      <c r="C91" s="139" t="s">
        <v>13</v>
      </c>
      <c r="D91" s="163"/>
      <c r="E91" s="163"/>
      <c r="F91" s="163"/>
      <c r="G91" s="164"/>
      <c r="H91" s="165"/>
      <c r="I91" s="265"/>
      <c r="J91" s="142"/>
      <c r="K91" s="143">
        <f>+SUM(K82:K90)</f>
        <v>138792177</v>
      </c>
      <c r="L91" s="10"/>
      <c r="M91" s="5"/>
    </row>
    <row r="92" spans="1:13" ht="30" customHeight="1" thickBot="1">
      <c r="A92" s="5"/>
      <c r="B92" s="9"/>
      <c r="C92" s="130">
        <v>8</v>
      </c>
      <c r="D92" s="131" t="s">
        <v>179</v>
      </c>
      <c r="E92" s="131"/>
      <c r="F92" s="131"/>
      <c r="G92" s="131"/>
      <c r="H92" s="131"/>
      <c r="I92" s="266"/>
      <c r="J92" s="131"/>
      <c r="K92" s="132"/>
      <c r="L92" s="10"/>
      <c r="M92" s="5"/>
    </row>
    <row r="93" spans="1:13" ht="30" customHeight="1">
      <c r="A93" s="5"/>
      <c r="B93" s="9"/>
      <c r="C93" s="241">
        <v>66</v>
      </c>
      <c r="D93" s="250">
        <v>8.1</v>
      </c>
      <c r="E93" s="250"/>
      <c r="F93" s="250"/>
      <c r="G93" s="251" t="s">
        <v>180</v>
      </c>
      <c r="H93" s="250" t="s">
        <v>116</v>
      </c>
      <c r="I93" s="247">
        <v>1075</v>
      </c>
      <c r="J93" s="245">
        <f>30228*(1+35%)</f>
        <v>40807.800000000003</v>
      </c>
      <c r="K93" s="221">
        <f>+I93*J93</f>
        <v>43868385</v>
      </c>
      <c r="L93" s="10"/>
      <c r="M93" s="5"/>
    </row>
    <row r="94" spans="1:13" ht="30" customHeight="1">
      <c r="A94" s="5"/>
      <c r="B94" s="9"/>
      <c r="C94" s="133">
        <v>67</v>
      </c>
      <c r="D94" s="261">
        <v>8.1999999999999993</v>
      </c>
      <c r="E94" s="261"/>
      <c r="F94" s="261"/>
      <c r="G94" s="262" t="s">
        <v>181</v>
      </c>
      <c r="H94" s="261" t="s">
        <v>116</v>
      </c>
      <c r="I94" s="264">
        <v>410</v>
      </c>
      <c r="J94" s="263">
        <f>11281*(1+35%)</f>
        <v>15229.35</v>
      </c>
      <c r="K94" s="138">
        <f>+I94*J94</f>
        <v>6244033.5</v>
      </c>
      <c r="L94" s="10"/>
      <c r="M94" s="5"/>
    </row>
    <row r="95" spans="1:13" ht="30" customHeight="1">
      <c r="A95" s="5"/>
      <c r="B95" s="9"/>
      <c r="C95" s="133">
        <v>68</v>
      </c>
      <c r="D95" s="261">
        <v>8.3000000000000007</v>
      </c>
      <c r="E95" s="261"/>
      <c r="F95" s="261"/>
      <c r="G95" s="262" t="s">
        <v>182</v>
      </c>
      <c r="H95" s="261" t="s">
        <v>116</v>
      </c>
      <c r="I95" s="264">
        <v>410</v>
      </c>
      <c r="J95" s="263">
        <f>11226*(1+35%)</f>
        <v>15155.1</v>
      </c>
      <c r="K95" s="138">
        <f t="shared" ref="K95:K98" si="9">+I95*J95</f>
        <v>6213591</v>
      </c>
      <c r="L95" s="10"/>
      <c r="M95" s="5"/>
    </row>
    <row r="96" spans="1:13" ht="30" customHeight="1">
      <c r="A96" s="5"/>
      <c r="B96" s="9"/>
      <c r="C96" s="133">
        <v>69</v>
      </c>
      <c r="D96" s="261">
        <v>8.4</v>
      </c>
      <c r="E96" s="261"/>
      <c r="F96" s="261"/>
      <c r="G96" s="262" t="s">
        <v>183</v>
      </c>
      <c r="H96" s="261" t="s">
        <v>116</v>
      </c>
      <c r="I96" s="264">
        <v>56</v>
      </c>
      <c r="J96" s="263">
        <f>557657*(1+35%)</f>
        <v>752836.95000000007</v>
      </c>
      <c r="K96" s="138">
        <f t="shared" si="9"/>
        <v>42158869.200000003</v>
      </c>
      <c r="L96" s="10"/>
      <c r="M96" s="5"/>
    </row>
    <row r="97" spans="1:13" ht="30" customHeight="1">
      <c r="A97" s="5"/>
      <c r="B97" s="9"/>
      <c r="C97" s="133">
        <v>70</v>
      </c>
      <c r="D97" s="150">
        <v>8.5</v>
      </c>
      <c r="E97" s="150"/>
      <c r="F97" s="150"/>
      <c r="G97" s="151" t="s">
        <v>184</v>
      </c>
      <c r="H97" s="150" t="s">
        <v>116</v>
      </c>
      <c r="I97" s="248">
        <v>410</v>
      </c>
      <c r="J97" s="137">
        <f>9033*(1+35%)</f>
        <v>12194.550000000001</v>
      </c>
      <c r="K97" s="138">
        <f t="shared" si="9"/>
        <v>4999765.5</v>
      </c>
      <c r="L97" s="10"/>
      <c r="M97" s="5"/>
    </row>
    <row r="98" spans="1:13" ht="30" customHeight="1">
      <c r="A98" s="5"/>
      <c r="B98" s="9"/>
      <c r="C98" s="162">
        <v>71</v>
      </c>
      <c r="D98" s="150">
        <v>8.6</v>
      </c>
      <c r="E98" s="150"/>
      <c r="F98" s="150"/>
      <c r="G98" s="151" t="s">
        <v>185</v>
      </c>
      <c r="H98" s="150" t="s">
        <v>125</v>
      </c>
      <c r="I98" s="248">
        <v>55</v>
      </c>
      <c r="J98" s="137">
        <f>100565*(1+35%)</f>
        <v>135762.75</v>
      </c>
      <c r="K98" s="138">
        <f t="shared" si="9"/>
        <v>7466951.25</v>
      </c>
      <c r="L98" s="10"/>
      <c r="M98" s="5"/>
    </row>
    <row r="99" spans="1:13" ht="30" customHeight="1" thickBot="1">
      <c r="A99" s="5"/>
      <c r="B99" s="9"/>
      <c r="C99" s="139" t="s">
        <v>13</v>
      </c>
      <c r="D99" s="163"/>
      <c r="E99" s="163"/>
      <c r="F99" s="163"/>
      <c r="G99" s="164"/>
      <c r="H99" s="165"/>
      <c r="I99" s="265"/>
      <c r="J99" s="142"/>
      <c r="K99" s="143">
        <f>ROUND(+SUM(K93:K98),0)</f>
        <v>110951595</v>
      </c>
      <c r="L99" s="10"/>
      <c r="M99" s="5"/>
    </row>
    <row r="100" spans="1:13" ht="30" customHeight="1" thickBot="1">
      <c r="A100" s="5"/>
      <c r="B100" s="9"/>
      <c r="C100" s="130">
        <v>9</v>
      </c>
      <c r="D100" s="131" t="s">
        <v>186</v>
      </c>
      <c r="E100" s="131"/>
      <c r="F100" s="131"/>
      <c r="G100" s="131"/>
      <c r="H100" s="131"/>
      <c r="I100" s="266"/>
      <c r="J100" s="131"/>
      <c r="K100" s="132"/>
      <c r="L100" s="10"/>
      <c r="M100" s="5"/>
    </row>
    <row r="101" spans="1:13" ht="30" customHeight="1">
      <c r="A101" s="5"/>
      <c r="B101" s="9"/>
      <c r="C101" s="241">
        <v>72</v>
      </c>
      <c r="D101" s="250">
        <v>9.1</v>
      </c>
      <c r="E101" s="250"/>
      <c r="F101" s="250"/>
      <c r="G101" s="251" t="s">
        <v>187</v>
      </c>
      <c r="H101" s="250" t="s">
        <v>116</v>
      </c>
      <c r="I101" s="247">
        <v>775</v>
      </c>
      <c r="J101" s="245">
        <f>30678*(1+35%)</f>
        <v>41415.300000000003</v>
      </c>
      <c r="K101" s="221">
        <f>ROUND(+I101*J101,0)</f>
        <v>32096858</v>
      </c>
      <c r="L101" s="10"/>
      <c r="M101" s="5"/>
    </row>
    <row r="102" spans="1:13" ht="30" customHeight="1">
      <c r="A102" s="5"/>
      <c r="B102" s="9"/>
      <c r="C102" s="133">
        <v>73</v>
      </c>
      <c r="D102" s="261">
        <v>9.1999999999999993</v>
      </c>
      <c r="E102" s="261"/>
      <c r="F102" s="261"/>
      <c r="G102" s="262" t="s">
        <v>188</v>
      </c>
      <c r="H102" s="261" t="s">
        <v>116</v>
      </c>
      <c r="I102" s="264">
        <v>775</v>
      </c>
      <c r="J102" s="263">
        <f>11970*(1+35%)</f>
        <v>16159.500000000002</v>
      </c>
      <c r="K102" s="138">
        <f>ROUNDDOWN(+I102*J102,0)</f>
        <v>12523612</v>
      </c>
      <c r="L102" s="10"/>
      <c r="M102" s="5"/>
    </row>
    <row r="103" spans="1:13" ht="30" customHeight="1">
      <c r="A103" s="5"/>
      <c r="B103" s="9"/>
      <c r="C103" s="133">
        <v>74</v>
      </c>
      <c r="D103" s="261">
        <v>9.3000000000000007</v>
      </c>
      <c r="E103" s="261"/>
      <c r="F103" s="261"/>
      <c r="G103" s="262" t="s">
        <v>189</v>
      </c>
      <c r="H103" s="261" t="s">
        <v>116</v>
      </c>
      <c r="I103" s="264">
        <v>500</v>
      </c>
      <c r="J103" s="263">
        <f>22233*(1+35%)</f>
        <v>30014.550000000003</v>
      </c>
      <c r="K103" s="138">
        <f t="shared" ref="K103:K107" si="10">+I103*J103</f>
        <v>15007275.000000002</v>
      </c>
      <c r="L103" s="10"/>
      <c r="M103" s="5"/>
    </row>
    <row r="104" spans="1:13" ht="30" customHeight="1">
      <c r="A104" s="5"/>
      <c r="B104" s="9"/>
      <c r="C104" s="133">
        <v>75</v>
      </c>
      <c r="D104" s="261">
        <v>9.4</v>
      </c>
      <c r="E104" s="261"/>
      <c r="F104" s="261"/>
      <c r="G104" s="262" t="s">
        <v>190</v>
      </c>
      <c r="H104" s="261" t="s">
        <v>116</v>
      </c>
      <c r="I104" s="264">
        <v>30</v>
      </c>
      <c r="J104" s="263">
        <f>66582*(1+35%)</f>
        <v>89885.700000000012</v>
      </c>
      <c r="K104" s="138">
        <f t="shared" si="10"/>
        <v>2696571.0000000005</v>
      </c>
      <c r="L104" s="10"/>
      <c r="M104" s="5"/>
    </row>
    <row r="105" spans="1:13" ht="30" customHeight="1">
      <c r="A105" s="5"/>
      <c r="B105" s="9"/>
      <c r="C105" s="133">
        <v>76</v>
      </c>
      <c r="D105" s="261">
        <v>9.5</v>
      </c>
      <c r="E105" s="261"/>
      <c r="F105" s="261"/>
      <c r="G105" s="262" t="s">
        <v>191</v>
      </c>
      <c r="H105" s="261" t="s">
        <v>116</v>
      </c>
      <c r="I105" s="264">
        <v>20</v>
      </c>
      <c r="J105" s="263">
        <f>66582*(1+35%)</f>
        <v>89885.700000000012</v>
      </c>
      <c r="K105" s="138">
        <f t="shared" si="10"/>
        <v>1797714.0000000002</v>
      </c>
      <c r="L105" s="10"/>
      <c r="M105" s="5"/>
    </row>
    <row r="106" spans="1:13" ht="30" customHeight="1">
      <c r="A106" s="5"/>
      <c r="B106" s="9"/>
      <c r="C106" s="133">
        <v>77</v>
      </c>
      <c r="D106" s="261">
        <v>9.6</v>
      </c>
      <c r="E106" s="261"/>
      <c r="F106" s="261"/>
      <c r="G106" s="262" t="s">
        <v>192</v>
      </c>
      <c r="H106" s="261" t="s">
        <v>125</v>
      </c>
      <c r="I106" s="264">
        <v>150</v>
      </c>
      <c r="J106" s="263">
        <f>40184*(1+35%)</f>
        <v>54248.4</v>
      </c>
      <c r="K106" s="138">
        <f t="shared" si="10"/>
        <v>8137260</v>
      </c>
      <c r="L106" s="10"/>
      <c r="M106" s="5"/>
    </row>
    <row r="107" spans="1:13" ht="30" customHeight="1">
      <c r="A107" s="5"/>
      <c r="B107" s="9"/>
      <c r="C107" s="133">
        <v>78</v>
      </c>
      <c r="D107" s="261">
        <v>9.6999999999999993</v>
      </c>
      <c r="E107" s="261"/>
      <c r="F107" s="261"/>
      <c r="G107" s="262" t="s">
        <v>193</v>
      </c>
      <c r="H107" s="261" t="s">
        <v>125</v>
      </c>
      <c r="I107" s="264">
        <v>25</v>
      </c>
      <c r="J107" s="263">
        <f>74499*(1+35%)</f>
        <v>100573.65000000001</v>
      </c>
      <c r="K107" s="138">
        <f t="shared" si="10"/>
        <v>2514341.25</v>
      </c>
      <c r="L107" s="10"/>
      <c r="M107" s="5"/>
    </row>
    <row r="108" spans="1:13" ht="30" customHeight="1">
      <c r="A108" s="5"/>
      <c r="B108" s="9"/>
      <c r="C108" s="133">
        <v>79</v>
      </c>
      <c r="D108" s="150">
        <v>9.8000000000000007</v>
      </c>
      <c r="E108" s="150"/>
      <c r="F108" s="150"/>
      <c r="G108" s="151" t="s">
        <v>194</v>
      </c>
      <c r="H108" s="150" t="s">
        <v>125</v>
      </c>
      <c r="I108" s="248">
        <v>200</v>
      </c>
      <c r="J108" s="137">
        <f>50781*(1+35%)</f>
        <v>68554.350000000006</v>
      </c>
      <c r="K108" s="138">
        <f>+I108*J108</f>
        <v>13710870.000000002</v>
      </c>
      <c r="L108" s="10"/>
      <c r="M108" s="5"/>
    </row>
    <row r="109" spans="1:13" ht="30" customHeight="1" thickBot="1">
      <c r="A109" s="5"/>
      <c r="B109" s="9"/>
      <c r="C109" s="139" t="s">
        <v>13</v>
      </c>
      <c r="D109" s="163"/>
      <c r="E109" s="163"/>
      <c r="F109" s="163"/>
      <c r="G109" s="164"/>
      <c r="H109" s="165"/>
      <c r="I109" s="252"/>
      <c r="J109" s="142"/>
      <c r="K109" s="143">
        <f>ROUNDDOWN(SUM(K101:K108),0)</f>
        <v>88484501</v>
      </c>
      <c r="L109" s="10"/>
      <c r="M109" s="5"/>
    </row>
    <row r="110" spans="1:13" ht="30" customHeight="1" thickBot="1">
      <c r="A110" s="5"/>
      <c r="B110" s="9"/>
      <c r="C110" s="130">
        <v>10</v>
      </c>
      <c r="D110" s="131" t="s">
        <v>195</v>
      </c>
      <c r="E110" s="131"/>
      <c r="F110" s="131"/>
      <c r="G110" s="131"/>
      <c r="H110" s="131"/>
      <c r="I110" s="131"/>
      <c r="J110" s="131"/>
      <c r="K110" s="132"/>
      <c r="L110" s="10"/>
      <c r="M110" s="5"/>
    </row>
    <row r="111" spans="1:13" ht="30" customHeight="1">
      <c r="A111" s="5"/>
      <c r="B111" s="9"/>
      <c r="C111" s="241">
        <v>80</v>
      </c>
      <c r="D111" s="250">
        <v>10.1</v>
      </c>
      <c r="E111" s="250"/>
      <c r="F111" s="250"/>
      <c r="G111" s="251" t="s">
        <v>196</v>
      </c>
      <c r="H111" s="250" t="s">
        <v>108</v>
      </c>
      <c r="I111" s="247">
        <v>2</v>
      </c>
      <c r="J111" s="245">
        <f>1381866*(1+35%)</f>
        <v>1865519.1</v>
      </c>
      <c r="K111" s="221">
        <f>+I111*J111</f>
        <v>3731038.2</v>
      </c>
      <c r="L111" s="10"/>
      <c r="M111" s="5"/>
    </row>
    <row r="112" spans="1:13" ht="30" customHeight="1" thickBot="1">
      <c r="A112" s="5"/>
      <c r="B112" s="9"/>
      <c r="C112" s="139" t="s">
        <v>13</v>
      </c>
      <c r="D112" s="163"/>
      <c r="E112" s="163"/>
      <c r="F112" s="163"/>
      <c r="G112" s="164"/>
      <c r="H112" s="165"/>
      <c r="I112" s="265"/>
      <c r="J112" s="142"/>
      <c r="K112" s="143">
        <f>ROUND(+SUM(K111),0)</f>
        <v>3731038</v>
      </c>
      <c r="L112" s="10"/>
      <c r="M112" s="5"/>
    </row>
    <row r="113" spans="1:13" ht="30" customHeight="1" thickBot="1">
      <c r="A113" s="5"/>
      <c r="B113" s="9"/>
      <c r="C113" s="130">
        <v>11</v>
      </c>
      <c r="D113" s="131" t="s">
        <v>197</v>
      </c>
      <c r="E113" s="131"/>
      <c r="F113" s="131"/>
      <c r="G113" s="131"/>
      <c r="H113" s="131"/>
      <c r="I113" s="266"/>
      <c r="J113" s="131"/>
      <c r="K113" s="132"/>
      <c r="L113" s="10"/>
      <c r="M113" s="5"/>
    </row>
    <row r="114" spans="1:13" ht="30" customHeight="1">
      <c r="A114" s="5"/>
      <c r="B114" s="9"/>
      <c r="C114" s="241">
        <v>81</v>
      </c>
      <c r="D114" s="250" t="s">
        <v>198</v>
      </c>
      <c r="E114" s="250"/>
      <c r="F114" s="250"/>
      <c r="G114" s="251" t="s">
        <v>203</v>
      </c>
      <c r="H114" s="250" t="s">
        <v>108</v>
      </c>
      <c r="I114" s="247">
        <v>1</v>
      </c>
      <c r="J114" s="245">
        <f>2738001*(1+35%)</f>
        <v>3696301.35</v>
      </c>
      <c r="K114" s="221">
        <f>+I114*J114</f>
        <v>3696301.35</v>
      </c>
      <c r="L114" s="10"/>
      <c r="M114" s="5"/>
    </row>
    <row r="115" spans="1:13" ht="30" customHeight="1">
      <c r="A115" s="5"/>
      <c r="B115" s="9"/>
      <c r="C115" s="133">
        <v>82</v>
      </c>
      <c r="D115" s="261" t="s">
        <v>199</v>
      </c>
      <c r="E115" s="261"/>
      <c r="F115" s="261"/>
      <c r="G115" s="262" t="s">
        <v>204</v>
      </c>
      <c r="H115" s="261" t="s">
        <v>108</v>
      </c>
      <c r="I115" s="264">
        <v>1</v>
      </c>
      <c r="J115" s="263">
        <f>1840939*(1+35%)</f>
        <v>2485267.6500000004</v>
      </c>
      <c r="K115" s="138">
        <f>+I115*J115</f>
        <v>2485267.6500000004</v>
      </c>
      <c r="L115" s="10"/>
      <c r="M115" s="5"/>
    </row>
    <row r="116" spans="1:13" ht="30" customHeight="1">
      <c r="A116" s="5"/>
      <c r="B116" s="9"/>
      <c r="C116" s="133">
        <v>83</v>
      </c>
      <c r="D116" s="261" t="s">
        <v>200</v>
      </c>
      <c r="E116" s="261"/>
      <c r="F116" s="261"/>
      <c r="G116" s="262" t="s">
        <v>205</v>
      </c>
      <c r="H116" s="261" t="s">
        <v>108</v>
      </c>
      <c r="I116" s="264">
        <v>1</v>
      </c>
      <c r="J116" s="263">
        <f>5020966*(1+35%)</f>
        <v>6778304.1000000006</v>
      </c>
      <c r="K116" s="138">
        <f t="shared" ref="K116:K118" si="11">+I116*J116</f>
        <v>6778304.1000000006</v>
      </c>
      <c r="L116" s="10"/>
      <c r="M116" s="5"/>
    </row>
    <row r="117" spans="1:13" ht="30" customHeight="1">
      <c r="A117" s="5"/>
      <c r="B117" s="9"/>
      <c r="C117" s="162">
        <v>84</v>
      </c>
      <c r="D117" s="150" t="s">
        <v>201</v>
      </c>
      <c r="E117" s="150"/>
      <c r="F117" s="150"/>
      <c r="G117" s="151" t="s">
        <v>206</v>
      </c>
      <c r="H117" s="150" t="s">
        <v>108</v>
      </c>
      <c r="I117" s="248">
        <v>1</v>
      </c>
      <c r="J117" s="137">
        <f>1871966*(1+35%)</f>
        <v>2527154.1</v>
      </c>
      <c r="K117" s="138">
        <f t="shared" si="11"/>
        <v>2527154.1</v>
      </c>
      <c r="L117" s="10"/>
      <c r="M117" s="5"/>
    </row>
    <row r="118" spans="1:13" ht="30" customHeight="1">
      <c r="A118" s="5"/>
      <c r="B118" s="9"/>
      <c r="C118" s="162">
        <v>85</v>
      </c>
      <c r="D118" s="150" t="s">
        <v>202</v>
      </c>
      <c r="E118" s="150"/>
      <c r="F118" s="150"/>
      <c r="G118" s="151" t="s">
        <v>207</v>
      </c>
      <c r="H118" s="150" t="s">
        <v>108</v>
      </c>
      <c r="I118" s="248">
        <v>4</v>
      </c>
      <c r="J118" s="137">
        <f>690106*(1+35%)</f>
        <v>931643.10000000009</v>
      </c>
      <c r="K118" s="138">
        <f t="shared" si="11"/>
        <v>3726572.4000000004</v>
      </c>
      <c r="L118" s="10"/>
      <c r="M118" s="5"/>
    </row>
    <row r="119" spans="1:13" ht="30" customHeight="1" thickBot="1">
      <c r="A119" s="5"/>
      <c r="B119" s="9"/>
      <c r="C119" s="139" t="s">
        <v>13</v>
      </c>
      <c r="D119" s="163"/>
      <c r="E119" s="163"/>
      <c r="F119" s="163"/>
      <c r="G119" s="164"/>
      <c r="H119" s="165"/>
      <c r="I119" s="252"/>
      <c r="J119" s="142"/>
      <c r="K119" s="143">
        <f>ROUND(+SUM(K114:K118),0)</f>
        <v>19213600</v>
      </c>
      <c r="L119" s="10"/>
      <c r="M119" s="5"/>
    </row>
    <row r="120" spans="1:13" ht="30" customHeight="1" thickBot="1">
      <c r="A120" s="5"/>
      <c r="B120" s="9"/>
      <c r="C120" s="130">
        <v>11.2</v>
      </c>
      <c r="D120" s="131" t="s">
        <v>224</v>
      </c>
      <c r="E120" s="131"/>
      <c r="F120" s="131"/>
      <c r="G120" s="131"/>
      <c r="H120" s="131"/>
      <c r="I120" s="131"/>
      <c r="J120" s="131"/>
      <c r="K120" s="132"/>
      <c r="L120" s="10"/>
      <c r="M120" s="5"/>
    </row>
    <row r="121" spans="1:13" ht="30" customHeight="1">
      <c r="A121" s="5"/>
      <c r="B121" s="9"/>
      <c r="C121" s="241">
        <v>86</v>
      </c>
      <c r="D121" s="250" t="s">
        <v>208</v>
      </c>
      <c r="E121" s="250"/>
      <c r="F121" s="250"/>
      <c r="G121" s="251" t="s">
        <v>210</v>
      </c>
      <c r="H121" s="250" t="s">
        <v>108</v>
      </c>
      <c r="I121" s="247">
        <v>1</v>
      </c>
      <c r="J121" s="245">
        <f>3287423*(1+35%)</f>
        <v>4438021.0500000007</v>
      </c>
      <c r="K121" s="221">
        <f>+I121*J121</f>
        <v>4438021.0500000007</v>
      </c>
      <c r="L121" s="10"/>
      <c r="M121" s="5"/>
    </row>
    <row r="122" spans="1:13" ht="30" customHeight="1">
      <c r="A122" s="5"/>
      <c r="B122" s="9"/>
      <c r="C122" s="133">
        <v>87</v>
      </c>
      <c r="D122" s="150" t="s">
        <v>209</v>
      </c>
      <c r="E122" s="150"/>
      <c r="F122" s="150"/>
      <c r="G122" s="151" t="s">
        <v>211</v>
      </c>
      <c r="H122" s="150" t="s">
        <v>108</v>
      </c>
      <c r="I122" s="248">
        <v>2</v>
      </c>
      <c r="J122" s="137">
        <f>601881*(1+35%)</f>
        <v>812539.35000000009</v>
      </c>
      <c r="K122" s="145">
        <f>+I122*J122</f>
        <v>1625078.7000000002</v>
      </c>
      <c r="L122" s="10"/>
      <c r="M122" s="5"/>
    </row>
    <row r="123" spans="1:13" ht="30" customHeight="1" thickBot="1">
      <c r="A123" s="5"/>
      <c r="B123" s="9"/>
      <c r="C123" s="139" t="s">
        <v>13</v>
      </c>
      <c r="D123" s="163"/>
      <c r="E123" s="163"/>
      <c r="F123" s="163"/>
      <c r="G123" s="164"/>
      <c r="H123" s="165"/>
      <c r="I123" s="265"/>
      <c r="J123" s="142"/>
      <c r="K123" s="143">
        <f>ROUND(+SUM(K121:K122),0)</f>
        <v>6063100</v>
      </c>
      <c r="L123" s="10"/>
      <c r="M123" s="5"/>
    </row>
    <row r="124" spans="1:13" ht="30" customHeight="1" thickBot="1">
      <c r="A124" s="5"/>
      <c r="B124" s="9"/>
      <c r="C124" s="130">
        <v>11.3</v>
      </c>
      <c r="D124" s="131" t="s">
        <v>225</v>
      </c>
      <c r="E124" s="131"/>
      <c r="F124" s="131"/>
      <c r="G124" s="131"/>
      <c r="H124" s="131"/>
      <c r="I124" s="266"/>
      <c r="J124" s="131"/>
      <c r="K124" s="132"/>
      <c r="L124" s="10"/>
      <c r="M124" s="5"/>
    </row>
    <row r="125" spans="1:13" ht="30" customHeight="1">
      <c r="A125" s="5"/>
      <c r="B125" s="9"/>
      <c r="C125" s="241">
        <v>88</v>
      </c>
      <c r="D125" s="250" t="s">
        <v>212</v>
      </c>
      <c r="E125" s="250"/>
      <c r="F125" s="250"/>
      <c r="G125" s="251" t="s">
        <v>218</v>
      </c>
      <c r="H125" s="250" t="s">
        <v>108</v>
      </c>
      <c r="I125" s="247">
        <v>45</v>
      </c>
      <c r="J125" s="245">
        <f>39071*(1+35%)</f>
        <v>52745.850000000006</v>
      </c>
      <c r="K125" s="221">
        <f>+I125*J125</f>
        <v>2373563.2500000005</v>
      </c>
      <c r="L125" s="10"/>
      <c r="M125" s="5"/>
    </row>
    <row r="126" spans="1:13" ht="30" customHeight="1">
      <c r="A126" s="5"/>
      <c r="B126" s="9"/>
      <c r="C126" s="133">
        <v>89</v>
      </c>
      <c r="D126" s="261" t="s">
        <v>213</v>
      </c>
      <c r="E126" s="261"/>
      <c r="F126" s="261"/>
      <c r="G126" s="262" t="s">
        <v>219</v>
      </c>
      <c r="H126" s="261" t="s">
        <v>108</v>
      </c>
      <c r="I126" s="264">
        <v>16</v>
      </c>
      <c r="J126" s="263">
        <f>44870*(1+35%)</f>
        <v>60574.500000000007</v>
      </c>
      <c r="K126" s="138">
        <f>+I126*J126</f>
        <v>969192.00000000012</v>
      </c>
      <c r="L126" s="10"/>
      <c r="M126" s="5"/>
    </row>
    <row r="127" spans="1:13" ht="30" customHeight="1">
      <c r="A127" s="5"/>
      <c r="B127" s="9"/>
      <c r="C127" s="133">
        <v>90</v>
      </c>
      <c r="D127" s="261" t="s">
        <v>215</v>
      </c>
      <c r="E127" s="261"/>
      <c r="F127" s="261"/>
      <c r="G127" s="262" t="s">
        <v>220</v>
      </c>
      <c r="H127" s="261" t="s">
        <v>108</v>
      </c>
      <c r="I127" s="264">
        <v>2</v>
      </c>
      <c r="J127" s="263">
        <f>39962*(1+35%)</f>
        <v>53948.700000000004</v>
      </c>
      <c r="K127" s="138">
        <f t="shared" ref="K127:K130" si="12">+I127*J127</f>
        <v>107897.40000000001</v>
      </c>
      <c r="L127" s="10"/>
      <c r="M127" s="5"/>
    </row>
    <row r="128" spans="1:13" ht="30" customHeight="1">
      <c r="A128" s="5"/>
      <c r="B128" s="9"/>
      <c r="C128" s="133">
        <v>91</v>
      </c>
      <c r="D128" s="261" t="s">
        <v>214</v>
      </c>
      <c r="E128" s="261"/>
      <c r="F128" s="261"/>
      <c r="G128" s="262" t="s">
        <v>221</v>
      </c>
      <c r="H128" s="261" t="s">
        <v>108</v>
      </c>
      <c r="I128" s="264">
        <v>20</v>
      </c>
      <c r="J128" s="263">
        <f>74465*(1+35%)</f>
        <v>100527.75</v>
      </c>
      <c r="K128" s="138">
        <f t="shared" si="12"/>
        <v>2010555</v>
      </c>
      <c r="L128" s="10"/>
      <c r="M128" s="5"/>
    </row>
    <row r="129" spans="1:13" ht="30" customHeight="1">
      <c r="A129" s="5"/>
      <c r="B129" s="9"/>
      <c r="C129" s="133">
        <v>92</v>
      </c>
      <c r="D129" s="150" t="s">
        <v>216</v>
      </c>
      <c r="E129" s="150"/>
      <c r="F129" s="150"/>
      <c r="G129" s="151" t="s">
        <v>222</v>
      </c>
      <c r="H129" s="150" t="s">
        <v>108</v>
      </c>
      <c r="I129" s="248">
        <v>40</v>
      </c>
      <c r="J129" s="137">
        <f>54135*(1+35%)</f>
        <v>73082.25</v>
      </c>
      <c r="K129" s="138">
        <f t="shared" si="12"/>
        <v>2923290</v>
      </c>
      <c r="L129" s="10"/>
      <c r="M129" s="5"/>
    </row>
    <row r="130" spans="1:13" ht="30" customHeight="1">
      <c r="A130" s="5"/>
      <c r="B130" s="9"/>
      <c r="C130" s="133">
        <v>93</v>
      </c>
      <c r="D130" s="150" t="s">
        <v>217</v>
      </c>
      <c r="E130" s="150"/>
      <c r="F130" s="150"/>
      <c r="G130" s="151" t="s">
        <v>223</v>
      </c>
      <c r="H130" s="150" t="s">
        <v>108</v>
      </c>
      <c r="I130" s="248">
        <v>22</v>
      </c>
      <c r="J130" s="137">
        <f>83856*(1+35%)</f>
        <v>113205.6</v>
      </c>
      <c r="K130" s="138">
        <f t="shared" si="12"/>
        <v>2490523.2000000002</v>
      </c>
      <c r="L130" s="10"/>
      <c r="M130" s="5"/>
    </row>
    <row r="131" spans="1:13" ht="30" customHeight="1" thickBot="1">
      <c r="A131" s="5"/>
      <c r="B131" s="9"/>
      <c r="C131" s="139" t="s">
        <v>13</v>
      </c>
      <c r="D131" s="163"/>
      <c r="E131" s="163"/>
      <c r="F131" s="163"/>
      <c r="G131" s="164"/>
      <c r="H131" s="165"/>
      <c r="I131" s="252"/>
      <c r="J131" s="142"/>
      <c r="K131" s="143">
        <f>ROUND(SUM(K125:K130),0)</f>
        <v>10875021</v>
      </c>
      <c r="L131" s="10"/>
      <c r="M131" s="5"/>
    </row>
    <row r="132" spans="1:13" ht="30" customHeight="1" thickBot="1">
      <c r="A132" s="5"/>
      <c r="B132" s="9"/>
      <c r="C132" s="130">
        <v>12</v>
      </c>
      <c r="D132" s="131" t="s">
        <v>226</v>
      </c>
      <c r="E132" s="131"/>
      <c r="F132" s="131"/>
      <c r="G132" s="131"/>
      <c r="H132" s="131"/>
      <c r="I132" s="131"/>
      <c r="J132" s="131"/>
      <c r="K132" s="132"/>
      <c r="L132" s="10"/>
      <c r="M132" s="5"/>
    </row>
    <row r="133" spans="1:13" ht="30" customHeight="1">
      <c r="A133" s="5"/>
      <c r="B133" s="9"/>
      <c r="C133" s="241">
        <v>94</v>
      </c>
      <c r="D133" s="250">
        <v>12.1</v>
      </c>
      <c r="E133" s="250"/>
      <c r="F133" s="250"/>
      <c r="G133" s="251" t="s">
        <v>227</v>
      </c>
      <c r="H133" s="250" t="s">
        <v>108</v>
      </c>
      <c r="I133" s="247">
        <v>1</v>
      </c>
      <c r="J133" s="245">
        <f>854590*(1+35%)</f>
        <v>1153696.5</v>
      </c>
      <c r="K133" s="221">
        <f>+I133*J133</f>
        <v>1153696.5</v>
      </c>
      <c r="L133" s="10"/>
      <c r="M133" s="5"/>
    </row>
    <row r="134" spans="1:13" ht="30" customHeight="1">
      <c r="A134" s="5"/>
      <c r="B134" s="9"/>
      <c r="C134" s="133">
        <v>95</v>
      </c>
      <c r="D134" s="261">
        <v>12.2</v>
      </c>
      <c r="E134" s="261"/>
      <c r="F134" s="261"/>
      <c r="G134" s="262" t="s">
        <v>228</v>
      </c>
      <c r="H134" s="261" t="s">
        <v>108</v>
      </c>
      <c r="I134" s="264">
        <v>2</v>
      </c>
      <c r="J134" s="263">
        <f>508245*(1+35%)</f>
        <v>686130.75</v>
      </c>
      <c r="K134" s="138">
        <f>+I134*J134</f>
        <v>1372261.5</v>
      </c>
      <c r="L134" s="10"/>
      <c r="M134" s="5"/>
    </row>
    <row r="135" spans="1:13" ht="30" customHeight="1">
      <c r="A135" s="5"/>
      <c r="B135" s="9"/>
      <c r="C135" s="133">
        <v>96</v>
      </c>
      <c r="D135" s="261">
        <v>12.3</v>
      </c>
      <c r="E135" s="261"/>
      <c r="F135" s="261"/>
      <c r="G135" s="262" t="s">
        <v>229</v>
      </c>
      <c r="H135" s="261" t="s">
        <v>108</v>
      </c>
      <c r="I135" s="264">
        <v>11</v>
      </c>
      <c r="J135" s="263">
        <f>199301*(1+35%)</f>
        <v>269056.35000000003</v>
      </c>
      <c r="K135" s="138">
        <f t="shared" ref="K135:K139" si="13">+I135*J135</f>
        <v>2959619.8500000006</v>
      </c>
      <c r="L135" s="10"/>
      <c r="M135" s="5"/>
    </row>
    <row r="136" spans="1:13" ht="30" customHeight="1">
      <c r="A136" s="5"/>
      <c r="B136" s="9"/>
      <c r="C136" s="133">
        <v>97</v>
      </c>
      <c r="D136" s="261">
        <v>12.4</v>
      </c>
      <c r="E136" s="261"/>
      <c r="F136" s="261"/>
      <c r="G136" s="262" t="s">
        <v>230</v>
      </c>
      <c r="H136" s="261" t="s">
        <v>108</v>
      </c>
      <c r="I136" s="264">
        <v>1</v>
      </c>
      <c r="J136" s="263">
        <f>3003807*(1+35%)</f>
        <v>4055139.45</v>
      </c>
      <c r="K136" s="138">
        <f t="shared" si="13"/>
        <v>4055139.45</v>
      </c>
      <c r="L136" s="10"/>
      <c r="M136" s="5"/>
    </row>
    <row r="137" spans="1:13" ht="30" customHeight="1">
      <c r="A137" s="5"/>
      <c r="B137" s="9"/>
      <c r="C137" s="133">
        <v>98</v>
      </c>
      <c r="D137" s="150">
        <v>12.5</v>
      </c>
      <c r="E137" s="261"/>
      <c r="F137" s="261"/>
      <c r="G137" s="262" t="s">
        <v>231</v>
      </c>
      <c r="H137" s="261" t="s">
        <v>108</v>
      </c>
      <c r="I137" s="264">
        <v>2</v>
      </c>
      <c r="J137" s="263">
        <f>634667*(1+35%)</f>
        <v>856800.45000000007</v>
      </c>
      <c r="K137" s="138">
        <f t="shared" si="13"/>
        <v>1713600.9000000001</v>
      </c>
      <c r="L137" s="10"/>
      <c r="M137" s="5"/>
    </row>
    <row r="138" spans="1:13" ht="30" customHeight="1">
      <c r="A138" s="5"/>
      <c r="B138" s="9"/>
      <c r="C138" s="133">
        <v>99</v>
      </c>
      <c r="D138" s="150">
        <v>12.6</v>
      </c>
      <c r="E138" s="150"/>
      <c r="F138" s="150"/>
      <c r="G138" s="151" t="s">
        <v>232</v>
      </c>
      <c r="H138" s="150" t="s">
        <v>108</v>
      </c>
      <c r="I138" s="248">
        <v>4</v>
      </c>
      <c r="J138" s="137">
        <f>811092*(1+35%)</f>
        <v>1094974.2000000002</v>
      </c>
      <c r="K138" s="138">
        <f t="shared" si="13"/>
        <v>4379896.8000000007</v>
      </c>
      <c r="L138" s="10"/>
      <c r="M138" s="5"/>
    </row>
    <row r="139" spans="1:13" ht="30" customHeight="1">
      <c r="A139" s="5"/>
      <c r="B139" s="9"/>
      <c r="C139" s="162">
        <v>100</v>
      </c>
      <c r="D139" s="150">
        <v>12.7</v>
      </c>
      <c r="E139" s="150"/>
      <c r="F139" s="150"/>
      <c r="G139" s="151" t="s">
        <v>233</v>
      </c>
      <c r="H139" s="150" t="s">
        <v>108</v>
      </c>
      <c r="I139" s="248">
        <v>13</v>
      </c>
      <c r="J139" s="137">
        <f>707409*(1+35%)</f>
        <v>955002.15</v>
      </c>
      <c r="K139" s="138">
        <f t="shared" si="13"/>
        <v>12415027.950000001</v>
      </c>
      <c r="L139" s="10"/>
      <c r="M139" s="5"/>
    </row>
    <row r="140" spans="1:13" ht="30" customHeight="1" thickBot="1">
      <c r="A140" s="5"/>
      <c r="B140" s="9"/>
      <c r="C140" s="139" t="s">
        <v>13</v>
      </c>
      <c r="D140" s="163"/>
      <c r="E140" s="163"/>
      <c r="F140" s="163"/>
      <c r="G140" s="164"/>
      <c r="H140" s="165"/>
      <c r="I140" s="252"/>
      <c r="J140" s="137"/>
      <c r="K140" s="143">
        <f>ROUND(+SUM(K133:K139),0)</f>
        <v>28049243</v>
      </c>
      <c r="L140" s="10"/>
      <c r="M140" s="5"/>
    </row>
    <row r="141" spans="1:13" ht="30" customHeight="1" thickBot="1">
      <c r="A141" s="5"/>
      <c r="B141" s="9"/>
      <c r="C141" s="130">
        <v>13</v>
      </c>
      <c r="D141" s="131" t="s">
        <v>234</v>
      </c>
      <c r="E141" s="131"/>
      <c r="F141" s="131"/>
      <c r="G141" s="131"/>
      <c r="H141" s="131"/>
      <c r="I141" s="131"/>
      <c r="J141" s="131"/>
      <c r="K141" s="132"/>
      <c r="L141" s="10"/>
      <c r="M141" s="5"/>
    </row>
    <row r="142" spans="1:13" ht="30" customHeight="1">
      <c r="A142" s="5"/>
      <c r="B142" s="9"/>
      <c r="C142" s="241">
        <v>101</v>
      </c>
      <c r="D142" s="250">
        <v>13.1</v>
      </c>
      <c r="E142" s="250"/>
      <c r="F142" s="250"/>
      <c r="G142" s="251" t="s">
        <v>236</v>
      </c>
      <c r="H142" s="250" t="s">
        <v>237</v>
      </c>
      <c r="I142" s="244">
        <v>1</v>
      </c>
      <c r="J142" s="245">
        <f>1177889*(1+35%)</f>
        <v>1590150.1500000001</v>
      </c>
      <c r="K142" s="221">
        <f>ROUND(+I142*J142,0)</f>
        <v>1590150</v>
      </c>
      <c r="L142" s="10"/>
      <c r="M142" s="5"/>
    </row>
    <row r="143" spans="1:13" ht="30" customHeight="1" thickBot="1">
      <c r="A143" s="5"/>
      <c r="B143" s="9"/>
      <c r="C143" s="139" t="s">
        <v>13</v>
      </c>
      <c r="D143" s="163"/>
      <c r="E143" s="163"/>
      <c r="F143" s="163"/>
      <c r="G143" s="164"/>
      <c r="H143" s="165"/>
      <c r="I143" s="252"/>
      <c r="J143" s="142"/>
      <c r="K143" s="143">
        <f>+SUM(K142)</f>
        <v>1590150</v>
      </c>
      <c r="L143" s="10"/>
      <c r="M143" s="5"/>
    </row>
    <row r="144" spans="1:13" ht="30" customHeight="1" thickBot="1">
      <c r="A144" s="5"/>
      <c r="B144" s="9"/>
      <c r="C144" s="130">
        <v>14</v>
      </c>
      <c r="D144" s="131" t="s">
        <v>235</v>
      </c>
      <c r="E144" s="131"/>
      <c r="F144" s="131"/>
      <c r="G144" s="131"/>
      <c r="H144" s="131"/>
      <c r="I144" s="131"/>
      <c r="J144" s="131"/>
      <c r="K144" s="132"/>
      <c r="L144" s="10"/>
      <c r="M144" s="5"/>
    </row>
    <row r="145" spans="1:14" ht="30" customHeight="1">
      <c r="A145" s="5"/>
      <c r="B145" s="9"/>
      <c r="C145" s="241">
        <v>102</v>
      </c>
      <c r="D145" s="250">
        <v>14.1</v>
      </c>
      <c r="E145" s="250"/>
      <c r="F145" s="250"/>
      <c r="G145" s="251" t="s">
        <v>238</v>
      </c>
      <c r="H145" s="250" t="s">
        <v>108</v>
      </c>
      <c r="I145" s="244">
        <v>1</v>
      </c>
      <c r="J145" s="245">
        <f>1362065*(1+35%)</f>
        <v>1838787.7500000002</v>
      </c>
      <c r="K145" s="221">
        <f>ROUND(+I145*J145,0)</f>
        <v>1838788</v>
      </c>
      <c r="L145" s="10"/>
      <c r="M145" s="5"/>
    </row>
    <row r="146" spans="1:14" ht="30" customHeight="1" thickBot="1">
      <c r="A146" s="5"/>
      <c r="B146" s="9"/>
      <c r="C146" s="139" t="s">
        <v>13</v>
      </c>
      <c r="D146" s="163"/>
      <c r="E146" s="163"/>
      <c r="F146" s="163"/>
      <c r="G146" s="164"/>
      <c r="H146" s="165"/>
      <c r="I146" s="252"/>
      <c r="J146" s="142"/>
      <c r="K146" s="143">
        <f>+SUM(K145)</f>
        <v>1838788</v>
      </c>
      <c r="L146" s="10"/>
      <c r="M146" s="5"/>
    </row>
    <row r="147" spans="1:14" ht="30" customHeight="1" thickBot="1">
      <c r="A147" s="5"/>
      <c r="B147" s="9"/>
      <c r="C147" s="307" t="s">
        <v>14</v>
      </c>
      <c r="D147" s="308"/>
      <c r="E147" s="308"/>
      <c r="F147" s="308"/>
      <c r="G147" s="308"/>
      <c r="H147" s="308"/>
      <c r="I147" s="308"/>
      <c r="J147" s="309"/>
      <c r="K147" s="267">
        <f>+K146+K143+K140+K131+K123+K119+K112+K109+K99+K91+K80++K68+K41+K34+K26+K20</f>
        <v>869146754</v>
      </c>
      <c r="L147" s="10"/>
      <c r="M147" s="5"/>
      <c r="N147" s="269"/>
    </row>
    <row r="148" spans="1:14" s="3" customFormat="1" ht="30" customHeight="1">
      <c r="A148" s="11"/>
      <c r="B148" s="12"/>
      <c r="C148" s="170"/>
      <c r="D148" s="171"/>
      <c r="E148" s="170"/>
      <c r="F148" s="170"/>
      <c r="G148" s="237"/>
      <c r="H148" s="253"/>
      <c r="I148" s="254"/>
      <c r="J148" s="255"/>
      <c r="K148" s="258"/>
      <c r="L148" s="13"/>
      <c r="M148" s="11"/>
    </row>
    <row r="149" spans="1:14" s="3" customFormat="1" ht="30" customHeight="1" thickBot="1">
      <c r="A149" s="11"/>
      <c r="B149" s="12"/>
      <c r="C149" s="170"/>
      <c r="D149" s="171"/>
      <c r="E149" s="170"/>
      <c r="F149" s="187"/>
      <c r="G149" s="185"/>
      <c r="H149" s="180"/>
      <c r="I149" s="181"/>
      <c r="J149" s="256"/>
      <c r="K149" s="259"/>
      <c r="L149" s="13"/>
      <c r="M149" s="11"/>
    </row>
    <row r="150" spans="1:14" s="3" customFormat="1" ht="30" customHeight="1" thickBot="1">
      <c r="A150" s="11"/>
      <c r="B150" s="12"/>
      <c r="C150" s="170"/>
      <c r="D150" s="171"/>
      <c r="E150" s="170"/>
      <c r="F150" s="170"/>
      <c r="G150" s="188" t="s">
        <v>16</v>
      </c>
      <c r="H150" s="189"/>
      <c r="I150" s="190"/>
      <c r="J150" s="257"/>
      <c r="K150" s="260"/>
      <c r="L150" s="13"/>
      <c r="M150" s="11"/>
    </row>
    <row r="151" spans="1:14" s="3" customFormat="1" ht="16.2" thickBot="1">
      <c r="A151" s="11"/>
      <c r="B151" s="12"/>
      <c r="C151" s="170"/>
      <c r="D151" s="171"/>
      <c r="E151" s="171"/>
      <c r="F151" s="171"/>
      <c r="G151" s="170"/>
      <c r="H151" s="170"/>
      <c r="I151" s="192"/>
      <c r="J151" s="193"/>
      <c r="K151" s="194"/>
      <c r="L151" s="13"/>
      <c r="M151" s="11"/>
    </row>
    <row r="152" spans="1:14" s="3" customFormat="1" ht="15.6">
      <c r="A152" s="11"/>
      <c r="B152" s="12"/>
      <c r="C152" s="195"/>
      <c r="D152" s="304"/>
      <c r="E152" s="304"/>
      <c r="F152" s="304"/>
      <c r="G152" s="304"/>
      <c r="H152" s="304"/>
      <c r="I152" s="304"/>
      <c r="J152" s="304"/>
      <c r="K152" s="305"/>
      <c r="L152" s="14"/>
      <c r="M152" s="11"/>
    </row>
    <row r="153" spans="1:14" s="3" customFormat="1" ht="46.5" customHeight="1">
      <c r="A153" s="11"/>
      <c r="B153" s="12"/>
      <c r="C153" s="292" t="s">
        <v>17</v>
      </c>
      <c r="D153" s="293"/>
      <c r="E153" s="293"/>
      <c r="F153" s="293"/>
      <c r="G153" s="293"/>
      <c r="H153" s="303" t="s">
        <v>18</v>
      </c>
      <c r="I153" s="303"/>
      <c r="J153" s="303"/>
      <c r="K153" s="196" t="s">
        <v>19</v>
      </c>
      <c r="L153" s="15"/>
      <c r="M153" s="11"/>
    </row>
    <row r="154" spans="1:14" s="3" customFormat="1" ht="32.25" customHeight="1">
      <c r="A154" s="11"/>
      <c r="B154" s="12"/>
      <c r="C154" s="292" t="s">
        <v>20</v>
      </c>
      <c r="D154" s="293"/>
      <c r="E154" s="293"/>
      <c r="F154" s="293"/>
      <c r="G154" s="293"/>
      <c r="H154" s="302" t="s">
        <v>21</v>
      </c>
      <c r="I154" s="302"/>
      <c r="J154" s="197" t="s">
        <v>22</v>
      </c>
      <c r="K154" s="198">
        <v>0.28999999999999998</v>
      </c>
      <c r="L154" s="15"/>
      <c r="M154" s="11"/>
    </row>
    <row r="155" spans="1:14" s="3" customFormat="1" ht="30" customHeight="1">
      <c r="A155" s="11"/>
      <c r="B155" s="12"/>
      <c r="C155" s="292" t="s">
        <v>23</v>
      </c>
      <c r="D155" s="293"/>
      <c r="E155" s="293"/>
      <c r="F155" s="293"/>
      <c r="G155" s="293"/>
      <c r="H155" s="299" t="s">
        <v>24</v>
      </c>
      <c r="I155" s="300"/>
      <c r="J155" s="197" t="s">
        <v>25</v>
      </c>
      <c r="K155" s="198">
        <v>0.01</v>
      </c>
      <c r="L155" s="15"/>
      <c r="M155" s="11"/>
    </row>
    <row r="156" spans="1:14" s="4" customFormat="1" ht="58.5" customHeight="1">
      <c r="A156" s="11"/>
      <c r="B156" s="12"/>
      <c r="C156" s="208"/>
      <c r="E156" s="209"/>
      <c r="F156" s="209"/>
      <c r="G156" s="210"/>
      <c r="H156" s="301" t="s">
        <v>26</v>
      </c>
      <c r="I156" s="302"/>
      <c r="J156" s="197" t="s">
        <v>27</v>
      </c>
      <c r="K156" s="198">
        <v>0.05</v>
      </c>
      <c r="L156" s="13"/>
      <c r="M156" s="11"/>
    </row>
    <row r="157" spans="1:14" ht="57" customHeight="1">
      <c r="A157" s="5"/>
      <c r="B157" s="9"/>
      <c r="C157" s="211"/>
      <c r="D157" s="212"/>
      <c r="E157" s="212"/>
      <c r="F157" s="212"/>
      <c r="G157" s="213"/>
      <c r="H157" s="302" t="s">
        <v>28</v>
      </c>
      <c r="I157" s="302"/>
      <c r="J157" s="197" t="s">
        <v>29</v>
      </c>
      <c r="K157" s="198">
        <v>0.35</v>
      </c>
      <c r="L157" s="10"/>
      <c r="M157" s="5"/>
    </row>
    <row r="158" spans="1:14" ht="16.2" thickBot="1">
      <c r="A158" s="5"/>
      <c r="B158" s="9"/>
      <c r="C158" s="218"/>
      <c r="D158" s="216"/>
      <c r="E158" s="216"/>
      <c r="F158" s="216"/>
      <c r="G158" s="217"/>
      <c r="H158" s="297"/>
      <c r="I158" s="297"/>
      <c r="J158" s="297"/>
      <c r="K158" s="298"/>
      <c r="L158" s="10"/>
      <c r="M158" s="5"/>
    </row>
    <row r="159" spans="1:14" ht="16.2" thickBot="1">
      <c r="A159" s="5"/>
      <c r="B159" s="230"/>
      <c r="C159" s="231"/>
      <c r="D159" s="231"/>
      <c r="E159" s="232"/>
      <c r="F159" s="231"/>
      <c r="G159" s="233"/>
      <c r="H159" s="231"/>
      <c r="I159" s="231"/>
      <c r="J159" s="231"/>
      <c r="K159" s="231"/>
      <c r="L159" s="234"/>
      <c r="M159" s="5"/>
    </row>
    <row r="160" spans="1:14" ht="16.2" thickTop="1">
      <c r="A160" s="5"/>
      <c r="B160" s="5"/>
      <c r="C160" s="5"/>
      <c r="D160" s="5"/>
      <c r="E160" s="6"/>
      <c r="F160" s="5"/>
      <c r="G160" s="5"/>
      <c r="H160" s="5"/>
      <c r="I160" s="5"/>
      <c r="J160" s="5"/>
      <c r="K160" s="5"/>
      <c r="L160" s="5"/>
      <c r="M160" s="5"/>
    </row>
  </sheetData>
  <mergeCells count="25">
    <mergeCell ref="C3:F3"/>
    <mergeCell ref="C154:G154"/>
    <mergeCell ref="C10:K10"/>
    <mergeCell ref="H158:K158"/>
    <mergeCell ref="C155:G155"/>
    <mergeCell ref="H155:I155"/>
    <mergeCell ref="H156:I156"/>
    <mergeCell ref="H157:I157"/>
    <mergeCell ref="C153:G153"/>
    <mergeCell ref="H153:J153"/>
    <mergeCell ref="H154:I154"/>
    <mergeCell ref="D152:K152"/>
    <mergeCell ref="C6:K6"/>
    <mergeCell ref="I11:I12"/>
    <mergeCell ref="C147:J147"/>
    <mergeCell ref="C5:K5"/>
    <mergeCell ref="C7:K8"/>
    <mergeCell ref="C9:K9"/>
    <mergeCell ref="J11:J12"/>
    <mergeCell ref="K11:K12"/>
    <mergeCell ref="C11:C12"/>
    <mergeCell ref="D11:D12"/>
    <mergeCell ref="G11:G12"/>
    <mergeCell ref="H11:H12"/>
    <mergeCell ref="E11:F11"/>
  </mergeCells>
  <phoneticPr fontId="58" type="noConversion"/>
  <pageMargins left="0.11811023622047245" right="0.11811023622047245" top="0.15748031496062992" bottom="0.15748031496062992" header="0.31496062992125984" footer="0.31496062992125984"/>
  <pageSetup scale="44" orientation="portrait" r:id="rId1"/>
  <ignoredErrors>
    <ignoredError sqref="K23 K55"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55" zoomScale="87" zoomScaleNormal="100" zoomScaleSheetLayoutView="87" zoomScalePageLayoutView="91" workbookViewId="0">
      <selection activeCell="E4" sqref="E4"/>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8"/>
      <c r="D2" s="228"/>
      <c r="E2" s="229"/>
      <c r="F2" s="228"/>
      <c r="G2" s="228"/>
      <c r="H2" s="228"/>
      <c r="I2" s="228"/>
      <c r="J2" s="228"/>
      <c r="K2" s="228"/>
      <c r="L2" s="8"/>
      <c r="M2" s="5"/>
    </row>
    <row r="3" spans="1:13" ht="26.25" customHeight="1">
      <c r="A3" s="5"/>
      <c r="B3" s="9"/>
      <c r="C3" s="290" t="s">
        <v>97</v>
      </c>
      <c r="D3" s="316"/>
      <c r="E3" s="316"/>
      <c r="F3" s="316"/>
      <c r="G3" s="5"/>
      <c r="H3" s="5"/>
      <c r="I3" s="5"/>
      <c r="J3" s="5"/>
      <c r="K3" s="5"/>
      <c r="L3" s="10"/>
      <c r="M3" s="5"/>
    </row>
    <row r="4" spans="1:13" ht="15.6">
      <c r="A4" s="5"/>
      <c r="B4" s="9"/>
      <c r="C4" s="202" t="s">
        <v>0</v>
      </c>
      <c r="D4" s="203" t="s">
        <v>98</v>
      </c>
      <c r="E4" s="202" t="s">
        <v>1</v>
      </c>
      <c r="F4" s="203">
        <v>1</v>
      </c>
      <c r="G4" s="5"/>
      <c r="H4" s="5"/>
      <c r="I4" s="5"/>
      <c r="J4" s="5"/>
      <c r="K4" s="5"/>
      <c r="L4" s="10"/>
      <c r="M4" s="5"/>
    </row>
    <row r="5" spans="1:13" ht="15.6">
      <c r="A5" s="5"/>
      <c r="B5" s="9"/>
      <c r="C5" s="317" t="s">
        <v>30</v>
      </c>
      <c r="D5" s="317"/>
      <c r="E5" s="317"/>
      <c r="F5" s="317"/>
      <c r="G5" s="317"/>
      <c r="H5" s="317"/>
      <c r="I5" s="317"/>
      <c r="J5" s="317"/>
      <c r="K5" s="317"/>
      <c r="L5" s="10"/>
      <c r="M5" s="5"/>
    </row>
    <row r="6" spans="1:13" ht="16.2" thickBot="1">
      <c r="A6" s="5"/>
      <c r="B6" s="9"/>
      <c r="C6" s="306" t="s">
        <v>31</v>
      </c>
      <c r="D6" s="306"/>
      <c r="E6" s="306"/>
      <c r="F6" s="306"/>
      <c r="G6" s="306"/>
      <c r="H6" s="306"/>
      <c r="I6" s="306"/>
      <c r="J6" s="306"/>
      <c r="K6" s="306"/>
      <c r="L6" s="10"/>
      <c r="M6" s="5"/>
    </row>
    <row r="7" spans="1:13" s="20" customFormat="1" ht="16.5" customHeight="1">
      <c r="A7" s="19"/>
      <c r="B7" s="219"/>
      <c r="C7" s="318" t="s">
        <v>86</v>
      </c>
      <c r="D7" s="319"/>
      <c r="E7" s="319"/>
      <c r="F7" s="319"/>
      <c r="G7" s="319"/>
      <c r="H7" s="319"/>
      <c r="I7" s="319"/>
      <c r="J7" s="319"/>
      <c r="K7" s="320"/>
      <c r="L7" s="21"/>
      <c r="M7" s="19"/>
    </row>
    <row r="8" spans="1:13" ht="33.75" customHeight="1" thickBot="1">
      <c r="A8" s="5"/>
      <c r="B8" s="220"/>
      <c r="C8" s="321"/>
      <c r="D8" s="322"/>
      <c r="E8" s="322"/>
      <c r="F8" s="322"/>
      <c r="G8" s="322"/>
      <c r="H8" s="322"/>
      <c r="I8" s="322"/>
      <c r="J8" s="322"/>
      <c r="K8" s="323"/>
      <c r="L8" s="10"/>
      <c r="M8" s="5"/>
    </row>
    <row r="9" spans="1:13" ht="34.5" customHeight="1">
      <c r="A9" s="5"/>
      <c r="B9" s="220"/>
      <c r="C9" s="324" t="s">
        <v>87</v>
      </c>
      <c r="D9" s="325"/>
      <c r="E9" s="325"/>
      <c r="F9" s="325"/>
      <c r="G9" s="325"/>
      <c r="H9" s="325"/>
      <c r="I9" s="325"/>
      <c r="J9" s="325"/>
      <c r="K9" s="326"/>
      <c r="L9" s="10"/>
      <c r="M9" s="5"/>
    </row>
    <row r="10" spans="1:13" ht="30" customHeight="1" thickBot="1">
      <c r="A10" s="5"/>
      <c r="B10" s="220"/>
      <c r="C10" s="295"/>
      <c r="D10" s="295"/>
      <c r="E10" s="295"/>
      <c r="F10" s="295"/>
      <c r="G10" s="295"/>
      <c r="H10" s="295"/>
      <c r="I10" s="295"/>
      <c r="J10" s="295"/>
      <c r="K10" s="296"/>
      <c r="L10" s="10"/>
      <c r="M10" s="5"/>
    </row>
    <row r="11" spans="1:13" ht="30" customHeight="1">
      <c r="A11" s="5"/>
      <c r="B11" s="9"/>
      <c r="C11" s="285" t="s">
        <v>3</v>
      </c>
      <c r="D11" s="287" t="s">
        <v>4</v>
      </c>
      <c r="E11" s="289" t="s">
        <v>5</v>
      </c>
      <c r="F11" s="289"/>
      <c r="G11" s="285" t="s">
        <v>6</v>
      </c>
      <c r="H11" s="287" t="s">
        <v>7</v>
      </c>
      <c r="I11" s="287" t="s">
        <v>8</v>
      </c>
      <c r="J11" s="281" t="s">
        <v>9</v>
      </c>
      <c r="K11" s="283" t="s">
        <v>10</v>
      </c>
      <c r="L11" s="10"/>
      <c r="M11" s="5"/>
    </row>
    <row r="12" spans="1:13" ht="30" customHeight="1" thickBot="1">
      <c r="A12" s="5"/>
      <c r="B12" s="9"/>
      <c r="C12" s="286"/>
      <c r="D12" s="288"/>
      <c r="E12" s="129" t="s">
        <v>11</v>
      </c>
      <c r="F12" s="129" t="s">
        <v>12</v>
      </c>
      <c r="G12" s="286"/>
      <c r="H12" s="288"/>
      <c r="I12" s="288"/>
      <c r="J12" s="282"/>
      <c r="K12" s="284"/>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27" t="s">
        <v>14</v>
      </c>
      <c r="D40" s="328"/>
      <c r="E40" s="328"/>
      <c r="F40" s="328"/>
      <c r="G40" s="328"/>
      <c r="H40" s="328"/>
      <c r="I40" s="328"/>
      <c r="J40" s="329"/>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13"/>
      <c r="H42" s="314"/>
      <c r="I42" s="315"/>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9"/>
      <c r="H48" s="180"/>
      <c r="I48" s="181"/>
      <c r="J48" s="186"/>
      <c r="K48" s="184"/>
      <c r="L48" s="13"/>
      <c r="M48" s="11"/>
    </row>
    <row r="49" spans="1:13" s="3" customFormat="1" ht="30" customHeight="1" thickBot="1">
      <c r="A49" s="11"/>
      <c r="B49" s="12"/>
      <c r="C49" s="170"/>
      <c r="D49" s="171"/>
      <c r="E49" s="170"/>
      <c r="F49" s="170"/>
      <c r="G49" s="188" t="s">
        <v>16</v>
      </c>
      <c r="H49" s="189"/>
      <c r="I49" s="190"/>
      <c r="J49" s="191"/>
      <c r="K49" s="167"/>
      <c r="L49" s="13"/>
      <c r="M49" s="11"/>
    </row>
    <row r="50" spans="1:13" s="3" customFormat="1" ht="16.2" thickBot="1">
      <c r="A50" s="11"/>
      <c r="B50" s="12"/>
      <c r="C50" s="170"/>
      <c r="D50" s="171"/>
      <c r="E50" s="171"/>
      <c r="F50" s="171"/>
      <c r="G50" s="170"/>
      <c r="H50" s="170"/>
      <c r="I50" s="192"/>
      <c r="J50" s="193"/>
      <c r="K50" s="194"/>
      <c r="L50" s="13"/>
      <c r="M50" s="11"/>
    </row>
    <row r="51" spans="1:13" s="3" customFormat="1" ht="15.6">
      <c r="A51" s="11"/>
      <c r="B51" s="12"/>
      <c r="C51" s="195"/>
      <c r="D51" s="304"/>
      <c r="E51" s="304"/>
      <c r="F51" s="304"/>
      <c r="G51" s="304"/>
      <c r="H51" s="304"/>
      <c r="I51" s="304"/>
      <c r="J51" s="304"/>
      <c r="K51" s="305"/>
      <c r="L51" s="14"/>
      <c r="M51" s="11"/>
    </row>
    <row r="52" spans="1:13" s="3" customFormat="1" ht="46.5" customHeight="1">
      <c r="A52" s="11"/>
      <c r="B52" s="12"/>
      <c r="C52" s="292" t="s">
        <v>17</v>
      </c>
      <c r="D52" s="293"/>
      <c r="E52" s="293"/>
      <c r="F52" s="293"/>
      <c r="G52" s="293"/>
      <c r="H52" s="303" t="s">
        <v>6</v>
      </c>
      <c r="I52" s="303"/>
      <c r="J52" s="303"/>
      <c r="K52" s="196" t="s">
        <v>19</v>
      </c>
      <c r="L52" s="15"/>
      <c r="M52" s="11"/>
    </row>
    <row r="53" spans="1:13" s="3" customFormat="1" ht="32.25" customHeight="1">
      <c r="A53" s="11"/>
      <c r="B53" s="12"/>
      <c r="C53" s="292" t="s">
        <v>32</v>
      </c>
      <c r="D53" s="293"/>
      <c r="E53" s="293"/>
      <c r="F53" s="293"/>
      <c r="G53" s="293"/>
      <c r="H53" s="302" t="s">
        <v>21</v>
      </c>
      <c r="I53" s="302"/>
      <c r="J53" s="197" t="s">
        <v>22</v>
      </c>
      <c r="K53" s="198" t="s">
        <v>33</v>
      </c>
      <c r="L53" s="214"/>
      <c r="M53" s="11"/>
    </row>
    <row r="54" spans="1:13" s="3" customFormat="1" ht="30" customHeight="1">
      <c r="A54" s="11"/>
      <c r="B54" s="12"/>
      <c r="C54" s="292" t="s">
        <v>23</v>
      </c>
      <c r="D54" s="293"/>
      <c r="E54" s="293"/>
      <c r="F54" s="293"/>
      <c r="G54" s="293"/>
      <c r="H54" s="299" t="s">
        <v>24</v>
      </c>
      <c r="I54" s="300"/>
      <c r="J54" s="197" t="s">
        <v>25</v>
      </c>
      <c r="K54" s="198" t="s">
        <v>33</v>
      </c>
      <c r="L54" s="15"/>
      <c r="M54" s="11"/>
    </row>
    <row r="55" spans="1:13" s="4" customFormat="1" ht="58.5" customHeight="1">
      <c r="A55" s="11"/>
      <c r="B55" s="12"/>
      <c r="C55" s="208"/>
      <c r="D55" s="209"/>
      <c r="E55" s="209"/>
      <c r="F55" s="209"/>
      <c r="G55" s="210"/>
      <c r="H55" s="301" t="s">
        <v>26</v>
      </c>
      <c r="I55" s="302"/>
      <c r="J55" s="197" t="s">
        <v>27</v>
      </c>
      <c r="K55" s="198" t="s">
        <v>33</v>
      </c>
      <c r="L55" s="13"/>
      <c r="M55" s="11"/>
    </row>
    <row r="56" spans="1:13" ht="57.75" customHeight="1">
      <c r="A56" s="5"/>
      <c r="B56" s="9"/>
      <c r="C56" s="211"/>
      <c r="D56" s="212"/>
      <c r="E56" s="212"/>
      <c r="F56" s="212"/>
      <c r="G56" s="213"/>
      <c r="H56" s="302" t="s">
        <v>28</v>
      </c>
      <c r="I56" s="302"/>
      <c r="J56" s="197" t="s">
        <v>29</v>
      </c>
      <c r="K56" s="198" t="s">
        <v>33</v>
      </c>
      <c r="L56" s="10"/>
      <c r="M56" s="5"/>
    </row>
    <row r="57" spans="1:13" ht="16.2" thickBot="1">
      <c r="A57" s="5"/>
      <c r="B57" s="9"/>
      <c r="C57" s="211"/>
      <c r="D57" s="216"/>
      <c r="E57" s="216"/>
      <c r="F57" s="212"/>
      <c r="G57" s="217"/>
      <c r="H57" s="311"/>
      <c r="I57" s="311"/>
      <c r="J57" s="311"/>
      <c r="K57" s="312"/>
      <c r="L57" s="10"/>
      <c r="M57" s="5"/>
    </row>
    <row r="58" spans="1:13" ht="47.25" customHeight="1">
      <c r="A58" s="5"/>
      <c r="B58" s="9"/>
      <c r="C58" s="215"/>
      <c r="D58" s="200"/>
      <c r="E58" s="200"/>
      <c r="F58" s="215"/>
      <c r="G58" s="200"/>
      <c r="H58" s="215"/>
      <c r="I58" s="215"/>
      <c r="J58" s="215"/>
      <c r="K58" s="215"/>
      <c r="L58" s="10"/>
      <c r="M58" s="5"/>
    </row>
    <row r="59" spans="1:13" ht="47.25" customHeight="1">
      <c r="A59" s="5"/>
      <c r="B59" s="9"/>
      <c r="C59" s="200"/>
      <c r="D59" s="200"/>
      <c r="E59" s="200"/>
      <c r="F59" s="200"/>
      <c r="G59" s="201" t="s">
        <v>94</v>
      </c>
      <c r="H59" s="200"/>
      <c r="I59" s="200"/>
      <c r="J59" s="200"/>
      <c r="K59" s="200"/>
      <c r="L59" s="10"/>
      <c r="M59" s="5"/>
    </row>
    <row r="60" spans="1:13" ht="16.2" thickBot="1">
      <c r="A60" s="5"/>
      <c r="B60" s="230"/>
      <c r="C60" s="231"/>
      <c r="D60" s="231"/>
      <c r="E60" s="232"/>
      <c r="F60" s="231"/>
      <c r="G60" s="233"/>
      <c r="H60" s="231"/>
      <c r="I60" s="231"/>
      <c r="J60" s="231"/>
      <c r="K60" s="231"/>
      <c r="L60" s="234"/>
      <c r="M60" s="5"/>
    </row>
    <row r="61" spans="1:13" ht="16.2"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67" zoomScale="80" zoomScaleNormal="80" zoomScaleSheetLayoutView="80" workbookViewId="0">
      <selection activeCell="F89" sqref="F89"/>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5"/>
    </row>
    <row r="3" spans="2:16" ht="36.75" customHeight="1">
      <c r="B3" s="25"/>
      <c r="C3" s="427" t="s">
        <v>96</v>
      </c>
      <c r="D3" s="428"/>
      <c r="E3" s="428"/>
      <c r="F3" s="428"/>
      <c r="P3" s="26"/>
    </row>
    <row r="4" spans="2:16">
      <c r="B4" s="25"/>
      <c r="C4" s="206" t="s">
        <v>0</v>
      </c>
      <c r="D4" s="236" t="s">
        <v>98</v>
      </c>
      <c r="E4" s="206" t="s">
        <v>1</v>
      </c>
      <c r="F4" s="207">
        <v>1</v>
      </c>
      <c r="P4" s="26"/>
    </row>
    <row r="5" spans="2:16">
      <c r="B5" s="25"/>
      <c r="C5" s="127"/>
      <c r="D5" s="128"/>
      <c r="E5" s="127"/>
      <c r="F5" s="128"/>
      <c r="P5" s="26"/>
    </row>
    <row r="6" spans="2:16" ht="48" customHeight="1">
      <c r="B6" s="25"/>
      <c r="C6" s="429" t="s">
        <v>88</v>
      </c>
      <c r="D6" s="429"/>
      <c r="E6" s="429"/>
      <c r="F6" s="429"/>
      <c r="G6" s="429"/>
      <c r="H6" s="429"/>
      <c r="I6" s="429"/>
      <c r="J6" s="429"/>
      <c r="K6" s="429"/>
      <c r="L6" s="429"/>
      <c r="M6" s="429"/>
      <c r="N6" s="429"/>
      <c r="O6" s="429"/>
      <c r="P6" s="27"/>
    </row>
    <row r="7" spans="2:16" ht="15" thickBot="1">
      <c r="B7" s="25"/>
      <c r="C7" s="52"/>
      <c r="D7" s="52"/>
      <c r="E7" s="52"/>
      <c r="F7" s="52"/>
      <c r="G7" s="52"/>
      <c r="H7" s="52"/>
      <c r="I7" s="52"/>
      <c r="J7" s="52"/>
      <c r="K7" s="52"/>
      <c r="L7" s="52"/>
      <c r="M7" s="52"/>
      <c r="N7" s="52"/>
      <c r="O7" s="52"/>
      <c r="P7" s="26"/>
    </row>
    <row r="8" spans="2:16" ht="14.4">
      <c r="B8" s="25"/>
      <c r="C8" s="386"/>
      <c r="D8" s="388"/>
      <c r="E8" s="389"/>
      <c r="F8" s="389"/>
      <c r="G8" s="389"/>
      <c r="H8" s="389"/>
      <c r="I8" s="389"/>
      <c r="J8" s="389"/>
      <c r="K8" s="390"/>
      <c r="L8" s="401"/>
      <c r="M8" s="402"/>
      <c r="N8" s="402"/>
      <c r="O8" s="403"/>
      <c r="P8" s="28"/>
    </row>
    <row r="9" spans="2:16" ht="14.4">
      <c r="B9" s="25"/>
      <c r="C9" s="387"/>
      <c r="D9" s="391" t="s">
        <v>34</v>
      </c>
      <c r="E9" s="392"/>
      <c r="F9" s="392"/>
      <c r="G9" s="392"/>
      <c r="H9" s="392"/>
      <c r="I9" s="392"/>
      <c r="J9" s="392"/>
      <c r="K9" s="393"/>
      <c r="L9" s="404"/>
      <c r="M9" s="405"/>
      <c r="N9" s="405"/>
      <c r="O9" s="406"/>
      <c r="P9" s="28"/>
    </row>
    <row r="10" spans="2:16" ht="14.4">
      <c r="B10" s="25"/>
      <c r="C10" s="387"/>
      <c r="D10" s="391"/>
      <c r="E10" s="392"/>
      <c r="F10" s="392"/>
      <c r="G10" s="392"/>
      <c r="H10" s="392"/>
      <c r="I10" s="392"/>
      <c r="J10" s="392"/>
      <c r="K10" s="393"/>
      <c r="L10" s="394" t="s">
        <v>35</v>
      </c>
      <c r="M10" s="407"/>
      <c r="N10" s="408"/>
      <c r="O10" s="409"/>
      <c r="P10" s="28"/>
    </row>
    <row r="11" spans="2:16" ht="14.4">
      <c r="B11" s="25"/>
      <c r="C11" s="387"/>
      <c r="D11" s="391" t="s">
        <v>36</v>
      </c>
      <c r="E11" s="392"/>
      <c r="F11" s="392"/>
      <c r="G11" s="392"/>
      <c r="H11" s="392"/>
      <c r="I11" s="392"/>
      <c r="J11" s="392"/>
      <c r="K11" s="393"/>
      <c r="L11" s="395"/>
      <c r="M11" s="410"/>
      <c r="N11" s="411"/>
      <c r="O11" s="412"/>
      <c r="P11" s="29"/>
    </row>
    <row r="12" spans="2:16" ht="12.75" customHeight="1">
      <c r="B12" s="25"/>
      <c r="C12" s="387"/>
      <c r="D12" s="430"/>
      <c r="E12" s="431"/>
      <c r="F12" s="431"/>
      <c r="G12" s="431"/>
      <c r="H12" s="431"/>
      <c r="I12" s="431"/>
      <c r="J12" s="431"/>
      <c r="K12" s="432"/>
      <c r="L12" s="394" t="s">
        <v>37</v>
      </c>
      <c r="M12" s="394">
        <v>1</v>
      </c>
      <c r="N12" s="394" t="s">
        <v>38</v>
      </c>
      <c r="O12" s="399">
        <v>1</v>
      </c>
      <c r="P12" s="28"/>
    </row>
    <row r="13" spans="2:16">
      <c r="B13" s="25"/>
      <c r="C13" s="387"/>
      <c r="D13" s="430"/>
      <c r="E13" s="431"/>
      <c r="F13" s="431"/>
      <c r="G13" s="431"/>
      <c r="H13" s="431"/>
      <c r="I13" s="431"/>
      <c r="J13" s="431"/>
      <c r="K13" s="432"/>
      <c r="L13" s="413"/>
      <c r="M13" s="413"/>
      <c r="N13" s="413"/>
      <c r="O13" s="400"/>
      <c r="P13" s="28"/>
    </row>
    <row r="14" spans="2:16" ht="14.4">
      <c r="B14" s="25"/>
      <c r="C14" s="387"/>
      <c r="D14" s="391" t="s">
        <v>89</v>
      </c>
      <c r="E14" s="392"/>
      <c r="F14" s="392"/>
      <c r="G14" s="392"/>
      <c r="H14" s="392"/>
      <c r="I14" s="392"/>
      <c r="J14" s="392"/>
      <c r="K14" s="393"/>
      <c r="L14" s="413"/>
      <c r="M14" s="413"/>
      <c r="N14" s="413"/>
      <c r="O14" s="400"/>
      <c r="P14" s="28"/>
    </row>
    <row r="15" spans="2:16" ht="15" thickBot="1">
      <c r="B15" s="25"/>
      <c r="C15" s="53"/>
      <c r="D15" s="54"/>
      <c r="E15" s="54"/>
      <c r="F15" s="54"/>
      <c r="G15" s="54"/>
      <c r="H15" s="54"/>
      <c r="I15" s="54"/>
      <c r="J15" s="54"/>
      <c r="K15" s="54"/>
      <c r="L15" s="54"/>
      <c r="M15" s="55"/>
      <c r="N15" s="55"/>
      <c r="O15" s="56"/>
      <c r="P15" s="30"/>
    </row>
    <row r="16" spans="2:16" ht="14.4">
      <c r="B16" s="25"/>
      <c r="C16" s="57"/>
      <c r="D16" s="224"/>
      <c r="E16" s="224"/>
      <c r="F16" s="224"/>
      <c r="G16" s="224"/>
      <c r="H16" s="224"/>
      <c r="I16" s="224"/>
      <c r="J16" s="224"/>
      <c r="K16" s="224"/>
      <c r="L16" s="58" t="s">
        <v>39</v>
      </c>
      <c r="M16" s="59" t="s">
        <v>40</v>
      </c>
      <c r="N16" s="59" t="s">
        <v>41</v>
      </c>
      <c r="O16" s="60" t="s">
        <v>42</v>
      </c>
      <c r="P16" s="29"/>
    </row>
    <row r="17" spans="2:16" ht="14.4">
      <c r="B17" s="25"/>
      <c r="C17" s="61"/>
      <c r="D17" s="222"/>
      <c r="E17" s="222"/>
      <c r="F17" s="222"/>
      <c r="G17" s="222"/>
      <c r="H17" s="222"/>
      <c r="I17" s="222"/>
      <c r="J17" s="222"/>
      <c r="K17" s="222"/>
      <c r="L17" s="62"/>
      <c r="M17" s="63"/>
      <c r="N17" s="63"/>
      <c r="O17" s="64"/>
      <c r="P17" s="31"/>
    </row>
    <row r="18" spans="2:16" ht="18" customHeight="1">
      <c r="B18" s="25"/>
      <c r="C18" s="334" t="s">
        <v>43</v>
      </c>
      <c r="D18" s="335"/>
      <c r="E18" s="335"/>
      <c r="F18" s="335"/>
      <c r="G18" s="222"/>
      <c r="H18" s="222"/>
      <c r="I18" s="222" t="s">
        <v>44</v>
      </c>
      <c r="J18" s="52"/>
      <c r="K18" s="222"/>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16" t="s">
        <v>45</v>
      </c>
      <c r="D22" s="417"/>
      <c r="E22" s="417"/>
      <c r="F22" s="417"/>
      <c r="G22" s="417"/>
      <c r="H22" s="417"/>
      <c r="I22" s="417"/>
      <c r="J22" s="417"/>
      <c r="K22" s="417"/>
      <c r="L22" s="417"/>
      <c r="M22" s="417"/>
      <c r="N22" s="417"/>
      <c r="O22" s="418"/>
      <c r="P22" s="33"/>
    </row>
    <row r="23" spans="2:16" ht="15" thickBot="1">
      <c r="B23" s="25"/>
      <c r="C23" s="75"/>
      <c r="D23" s="52"/>
      <c r="E23" s="52"/>
      <c r="F23" s="52"/>
      <c r="G23" s="52"/>
      <c r="H23" s="52"/>
      <c r="I23" s="52"/>
      <c r="J23" s="52"/>
      <c r="K23" s="52"/>
      <c r="L23" s="52"/>
      <c r="M23" s="52"/>
      <c r="N23" s="52"/>
      <c r="O23" s="76"/>
      <c r="P23" s="26"/>
    </row>
    <row r="24" spans="2:16">
      <c r="B24" s="25"/>
      <c r="C24" s="77" t="s">
        <v>46</v>
      </c>
      <c r="D24" s="396" t="s">
        <v>6</v>
      </c>
      <c r="E24" s="397"/>
      <c r="F24" s="397"/>
      <c r="G24" s="397"/>
      <c r="H24" s="397"/>
      <c r="I24" s="397"/>
      <c r="J24" s="397"/>
      <c r="K24" s="397"/>
      <c r="L24" s="398"/>
      <c r="M24" s="414" t="s">
        <v>47</v>
      </c>
      <c r="N24" s="415"/>
      <c r="O24" s="77" t="s">
        <v>8</v>
      </c>
      <c r="P24" s="34"/>
    </row>
    <row r="25" spans="2:16" ht="14.4" thickBot="1">
      <c r="B25" s="25"/>
      <c r="C25" s="78"/>
      <c r="D25" s="370"/>
      <c r="E25" s="371"/>
      <c r="F25" s="371"/>
      <c r="G25" s="371"/>
      <c r="H25" s="371"/>
      <c r="I25" s="371"/>
      <c r="J25" s="371"/>
      <c r="K25" s="371"/>
      <c r="L25" s="372"/>
      <c r="M25" s="370"/>
      <c r="N25" s="372"/>
      <c r="O25" s="79"/>
      <c r="P25" s="35"/>
    </row>
    <row r="26" spans="2:16">
      <c r="B26" s="25"/>
      <c r="C26" s="373" t="s">
        <v>48</v>
      </c>
      <c r="D26" s="374"/>
      <c r="E26" s="374"/>
      <c r="F26" s="374"/>
      <c r="G26" s="374"/>
      <c r="H26" s="374"/>
      <c r="I26" s="374"/>
      <c r="J26" s="374"/>
      <c r="K26" s="374"/>
      <c r="L26" s="374"/>
      <c r="M26" s="374"/>
      <c r="N26" s="374"/>
      <c r="O26" s="375"/>
      <c r="P26" s="36"/>
    </row>
    <row r="27" spans="2:16">
      <c r="B27" s="25"/>
      <c r="C27" s="376"/>
      <c r="D27" s="377"/>
      <c r="E27" s="377"/>
      <c r="F27" s="377"/>
      <c r="G27" s="377"/>
      <c r="H27" s="377"/>
      <c r="I27" s="377"/>
      <c r="J27" s="377"/>
      <c r="K27" s="377"/>
      <c r="L27" s="377"/>
      <c r="M27" s="377"/>
      <c r="N27" s="377"/>
      <c r="O27" s="378"/>
      <c r="P27" s="36"/>
    </row>
    <row r="28" spans="2:16" ht="14.4" thickBot="1">
      <c r="B28" s="25"/>
      <c r="C28" s="379"/>
      <c r="D28" s="380"/>
      <c r="E28" s="380"/>
      <c r="F28" s="380"/>
      <c r="G28" s="380"/>
      <c r="H28" s="380"/>
      <c r="I28" s="380"/>
      <c r="J28" s="380"/>
      <c r="K28" s="380"/>
      <c r="L28" s="380"/>
      <c r="M28" s="380"/>
      <c r="N28" s="380"/>
      <c r="O28" s="381"/>
      <c r="P28" s="36"/>
    </row>
    <row r="29" spans="2:16" ht="14.4">
      <c r="B29" s="25"/>
      <c r="C29" s="358" t="s">
        <v>6</v>
      </c>
      <c r="D29" s="425"/>
      <c r="E29" s="425"/>
      <c r="F29" s="425"/>
      <c r="G29" s="426"/>
      <c r="H29" s="364" t="s">
        <v>49</v>
      </c>
      <c r="I29" s="425"/>
      <c r="J29" s="368" t="s">
        <v>50</v>
      </c>
      <c r="K29" s="369"/>
      <c r="L29" s="80" t="s">
        <v>51</v>
      </c>
      <c r="M29" s="364" t="s">
        <v>52</v>
      </c>
      <c r="N29" s="365"/>
      <c r="O29" s="81" t="s">
        <v>53</v>
      </c>
      <c r="P29" s="37"/>
    </row>
    <row r="30" spans="2:16" ht="14.4">
      <c r="B30" s="25"/>
      <c r="C30" s="342"/>
      <c r="D30" s="343"/>
      <c r="E30" s="343"/>
      <c r="F30" s="343"/>
      <c r="G30" s="419"/>
      <c r="H30" s="420"/>
      <c r="I30" s="419"/>
      <c r="J30" s="420"/>
      <c r="K30" s="419"/>
      <c r="L30" s="82"/>
      <c r="M30" s="421"/>
      <c r="N30" s="422"/>
      <c r="O30" s="83"/>
      <c r="P30" s="38"/>
    </row>
    <row r="31" spans="2:16" ht="14.4">
      <c r="B31" s="25"/>
      <c r="C31" s="84"/>
      <c r="D31" s="85"/>
      <c r="E31" s="85"/>
      <c r="F31" s="85"/>
      <c r="G31" s="86"/>
      <c r="H31" s="87"/>
      <c r="I31" s="86"/>
      <c r="J31" s="87"/>
      <c r="K31" s="86"/>
      <c r="L31" s="82"/>
      <c r="M31" s="421"/>
      <c r="N31" s="422"/>
      <c r="O31" s="83"/>
      <c r="P31" s="38"/>
    </row>
    <row r="32" spans="2:16" ht="15" thickBot="1">
      <c r="B32" s="25"/>
      <c r="C32" s="354"/>
      <c r="D32" s="355"/>
      <c r="E32" s="355"/>
      <c r="F32" s="355"/>
      <c r="G32" s="382"/>
      <c r="H32" s="383"/>
      <c r="I32" s="382"/>
      <c r="J32" s="383"/>
      <c r="K32" s="382"/>
      <c r="L32" s="88"/>
      <c r="M32" s="384"/>
      <c r="N32" s="385"/>
      <c r="O32" s="83"/>
      <c r="P32" s="38"/>
    </row>
    <row r="33" spans="2:16" ht="15" thickBot="1">
      <c r="B33" s="25"/>
      <c r="C33" s="348" t="s">
        <v>54</v>
      </c>
      <c r="D33" s="349"/>
      <c r="E33" s="349"/>
      <c r="F33" s="349"/>
      <c r="G33" s="349"/>
      <c r="H33" s="349"/>
      <c r="I33" s="349"/>
      <c r="J33" s="349"/>
      <c r="K33" s="349"/>
      <c r="L33" s="349"/>
      <c r="M33" s="349"/>
      <c r="N33" s="350"/>
      <c r="O33" s="89"/>
      <c r="P33" s="39"/>
    </row>
    <row r="34" spans="2:16" ht="13.5" customHeight="1">
      <c r="B34" s="25"/>
      <c r="C34" s="373" t="s">
        <v>55</v>
      </c>
      <c r="D34" s="374"/>
      <c r="E34" s="374"/>
      <c r="F34" s="374"/>
      <c r="G34" s="374"/>
      <c r="H34" s="374"/>
      <c r="I34" s="374"/>
      <c r="J34" s="374"/>
      <c r="K34" s="374"/>
      <c r="L34" s="374"/>
      <c r="M34" s="374"/>
      <c r="N34" s="374"/>
      <c r="O34" s="375"/>
      <c r="P34" s="36"/>
    </row>
    <row r="35" spans="2:16">
      <c r="B35" s="25"/>
      <c r="C35" s="376"/>
      <c r="D35" s="377"/>
      <c r="E35" s="377"/>
      <c r="F35" s="377"/>
      <c r="G35" s="377"/>
      <c r="H35" s="377"/>
      <c r="I35" s="377"/>
      <c r="J35" s="377"/>
      <c r="K35" s="377"/>
      <c r="L35" s="377"/>
      <c r="M35" s="377"/>
      <c r="N35" s="377"/>
      <c r="O35" s="378"/>
      <c r="P35" s="36"/>
    </row>
    <row r="36" spans="2:16" ht="14.4" thickBot="1">
      <c r="B36" s="25"/>
      <c r="C36" s="379"/>
      <c r="D36" s="380"/>
      <c r="E36" s="380"/>
      <c r="F36" s="380"/>
      <c r="G36" s="380"/>
      <c r="H36" s="380"/>
      <c r="I36" s="380"/>
      <c r="J36" s="380"/>
      <c r="K36" s="380"/>
      <c r="L36" s="380"/>
      <c r="M36" s="380"/>
      <c r="N36" s="380"/>
      <c r="O36" s="381"/>
      <c r="P36" s="36"/>
    </row>
    <row r="37" spans="2:16" ht="14.4">
      <c r="B37" s="25"/>
      <c r="C37" s="358" t="s">
        <v>6</v>
      </c>
      <c r="D37" s="359"/>
      <c r="E37" s="359"/>
      <c r="F37" s="359"/>
      <c r="G37" s="359"/>
      <c r="H37" s="359"/>
      <c r="I37" s="359"/>
      <c r="J37" s="365"/>
      <c r="K37" s="223" t="s">
        <v>47</v>
      </c>
      <c r="L37" s="80" t="s">
        <v>8</v>
      </c>
      <c r="M37" s="364" t="s">
        <v>56</v>
      </c>
      <c r="N37" s="365"/>
      <c r="O37" s="81" t="s">
        <v>53</v>
      </c>
      <c r="P37" s="37"/>
    </row>
    <row r="38" spans="2:16" ht="14.4">
      <c r="B38" s="25"/>
      <c r="C38" s="342"/>
      <c r="D38" s="343"/>
      <c r="E38" s="343"/>
      <c r="F38" s="343"/>
      <c r="G38" s="343"/>
      <c r="H38" s="343"/>
      <c r="I38" s="343"/>
      <c r="J38" s="419"/>
      <c r="K38" s="227"/>
      <c r="L38" s="90"/>
      <c r="M38" s="423"/>
      <c r="N38" s="424"/>
      <c r="O38" s="83"/>
      <c r="P38" s="38"/>
    </row>
    <row r="39" spans="2:16" ht="15" thickBot="1">
      <c r="B39" s="25"/>
      <c r="C39" s="354"/>
      <c r="D39" s="355"/>
      <c r="E39" s="355"/>
      <c r="F39" s="355"/>
      <c r="G39" s="355"/>
      <c r="H39" s="355"/>
      <c r="I39" s="355"/>
      <c r="J39" s="382"/>
      <c r="K39" s="85"/>
      <c r="L39" s="91"/>
      <c r="M39" s="356"/>
      <c r="N39" s="357"/>
      <c r="O39" s="92"/>
      <c r="P39" s="38"/>
    </row>
    <row r="40" spans="2:16" ht="15" thickBot="1">
      <c r="B40" s="25"/>
      <c r="C40" s="348" t="s">
        <v>54</v>
      </c>
      <c r="D40" s="349"/>
      <c r="E40" s="349"/>
      <c r="F40" s="349"/>
      <c r="G40" s="349"/>
      <c r="H40" s="349"/>
      <c r="I40" s="349"/>
      <c r="J40" s="349"/>
      <c r="K40" s="349"/>
      <c r="L40" s="349"/>
      <c r="M40" s="349"/>
      <c r="N40" s="350"/>
      <c r="O40" s="93">
        <v>0</v>
      </c>
      <c r="P40" s="38"/>
    </row>
    <row r="41" spans="2:16">
      <c r="B41" s="25"/>
      <c r="C41" s="373" t="s">
        <v>57</v>
      </c>
      <c r="D41" s="374"/>
      <c r="E41" s="374"/>
      <c r="F41" s="374"/>
      <c r="G41" s="374"/>
      <c r="H41" s="374"/>
      <c r="I41" s="374"/>
      <c r="J41" s="374"/>
      <c r="K41" s="374"/>
      <c r="L41" s="374"/>
      <c r="M41" s="374"/>
      <c r="N41" s="374"/>
      <c r="O41" s="375"/>
      <c r="P41" s="36"/>
    </row>
    <row r="42" spans="2:16">
      <c r="B42" s="25"/>
      <c r="C42" s="376"/>
      <c r="D42" s="377"/>
      <c r="E42" s="377"/>
      <c r="F42" s="377"/>
      <c r="G42" s="377"/>
      <c r="H42" s="377"/>
      <c r="I42" s="377"/>
      <c r="J42" s="377"/>
      <c r="K42" s="377"/>
      <c r="L42" s="377"/>
      <c r="M42" s="377"/>
      <c r="N42" s="377"/>
      <c r="O42" s="378"/>
      <c r="P42" s="36"/>
    </row>
    <row r="43" spans="2:16" ht="14.4" thickBot="1">
      <c r="B43" s="25"/>
      <c r="C43" s="379"/>
      <c r="D43" s="380"/>
      <c r="E43" s="380"/>
      <c r="F43" s="380"/>
      <c r="G43" s="380"/>
      <c r="H43" s="380"/>
      <c r="I43" s="380"/>
      <c r="J43" s="380"/>
      <c r="K43" s="380"/>
      <c r="L43" s="380"/>
      <c r="M43" s="380"/>
      <c r="N43" s="380"/>
      <c r="O43" s="381"/>
      <c r="P43" s="36"/>
    </row>
    <row r="44" spans="2:16" ht="16.8">
      <c r="B44" s="25"/>
      <c r="C44" s="358" t="s">
        <v>58</v>
      </c>
      <c r="D44" s="359"/>
      <c r="E44" s="359"/>
      <c r="F44" s="359"/>
      <c r="G44" s="359"/>
      <c r="H44" s="359"/>
      <c r="I44" s="359"/>
      <c r="J44" s="80" t="s">
        <v>59</v>
      </c>
      <c r="K44" s="225" t="s">
        <v>60</v>
      </c>
      <c r="L44" s="94" t="s">
        <v>61</v>
      </c>
      <c r="M44" s="364" t="s">
        <v>62</v>
      </c>
      <c r="N44" s="365"/>
      <c r="O44" s="81" t="s">
        <v>53</v>
      </c>
      <c r="P44" s="37"/>
    </row>
    <row r="45" spans="2:16" ht="14.4">
      <c r="B45" s="25"/>
      <c r="C45" s="342"/>
      <c r="D45" s="343"/>
      <c r="E45" s="343"/>
      <c r="F45" s="343"/>
      <c r="G45" s="343"/>
      <c r="H45" s="343"/>
      <c r="I45" s="343"/>
      <c r="J45" s="95"/>
      <c r="K45" s="96"/>
      <c r="L45" s="95"/>
      <c r="M45" s="362"/>
      <c r="N45" s="363"/>
      <c r="O45" s="83"/>
      <c r="P45" s="38"/>
    </row>
    <row r="46" spans="2:16" ht="15" thickBot="1">
      <c r="B46" s="25"/>
      <c r="C46" s="354"/>
      <c r="D46" s="355"/>
      <c r="E46" s="355"/>
      <c r="F46" s="355"/>
      <c r="G46" s="355"/>
      <c r="H46" s="355"/>
      <c r="I46" s="355"/>
      <c r="J46" s="97"/>
      <c r="K46" s="98"/>
      <c r="L46" s="97"/>
      <c r="M46" s="356"/>
      <c r="N46" s="357"/>
      <c r="O46" s="99"/>
      <c r="P46" s="38"/>
    </row>
    <row r="47" spans="2:16" ht="15" thickBot="1">
      <c r="B47" s="25"/>
      <c r="C47" s="348" t="s">
        <v>54</v>
      </c>
      <c r="D47" s="349"/>
      <c r="E47" s="349"/>
      <c r="F47" s="349"/>
      <c r="G47" s="349"/>
      <c r="H47" s="349"/>
      <c r="I47" s="349"/>
      <c r="J47" s="349"/>
      <c r="K47" s="349"/>
      <c r="L47" s="349"/>
      <c r="M47" s="349"/>
      <c r="N47" s="350"/>
      <c r="O47" s="89"/>
      <c r="P47" s="39"/>
    </row>
    <row r="48" spans="2:16">
      <c r="B48" s="25"/>
      <c r="C48" s="373" t="s">
        <v>63</v>
      </c>
      <c r="D48" s="374"/>
      <c r="E48" s="374"/>
      <c r="F48" s="374"/>
      <c r="G48" s="374"/>
      <c r="H48" s="374"/>
      <c r="I48" s="374"/>
      <c r="J48" s="374"/>
      <c r="K48" s="374"/>
      <c r="L48" s="374"/>
      <c r="M48" s="374"/>
      <c r="N48" s="374"/>
      <c r="O48" s="375"/>
      <c r="P48" s="36"/>
    </row>
    <row r="49" spans="2:16">
      <c r="B49" s="25"/>
      <c r="C49" s="376"/>
      <c r="D49" s="377"/>
      <c r="E49" s="377"/>
      <c r="F49" s="377"/>
      <c r="G49" s="377"/>
      <c r="H49" s="377"/>
      <c r="I49" s="377"/>
      <c r="J49" s="377"/>
      <c r="K49" s="377"/>
      <c r="L49" s="377"/>
      <c r="M49" s="377"/>
      <c r="N49" s="377"/>
      <c r="O49" s="378"/>
      <c r="P49" s="36"/>
    </row>
    <row r="50" spans="2:16" ht="14.4" thickBot="1">
      <c r="B50" s="25"/>
      <c r="C50" s="379"/>
      <c r="D50" s="380"/>
      <c r="E50" s="380"/>
      <c r="F50" s="380"/>
      <c r="G50" s="380"/>
      <c r="H50" s="380"/>
      <c r="I50" s="380"/>
      <c r="J50" s="380"/>
      <c r="K50" s="380"/>
      <c r="L50" s="380"/>
      <c r="M50" s="380"/>
      <c r="N50" s="380"/>
      <c r="O50" s="381"/>
      <c r="P50" s="36"/>
    </row>
    <row r="51" spans="2:16" ht="28.2">
      <c r="B51" s="25"/>
      <c r="C51" s="358" t="s">
        <v>64</v>
      </c>
      <c r="D51" s="359"/>
      <c r="E51" s="359"/>
      <c r="F51" s="359"/>
      <c r="G51" s="359"/>
      <c r="H51" s="359"/>
      <c r="I51" s="359"/>
      <c r="J51" s="80" t="s">
        <v>65</v>
      </c>
      <c r="K51" s="100" t="s">
        <v>66</v>
      </c>
      <c r="L51" s="101" t="s">
        <v>67</v>
      </c>
      <c r="M51" s="360" t="s">
        <v>52</v>
      </c>
      <c r="N51" s="361"/>
      <c r="O51" s="102" t="s">
        <v>53</v>
      </c>
      <c r="P51" s="40"/>
    </row>
    <row r="52" spans="2:16" ht="14.4">
      <c r="B52" s="25"/>
      <c r="C52" s="103"/>
      <c r="D52" s="104"/>
      <c r="E52" s="104"/>
      <c r="F52" s="104"/>
      <c r="G52" s="104"/>
      <c r="H52" s="104"/>
      <c r="I52" s="104"/>
      <c r="J52" s="105"/>
      <c r="K52" s="106"/>
      <c r="L52" s="107"/>
      <c r="M52" s="366"/>
      <c r="N52" s="367"/>
      <c r="O52" s="108"/>
      <c r="P52" s="41"/>
    </row>
    <row r="53" spans="2:16" ht="14.4">
      <c r="B53" s="25"/>
      <c r="C53" s="103"/>
      <c r="D53" s="104"/>
      <c r="E53" s="104"/>
      <c r="F53" s="104"/>
      <c r="G53" s="104"/>
      <c r="H53" s="104"/>
      <c r="I53" s="104"/>
      <c r="J53" s="105"/>
      <c r="K53" s="106"/>
      <c r="L53" s="107"/>
      <c r="M53" s="366"/>
      <c r="N53" s="367"/>
      <c r="O53" s="108"/>
      <c r="P53" s="41"/>
    </row>
    <row r="54" spans="2:16" ht="14.4">
      <c r="B54" s="25"/>
      <c r="C54" s="103"/>
      <c r="D54" s="104"/>
      <c r="E54" s="104"/>
      <c r="F54" s="104"/>
      <c r="G54" s="104"/>
      <c r="H54" s="104"/>
      <c r="I54" s="104"/>
      <c r="J54" s="105"/>
      <c r="K54" s="106"/>
      <c r="L54" s="107"/>
      <c r="M54" s="362"/>
      <c r="N54" s="363"/>
      <c r="O54" s="108"/>
      <c r="P54" s="41"/>
    </row>
    <row r="55" spans="2:16" ht="15" thickBot="1">
      <c r="B55" s="25"/>
      <c r="C55" s="354"/>
      <c r="D55" s="355"/>
      <c r="E55" s="355"/>
      <c r="F55" s="355"/>
      <c r="G55" s="355"/>
      <c r="H55" s="355"/>
      <c r="I55" s="355"/>
      <c r="J55" s="97"/>
      <c r="K55" s="98"/>
      <c r="L55" s="97"/>
      <c r="M55" s="356"/>
      <c r="N55" s="357"/>
      <c r="O55" s="99"/>
      <c r="P55" s="38"/>
    </row>
    <row r="56" spans="2:16" ht="15" thickBot="1">
      <c r="B56" s="25"/>
      <c r="C56" s="348" t="s">
        <v>54</v>
      </c>
      <c r="D56" s="349"/>
      <c r="E56" s="349"/>
      <c r="F56" s="349"/>
      <c r="G56" s="349"/>
      <c r="H56" s="349"/>
      <c r="I56" s="349"/>
      <c r="J56" s="349"/>
      <c r="K56" s="349"/>
      <c r="L56" s="349"/>
      <c r="M56" s="349"/>
      <c r="N56" s="350"/>
      <c r="O56" s="93"/>
      <c r="P56" s="38"/>
    </row>
    <row r="57" spans="2:16" ht="15" thickBot="1">
      <c r="B57" s="25"/>
      <c r="C57" s="75"/>
      <c r="D57" s="52"/>
      <c r="E57" s="52"/>
      <c r="F57" s="52"/>
      <c r="G57" s="52"/>
      <c r="H57" s="52"/>
      <c r="I57" s="52"/>
      <c r="J57" s="52"/>
      <c r="K57" s="52"/>
      <c r="L57" s="52"/>
      <c r="M57" s="52"/>
      <c r="N57" s="52"/>
      <c r="O57" s="76"/>
      <c r="P57" s="26"/>
    </row>
    <row r="58" spans="2:16" ht="15" thickBot="1">
      <c r="B58" s="25"/>
      <c r="C58" s="351" t="s">
        <v>68</v>
      </c>
      <c r="D58" s="352"/>
      <c r="E58" s="352"/>
      <c r="F58" s="352"/>
      <c r="G58" s="352"/>
      <c r="H58" s="352"/>
      <c r="I58" s="352"/>
      <c r="J58" s="352"/>
      <c r="K58" s="352"/>
      <c r="L58" s="352"/>
      <c r="M58" s="352"/>
      <c r="N58" s="353"/>
      <c r="O58" s="109"/>
      <c r="P58" s="42"/>
    </row>
    <row r="59" spans="2:16">
      <c r="B59" s="25"/>
      <c r="C59" s="373" t="s">
        <v>69</v>
      </c>
      <c r="D59" s="374"/>
      <c r="E59" s="374"/>
      <c r="F59" s="374"/>
      <c r="G59" s="374"/>
      <c r="H59" s="374"/>
      <c r="I59" s="374"/>
      <c r="J59" s="374"/>
      <c r="K59" s="374"/>
      <c r="L59" s="374"/>
      <c r="M59" s="374"/>
      <c r="N59" s="374"/>
      <c r="O59" s="375"/>
      <c r="P59" s="36"/>
    </row>
    <row r="60" spans="2:16">
      <c r="B60" s="25"/>
      <c r="C60" s="376"/>
      <c r="D60" s="377"/>
      <c r="E60" s="377"/>
      <c r="F60" s="377"/>
      <c r="G60" s="377"/>
      <c r="H60" s="377"/>
      <c r="I60" s="377"/>
      <c r="J60" s="377"/>
      <c r="K60" s="377"/>
      <c r="L60" s="377"/>
      <c r="M60" s="377"/>
      <c r="N60" s="377"/>
      <c r="O60" s="378"/>
      <c r="P60" s="36"/>
    </row>
    <row r="61" spans="2:16" ht="14.4" thickBot="1">
      <c r="B61" s="25"/>
      <c r="C61" s="379"/>
      <c r="D61" s="380"/>
      <c r="E61" s="380"/>
      <c r="F61" s="380"/>
      <c r="G61" s="380"/>
      <c r="H61" s="380"/>
      <c r="I61" s="380"/>
      <c r="J61" s="380"/>
      <c r="K61" s="380"/>
      <c r="L61" s="380"/>
      <c r="M61" s="380"/>
      <c r="N61" s="380"/>
      <c r="O61" s="381"/>
      <c r="P61" s="36"/>
    </row>
    <row r="62" spans="2:16" ht="14.4">
      <c r="B62" s="25"/>
      <c r="C62" s="358" t="s">
        <v>70</v>
      </c>
      <c r="D62" s="359"/>
      <c r="E62" s="359"/>
      <c r="F62" s="359"/>
      <c r="G62" s="359"/>
      <c r="H62" s="359"/>
      <c r="I62" s="359"/>
      <c r="J62" s="225"/>
      <c r="K62" s="226"/>
      <c r="L62" s="101" t="s">
        <v>71</v>
      </c>
      <c r="M62" s="360" t="s">
        <v>72</v>
      </c>
      <c r="N62" s="361"/>
      <c r="O62" s="102"/>
      <c r="P62" s="40"/>
    </row>
    <row r="63" spans="2:16" ht="14.4">
      <c r="B63" s="25"/>
      <c r="C63" s="342" t="s">
        <v>73</v>
      </c>
      <c r="D63" s="343"/>
      <c r="E63" s="343"/>
      <c r="F63" s="343"/>
      <c r="G63" s="343"/>
      <c r="H63" s="343"/>
      <c r="I63" s="343"/>
      <c r="J63" s="110"/>
      <c r="K63" s="111"/>
      <c r="L63" s="112"/>
      <c r="M63" s="344"/>
      <c r="N63" s="345"/>
      <c r="O63" s="113"/>
      <c r="P63" s="43"/>
    </row>
    <row r="64" spans="2:16" ht="14.4">
      <c r="B64" s="25"/>
      <c r="C64" s="84" t="s">
        <v>74</v>
      </c>
      <c r="D64" s="85"/>
      <c r="E64" s="85"/>
      <c r="F64" s="85"/>
      <c r="G64" s="85"/>
      <c r="H64" s="85"/>
      <c r="I64" s="85"/>
      <c r="J64" s="110"/>
      <c r="K64" s="111"/>
      <c r="L64" s="112"/>
      <c r="M64" s="344"/>
      <c r="N64" s="345"/>
      <c r="O64" s="113"/>
      <c r="P64" s="43"/>
    </row>
    <row r="65" spans="2:16" ht="15" thickBot="1">
      <c r="B65" s="25"/>
      <c r="C65" s="69" t="s">
        <v>75</v>
      </c>
      <c r="D65" s="70"/>
      <c r="E65" s="70"/>
      <c r="F65" s="70"/>
      <c r="G65" s="70"/>
      <c r="H65" s="70"/>
      <c r="I65" s="70"/>
      <c r="J65" s="114"/>
      <c r="K65" s="115"/>
      <c r="L65" s="112"/>
      <c r="M65" s="346"/>
      <c r="N65" s="347"/>
      <c r="O65" s="113"/>
      <c r="P65" s="43"/>
    </row>
    <row r="66" spans="2:16" ht="15" thickBot="1">
      <c r="B66" s="25"/>
      <c r="C66" s="348" t="s">
        <v>54</v>
      </c>
      <c r="D66" s="349"/>
      <c r="E66" s="349"/>
      <c r="F66" s="349"/>
      <c r="G66" s="349"/>
      <c r="H66" s="349"/>
      <c r="I66" s="349"/>
      <c r="J66" s="349"/>
      <c r="K66" s="349"/>
      <c r="L66" s="349"/>
      <c r="M66" s="349"/>
      <c r="N66" s="350"/>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351" t="s">
        <v>76</v>
      </c>
      <c r="D68" s="352"/>
      <c r="E68" s="352"/>
      <c r="F68" s="352"/>
      <c r="G68" s="352"/>
      <c r="H68" s="352"/>
      <c r="I68" s="352"/>
      <c r="J68" s="352"/>
      <c r="K68" s="352"/>
      <c r="L68" s="352"/>
      <c r="M68" s="352"/>
      <c r="N68" s="353"/>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77</v>
      </c>
      <c r="I70" s="118"/>
      <c r="J70" s="118"/>
      <c r="K70" s="118"/>
      <c r="L70" s="52"/>
      <c r="M70" s="52"/>
      <c r="N70" s="52"/>
      <c r="O70" s="76"/>
      <c r="P70" s="26"/>
    </row>
    <row r="71" spans="2:16" ht="14.4">
      <c r="B71" s="25"/>
      <c r="C71" s="75"/>
      <c r="D71" s="52"/>
      <c r="E71" s="52"/>
      <c r="F71" s="52"/>
      <c r="G71" s="52"/>
      <c r="H71" s="118" t="s">
        <v>78</v>
      </c>
      <c r="I71" s="52"/>
      <c r="J71" s="52"/>
      <c r="K71" s="52"/>
      <c r="L71" s="52"/>
      <c r="M71" s="52"/>
      <c r="N71" s="52"/>
      <c r="O71" s="76"/>
      <c r="P71" s="45"/>
    </row>
    <row r="72" spans="2:16" ht="14.4">
      <c r="B72" s="25"/>
      <c r="C72" s="75"/>
      <c r="D72" s="52"/>
      <c r="E72" s="52"/>
      <c r="F72" s="52"/>
      <c r="G72" s="52"/>
      <c r="H72" s="118" t="s">
        <v>92</v>
      </c>
      <c r="I72" s="52"/>
      <c r="J72" s="52"/>
      <c r="K72" s="52"/>
      <c r="L72" s="52"/>
      <c r="M72" s="52"/>
      <c r="N72" s="52"/>
      <c r="O72" s="76"/>
      <c r="P72" s="45"/>
    </row>
    <row r="73" spans="2:16" ht="14.4">
      <c r="B73" s="25"/>
      <c r="C73" s="61"/>
      <c r="D73" s="119"/>
      <c r="E73" s="119"/>
      <c r="F73" s="119"/>
      <c r="G73" s="119"/>
      <c r="H73" s="118" t="s">
        <v>82</v>
      </c>
      <c r="I73" s="119"/>
      <c r="J73" s="119"/>
      <c r="K73" s="119"/>
      <c r="L73" s="119"/>
      <c r="M73" s="119"/>
      <c r="N73" s="119"/>
      <c r="O73" s="120"/>
      <c r="P73" s="46"/>
    </row>
    <row r="74" spans="2:16" ht="14.4">
      <c r="B74" s="25"/>
      <c r="C74" s="75"/>
      <c r="D74" s="52"/>
      <c r="E74" s="52"/>
      <c r="F74" s="52"/>
      <c r="G74" s="52"/>
      <c r="H74" s="52" t="s">
        <v>79</v>
      </c>
      <c r="I74" s="52"/>
      <c r="J74" s="52"/>
      <c r="K74" s="52"/>
      <c r="L74" s="52"/>
      <c r="M74" s="52"/>
      <c r="N74" s="52"/>
      <c r="O74" s="76"/>
      <c r="P74" s="26"/>
    </row>
    <row r="75" spans="2:16" ht="14.4">
      <c r="B75" s="25"/>
      <c r="C75" s="121" t="s">
        <v>80</v>
      </c>
      <c r="D75" s="122"/>
      <c r="E75" s="122"/>
      <c r="F75" s="122"/>
      <c r="G75" s="122"/>
      <c r="H75" s="122"/>
      <c r="I75" s="122"/>
      <c r="J75" s="122"/>
      <c r="K75" s="122"/>
      <c r="L75" s="122"/>
      <c r="M75" s="122"/>
      <c r="N75" s="122"/>
      <c r="O75" s="123"/>
      <c r="P75" s="26"/>
    </row>
    <row r="76" spans="2:16" ht="14.4">
      <c r="B76" s="25"/>
      <c r="C76" s="339"/>
      <c r="D76" s="340"/>
      <c r="E76" s="340"/>
      <c r="F76" s="340"/>
      <c r="G76" s="340"/>
      <c r="H76" s="340"/>
      <c r="I76" s="340"/>
      <c r="J76" s="340"/>
      <c r="K76" s="340"/>
      <c r="L76" s="340"/>
      <c r="M76" s="340"/>
      <c r="N76" s="340"/>
      <c r="O76" s="341"/>
      <c r="P76" s="46"/>
    </row>
    <row r="77" spans="2:16" ht="14.4">
      <c r="B77" s="25"/>
      <c r="C77" s="339"/>
      <c r="D77" s="340"/>
      <c r="E77" s="340"/>
      <c r="F77" s="340"/>
      <c r="G77" s="340"/>
      <c r="H77" s="340"/>
      <c r="I77" s="340"/>
      <c r="J77" s="340"/>
      <c r="K77" s="340"/>
      <c r="L77" s="340"/>
      <c r="M77" s="340"/>
      <c r="N77" s="340"/>
      <c r="O77" s="341"/>
      <c r="P77" s="46"/>
    </row>
    <row r="78" spans="2:16" ht="14.4">
      <c r="B78" s="25"/>
      <c r="C78" s="61"/>
      <c r="D78" s="119"/>
      <c r="E78" s="119"/>
      <c r="F78" s="119"/>
      <c r="G78" s="119"/>
      <c r="H78" s="119"/>
      <c r="I78" s="119"/>
      <c r="J78" s="119"/>
      <c r="K78" s="119"/>
      <c r="L78" s="119"/>
      <c r="M78" s="119"/>
      <c r="N78" s="119"/>
      <c r="O78" s="120"/>
      <c r="P78" s="46"/>
    </row>
    <row r="79" spans="2:16" ht="14.4">
      <c r="B79" s="25"/>
      <c r="C79" s="124" t="s">
        <v>81</v>
      </c>
      <c r="D79" s="119"/>
      <c r="E79" s="119"/>
      <c r="F79" s="119"/>
      <c r="G79" s="119"/>
      <c r="H79" s="119"/>
      <c r="I79" s="119"/>
      <c r="J79" s="119"/>
      <c r="K79" s="119"/>
      <c r="L79" s="119"/>
      <c r="M79" s="119"/>
      <c r="N79" s="119"/>
      <c r="O79" s="120"/>
      <c r="P79" s="46"/>
    </row>
    <row r="80" spans="2:16" ht="12.75" customHeight="1">
      <c r="B80" s="25"/>
      <c r="C80" s="336" t="s">
        <v>90</v>
      </c>
      <c r="D80" s="337"/>
      <c r="E80" s="337"/>
      <c r="F80" s="337"/>
      <c r="G80" s="337"/>
      <c r="H80" s="337"/>
      <c r="I80" s="337"/>
      <c r="J80" s="337"/>
      <c r="K80" s="337"/>
      <c r="L80" s="337"/>
      <c r="M80" s="337"/>
      <c r="N80" s="337"/>
      <c r="O80" s="338"/>
      <c r="P80" s="47"/>
    </row>
    <row r="81" spans="2:16" ht="28.5" customHeight="1">
      <c r="B81" s="25"/>
      <c r="C81" s="336"/>
      <c r="D81" s="337"/>
      <c r="E81" s="337"/>
      <c r="F81" s="337"/>
      <c r="G81" s="337"/>
      <c r="H81" s="337"/>
      <c r="I81" s="337"/>
      <c r="J81" s="337"/>
      <c r="K81" s="337"/>
      <c r="L81" s="337"/>
      <c r="M81" s="337"/>
      <c r="N81" s="337"/>
      <c r="O81" s="338"/>
      <c r="P81" s="47"/>
    </row>
    <row r="82" spans="2:16" ht="13.35" customHeight="1">
      <c r="B82" s="25"/>
      <c r="C82" s="336" t="s">
        <v>91</v>
      </c>
      <c r="D82" s="337"/>
      <c r="E82" s="337"/>
      <c r="F82" s="337"/>
      <c r="G82" s="337"/>
      <c r="H82" s="337"/>
      <c r="I82" s="337"/>
      <c r="J82" s="337"/>
      <c r="K82" s="337"/>
      <c r="L82" s="337"/>
      <c r="M82" s="337"/>
      <c r="N82" s="337"/>
      <c r="O82" s="338"/>
      <c r="P82" s="47"/>
    </row>
    <row r="83" spans="2:16" ht="45" customHeight="1">
      <c r="B83" s="25"/>
      <c r="C83" s="336"/>
      <c r="D83" s="337"/>
      <c r="E83" s="337"/>
      <c r="F83" s="337"/>
      <c r="G83" s="337"/>
      <c r="H83" s="337"/>
      <c r="I83" s="337"/>
      <c r="J83" s="337"/>
      <c r="K83" s="337"/>
      <c r="L83" s="337"/>
      <c r="M83" s="337"/>
      <c r="N83" s="337"/>
      <c r="O83" s="338"/>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77</v>
      </c>
      <c r="I85" s="52"/>
      <c r="J85" s="52"/>
      <c r="K85" s="52"/>
      <c r="L85" s="52"/>
      <c r="M85" s="52"/>
      <c r="N85" s="52"/>
      <c r="O85" s="76"/>
      <c r="P85" s="26"/>
    </row>
    <row r="86" spans="2:16" ht="14.4">
      <c r="B86" s="25"/>
      <c r="C86" s="75"/>
      <c r="D86" s="52"/>
      <c r="E86" s="52"/>
      <c r="F86" s="52"/>
      <c r="G86" s="52"/>
      <c r="H86" s="52" t="s">
        <v>78</v>
      </c>
      <c r="I86" s="85"/>
      <c r="J86" s="85"/>
      <c r="K86" s="85"/>
      <c r="L86" s="52"/>
      <c r="M86" s="52"/>
      <c r="N86" s="52"/>
      <c r="O86" s="76"/>
      <c r="P86" s="26"/>
    </row>
    <row r="87" spans="2:16" ht="14.4">
      <c r="B87" s="25"/>
      <c r="C87" s="75"/>
      <c r="D87" s="52"/>
      <c r="E87" s="52"/>
      <c r="F87" s="52"/>
      <c r="G87" s="52"/>
      <c r="H87" s="52" t="s">
        <v>93</v>
      </c>
      <c r="I87" s="125"/>
      <c r="J87" s="125"/>
      <c r="K87" s="125"/>
      <c r="L87" s="52"/>
      <c r="M87" s="52"/>
      <c r="N87" s="52"/>
      <c r="O87" s="76"/>
      <c r="P87" s="26"/>
    </row>
    <row r="88" spans="2:16" ht="14.4">
      <c r="B88" s="25"/>
      <c r="C88" s="126"/>
      <c r="D88" s="119"/>
      <c r="E88" s="119"/>
      <c r="F88" s="119"/>
      <c r="G88" s="119"/>
      <c r="H88" s="52" t="s">
        <v>83</v>
      </c>
      <c r="I88" s="52"/>
      <c r="J88" s="52"/>
      <c r="K88" s="52"/>
      <c r="L88" s="119"/>
      <c r="M88" s="119"/>
      <c r="N88" s="119"/>
      <c r="O88" s="120"/>
      <c r="P88" s="46"/>
    </row>
    <row r="89" spans="2:16" ht="18.75" customHeight="1" thickBot="1">
      <c r="B89" s="25"/>
      <c r="C89" s="332"/>
      <c r="D89" s="333"/>
      <c r="E89" s="333"/>
      <c r="F89" s="98"/>
      <c r="G89" s="98"/>
      <c r="H89" s="98"/>
      <c r="I89" s="98"/>
      <c r="J89" s="98"/>
      <c r="K89" s="330"/>
      <c r="L89" s="330"/>
      <c r="M89" s="330"/>
      <c r="N89" s="330"/>
      <c r="O89" s="331"/>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Ingrid Johanna Rincon Correa</cp:lastModifiedBy>
  <cp:revision/>
  <cp:lastPrinted>2021-07-22T21:21:55Z</cp:lastPrinted>
  <dcterms:created xsi:type="dcterms:W3CDTF">2006-06-27T16:47:25Z</dcterms:created>
  <dcterms:modified xsi:type="dcterms:W3CDTF">2022-11-18T14:43:27Z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