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drawings/drawing6.xml" ContentType="application/vnd.openxmlformats-officedocument.drawing+xml"/>
  <Override PartName="/xl/ctrlProps/ctrlProp6.xml" ContentType="application/vnd.ms-excel.controlproperties+xml"/>
  <Override PartName="/xl/drawings/drawing7.xml" ContentType="application/vnd.openxmlformats-officedocument.drawing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EsteLibro"/>
  <mc:AlternateContent xmlns:mc="http://schemas.openxmlformats.org/markup-compatibility/2006">
    <mc:Choice Requires="x15">
      <x15ac:absPath xmlns:x15ac="http://schemas.microsoft.com/office/spreadsheetml/2010/11/ac" url="D:\PROCESO MTO RUTINARIO VIA 7404 PR0-PR46 No. SA-MC-DTSUC-002-2019\DOCUMENTOS A PUBLICAR\"/>
    </mc:Choice>
  </mc:AlternateContent>
  <xr:revisionPtr revIDLastSave="0" documentId="13_ncr:1_{48AC69F4-620C-4758-B27A-FA2FBAB935B1}" xr6:coauthVersionLast="36" xr6:coauthVersionMax="36" xr10:uidLastSave="{00000000-0000-0000-0000-000000000000}"/>
  <bookViews>
    <workbookView xWindow="0" yWindow="0" windowWidth="28800" windowHeight="12480" tabRatio="912" firstSheet="1" activeTab="11" xr2:uid="{00000000-000D-0000-FFFF-FFFF00000000}"/>
  </bookViews>
  <sheets>
    <sheet name="Verificaciones" sheetId="1" state="hidden" r:id="rId1"/>
    <sheet name="BD" sheetId="2" r:id="rId2"/>
    <sheet name="TD" sheetId="3" r:id="rId3"/>
    <sheet name="POA" sheetId="6" r:id="rId4"/>
    <sheet name="Puntajes" sheetId="14" r:id="rId5"/>
    <sheet name="Capacidad Financiera" sheetId="4" r:id="rId6"/>
    <sheet name="Puntaje Exp" sheetId="17" r:id="rId7"/>
    <sheet name="Puntaje CT" sheetId="16" r:id="rId8"/>
    <sheet name="Puntaje CF" sheetId="18" r:id="rId9"/>
    <sheet name="Saldo CtosEjecución" sheetId="19" r:id="rId10"/>
    <sheet name="Cap Organización" sheetId="20" r:id="rId11"/>
    <sheet name="Capacidad Residual" sheetId="5" r:id="rId12"/>
    <sheet name="PO" sheetId="7" state="hidden" r:id="rId13"/>
  </sheets>
  <definedNames>
    <definedName name="AnticipoM1">POA!$D$2</definedName>
    <definedName name="AnticipoM2">POA!$D$3</definedName>
    <definedName name="AnticipoM3">POA!$D$4</definedName>
    <definedName name="AnticipoM4">POA!$D$5</definedName>
    <definedName name="_xlnm.Print_Area" localSheetId="10">'Cap Organización'!$C$2:$F$34</definedName>
    <definedName name="_xlnm.Print_Area" localSheetId="5">'Capacidad Financiera'!$B$1:$AK$24</definedName>
    <definedName name="CapFinanciera1">Puntajes!$C$12</definedName>
    <definedName name="CapFinanciera2">Puntajes!$C$13</definedName>
    <definedName name="CapFinanciera3">Puntajes!$C$14</definedName>
    <definedName name="CapFinanciera4">Puntajes!$C$15</definedName>
    <definedName name="CapTecnica1">Puntajes!$G$4</definedName>
    <definedName name="CapTecnica2">Puntajes!$G$5</definedName>
    <definedName name="Experiencia1">Puntajes!$C$4</definedName>
    <definedName name="Experiencia2">Puntajes!$C$5</definedName>
    <definedName name="Experiencia3">Puntajes!$C$6</definedName>
    <definedName name="PlazoM1">POA!$C$2</definedName>
    <definedName name="PlazoM2">POA!$C$3</definedName>
    <definedName name="PlazoM3">POA!$C$4</definedName>
    <definedName name="PlazoM4">POA!$C$5</definedName>
    <definedName name="prueba">TD!$A:$A</definedName>
    <definedName name="SALACTUAL">POA!$F$2</definedName>
    <definedName name="Z_7043DB3C_32B3_43B5_9ACE_4B1C78863594_.wvu.PrintArea" localSheetId="5" hidden="1">'Capacidad Financiera'!$B$1:$AD$11</definedName>
  </definedNames>
  <calcPr calcId="191029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  <pivotCaches>
    <pivotCache cacheId="0" r:id="rId14"/>
  </pivotCache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N23" i="4" l="1"/>
  <c r="N12" i="4"/>
  <c r="M31" i="5" l="1"/>
  <c r="N31" i="5" s="1"/>
  <c r="F31" i="5"/>
  <c r="H31" i="5" s="1"/>
  <c r="M30" i="5"/>
  <c r="N30" i="5" s="1"/>
  <c r="I30" i="5"/>
  <c r="J30" i="5" s="1"/>
  <c r="G30" i="5"/>
  <c r="F30" i="5"/>
  <c r="H30" i="5" s="1"/>
  <c r="M29" i="5"/>
  <c r="N29" i="5" s="1"/>
  <c r="I29" i="5"/>
  <c r="J29" i="5" s="1"/>
  <c r="G29" i="5"/>
  <c r="F29" i="5"/>
  <c r="H29" i="5" s="1"/>
  <c r="M28" i="5"/>
  <c r="N28" i="5" s="1"/>
  <c r="F28" i="5"/>
  <c r="H28" i="5" s="1"/>
  <c r="C28" i="5"/>
  <c r="Q28" i="5" s="1"/>
  <c r="M27" i="5"/>
  <c r="N27" i="5" s="1"/>
  <c r="F27" i="5"/>
  <c r="H27" i="5" s="1"/>
  <c r="M26" i="5"/>
  <c r="N26" i="5" s="1"/>
  <c r="I26" i="5"/>
  <c r="J26" i="5" s="1"/>
  <c r="G26" i="5"/>
  <c r="F26" i="5"/>
  <c r="H26" i="5" s="1"/>
  <c r="M25" i="5"/>
  <c r="N25" i="5" s="1"/>
  <c r="I25" i="5"/>
  <c r="J25" i="5" s="1"/>
  <c r="G25" i="5"/>
  <c r="F25" i="5"/>
  <c r="H25" i="5" s="1"/>
  <c r="M24" i="5"/>
  <c r="N24" i="5" s="1"/>
  <c r="F24" i="5"/>
  <c r="H24" i="5" s="1"/>
  <c r="C24" i="5"/>
  <c r="Q24" i="5" s="1"/>
  <c r="M23" i="5"/>
  <c r="N23" i="5" s="1"/>
  <c r="F23" i="5"/>
  <c r="H23" i="5" s="1"/>
  <c r="M22" i="5"/>
  <c r="N22" i="5" s="1"/>
  <c r="I22" i="5"/>
  <c r="J22" i="5" s="1"/>
  <c r="G22" i="5"/>
  <c r="F22" i="5"/>
  <c r="H22" i="5" s="1"/>
  <c r="O21" i="5"/>
  <c r="P21" i="5" s="1"/>
  <c r="H21" i="5"/>
  <c r="F21" i="5"/>
  <c r="G21" i="5" s="1"/>
  <c r="C29" i="19"/>
  <c r="D29" i="19" s="1"/>
  <c r="C25" i="19"/>
  <c r="D25" i="19" s="1"/>
  <c r="C29" i="18"/>
  <c r="C29" i="16"/>
  <c r="D29" i="16" s="1"/>
  <c r="F29" i="16" s="1"/>
  <c r="C25" i="16"/>
  <c r="D25" i="16" s="1"/>
  <c r="F25" i="16" s="1"/>
  <c r="C23" i="17"/>
  <c r="D23" i="17" s="1"/>
  <c r="I24" i="4"/>
  <c r="R33" i="4"/>
  <c r="Q33" i="4"/>
  <c r="O33" i="4"/>
  <c r="M33" i="4"/>
  <c r="L33" i="4"/>
  <c r="H33" i="4"/>
  <c r="G33" i="4"/>
  <c r="F33" i="4"/>
  <c r="AE33" i="4" s="1"/>
  <c r="AF33" i="4" s="1"/>
  <c r="E33" i="4"/>
  <c r="I33" i="4" s="1"/>
  <c r="B33" i="4"/>
  <c r="C31" i="5" s="1"/>
  <c r="Q31" i="5" s="1"/>
  <c r="R32" i="4"/>
  <c r="Q32" i="4"/>
  <c r="O32" i="4"/>
  <c r="M32" i="4"/>
  <c r="L32" i="4"/>
  <c r="H32" i="4"/>
  <c r="G32" i="4"/>
  <c r="F32" i="4"/>
  <c r="AE32" i="4" s="1"/>
  <c r="AF32" i="4" s="1"/>
  <c r="E32" i="4"/>
  <c r="B32" i="4"/>
  <c r="C29" i="20" s="1"/>
  <c r="D29" i="20" s="1"/>
  <c r="R31" i="4"/>
  <c r="Q31" i="4"/>
  <c r="O31" i="4"/>
  <c r="M31" i="4"/>
  <c r="L31" i="4"/>
  <c r="H31" i="4"/>
  <c r="G31" i="4"/>
  <c r="F31" i="4"/>
  <c r="AE31" i="4" s="1"/>
  <c r="AF31" i="4" s="1"/>
  <c r="E31" i="4"/>
  <c r="I31" i="4" s="1"/>
  <c r="B31" i="4"/>
  <c r="C28" i="19" s="1"/>
  <c r="D28" i="19" s="1"/>
  <c r="R30" i="4"/>
  <c r="Q30" i="4"/>
  <c r="O30" i="4"/>
  <c r="M30" i="4"/>
  <c r="L30" i="4"/>
  <c r="H30" i="4"/>
  <c r="G30" i="4"/>
  <c r="F30" i="4"/>
  <c r="AE30" i="4" s="1"/>
  <c r="AF30" i="4" s="1"/>
  <c r="E30" i="4"/>
  <c r="B30" i="4"/>
  <c r="C27" i="18" s="1"/>
  <c r="R29" i="4"/>
  <c r="Q29" i="4"/>
  <c r="O29" i="4"/>
  <c r="M29" i="4"/>
  <c r="L29" i="4"/>
  <c r="H29" i="4"/>
  <c r="G29" i="4"/>
  <c r="F29" i="4"/>
  <c r="AE29" i="4" s="1"/>
  <c r="AF29" i="4" s="1"/>
  <c r="E29" i="4"/>
  <c r="I29" i="4" s="1"/>
  <c r="B29" i="4"/>
  <c r="C27" i="5" s="1"/>
  <c r="Q27" i="5" s="1"/>
  <c r="R28" i="4"/>
  <c r="Q28" i="4"/>
  <c r="O28" i="4"/>
  <c r="M28" i="4"/>
  <c r="L28" i="4"/>
  <c r="H28" i="4"/>
  <c r="G28" i="4"/>
  <c r="F28" i="4"/>
  <c r="AE28" i="4" s="1"/>
  <c r="AF28" i="4" s="1"/>
  <c r="E28" i="4"/>
  <c r="B28" i="4"/>
  <c r="C25" i="20" s="1"/>
  <c r="D25" i="20" s="1"/>
  <c r="R27" i="4"/>
  <c r="Q27" i="4"/>
  <c r="O27" i="4"/>
  <c r="M27" i="4"/>
  <c r="L27" i="4"/>
  <c r="H27" i="4"/>
  <c r="G27" i="4"/>
  <c r="F27" i="4"/>
  <c r="AE27" i="4" s="1"/>
  <c r="AF27" i="4" s="1"/>
  <c r="E27" i="4"/>
  <c r="I27" i="4" s="1"/>
  <c r="B27" i="4"/>
  <c r="C24" i="19" s="1"/>
  <c r="D24" i="19" s="1"/>
  <c r="R26" i="4"/>
  <c r="Q26" i="4"/>
  <c r="O26" i="4"/>
  <c r="M26" i="4"/>
  <c r="L26" i="4"/>
  <c r="H26" i="4"/>
  <c r="G26" i="4"/>
  <c r="F26" i="4"/>
  <c r="AE26" i="4" s="1"/>
  <c r="AF26" i="4" s="1"/>
  <c r="E26" i="4"/>
  <c r="B26" i="4"/>
  <c r="C23" i="18" s="1"/>
  <c r="R25" i="4"/>
  <c r="Q25" i="4"/>
  <c r="Q23" i="4" s="1"/>
  <c r="O25" i="4"/>
  <c r="M25" i="4"/>
  <c r="L25" i="4"/>
  <c r="L23" i="4" s="1"/>
  <c r="H25" i="4"/>
  <c r="G25" i="4"/>
  <c r="F25" i="4"/>
  <c r="AE25" i="4" s="1"/>
  <c r="AF25" i="4" s="1"/>
  <c r="E25" i="4"/>
  <c r="I25" i="4" s="1"/>
  <c r="B25" i="4"/>
  <c r="C23" i="5" s="1"/>
  <c r="Q23" i="5" s="1"/>
  <c r="AE24" i="4"/>
  <c r="AF24" i="4" s="1"/>
  <c r="R24" i="4"/>
  <c r="Q24" i="4"/>
  <c r="O24" i="4"/>
  <c r="K24" i="4"/>
  <c r="J24" i="4"/>
  <c r="B24" i="4"/>
  <c r="C21" i="20" s="1"/>
  <c r="AA23" i="4"/>
  <c r="R23" i="4"/>
  <c r="O23" i="4"/>
  <c r="D23" i="4"/>
  <c r="G23" i="4" l="1"/>
  <c r="H23" i="4"/>
  <c r="C21" i="17"/>
  <c r="J20" i="17" s="1"/>
  <c r="C26" i="17"/>
  <c r="C22" i="16"/>
  <c r="D22" i="16" s="1"/>
  <c r="F22" i="16" s="1"/>
  <c r="C24" i="18"/>
  <c r="D24" i="18" s="1"/>
  <c r="F24" i="18" s="1"/>
  <c r="C28" i="18"/>
  <c r="D28" i="18" s="1"/>
  <c r="E28" i="18" s="1"/>
  <c r="C21" i="19"/>
  <c r="C22" i="20"/>
  <c r="D22" i="20" s="1"/>
  <c r="C26" i="20"/>
  <c r="D26" i="20" s="1"/>
  <c r="C30" i="20"/>
  <c r="D30" i="20" s="1"/>
  <c r="F23" i="4"/>
  <c r="Y23" i="4" s="1"/>
  <c r="C22" i="17"/>
  <c r="E23" i="17"/>
  <c r="G23" i="17" s="1"/>
  <c r="C28" i="17"/>
  <c r="E28" i="17" s="1"/>
  <c r="C23" i="16"/>
  <c r="D23" i="16" s="1"/>
  <c r="F23" i="16" s="1"/>
  <c r="C26" i="16"/>
  <c r="D26" i="16" s="1"/>
  <c r="F26" i="16" s="1"/>
  <c r="C21" i="18"/>
  <c r="E20" i="18" s="1"/>
  <c r="C25" i="18"/>
  <c r="C22" i="19"/>
  <c r="D22" i="19" s="1"/>
  <c r="C26" i="19"/>
  <c r="D26" i="19" s="1"/>
  <c r="C30" i="19"/>
  <c r="D30" i="19" s="1"/>
  <c r="C23" i="20"/>
  <c r="D23" i="20" s="1"/>
  <c r="C27" i="20"/>
  <c r="D27" i="20" s="1"/>
  <c r="G23" i="5"/>
  <c r="C25" i="5"/>
  <c r="Q25" i="5" s="1"/>
  <c r="G27" i="5"/>
  <c r="C29" i="5"/>
  <c r="Q29" i="5" s="1"/>
  <c r="G31" i="5"/>
  <c r="M23" i="4"/>
  <c r="AB23" i="4" s="1"/>
  <c r="C24" i="17"/>
  <c r="E24" i="17" s="1"/>
  <c r="C29" i="17"/>
  <c r="D29" i="17" s="1"/>
  <c r="C24" i="16"/>
  <c r="D24" i="16" s="1"/>
  <c r="F24" i="16" s="1"/>
  <c r="C27" i="16"/>
  <c r="D27" i="16" s="1"/>
  <c r="F27" i="16" s="1"/>
  <c r="C30" i="16"/>
  <c r="D30" i="16" s="1"/>
  <c r="F30" i="16" s="1"/>
  <c r="C22" i="18"/>
  <c r="D22" i="18" s="1"/>
  <c r="E22" i="18" s="1"/>
  <c r="C26" i="18"/>
  <c r="D26" i="18" s="1"/>
  <c r="E26" i="18" s="1"/>
  <c r="C30" i="18"/>
  <c r="D30" i="18" s="1"/>
  <c r="E30" i="18" s="1"/>
  <c r="C23" i="19"/>
  <c r="D23" i="19" s="1"/>
  <c r="C27" i="19"/>
  <c r="D27" i="19" s="1"/>
  <c r="C24" i="20"/>
  <c r="D24" i="20" s="1"/>
  <c r="C28" i="20"/>
  <c r="D28" i="20" s="1"/>
  <c r="C22" i="5"/>
  <c r="I23" i="5"/>
  <c r="J23" i="5" s="1"/>
  <c r="G24" i="5"/>
  <c r="C26" i="5"/>
  <c r="Q26" i="5" s="1"/>
  <c r="I27" i="5"/>
  <c r="J27" i="5" s="1"/>
  <c r="G28" i="5"/>
  <c r="C30" i="5"/>
  <c r="Q30" i="5" s="1"/>
  <c r="I31" i="5"/>
  <c r="J31" i="5" s="1"/>
  <c r="I26" i="4"/>
  <c r="I28" i="4"/>
  <c r="I30" i="4"/>
  <c r="I32" i="4"/>
  <c r="C25" i="17"/>
  <c r="D25" i="17" s="1"/>
  <c r="C27" i="17"/>
  <c r="C30" i="17"/>
  <c r="C21" i="16"/>
  <c r="C28" i="16"/>
  <c r="D28" i="16" s="1"/>
  <c r="F28" i="16" s="1"/>
  <c r="I24" i="5"/>
  <c r="J24" i="5" s="1"/>
  <c r="I28" i="5"/>
  <c r="J28" i="5" s="1"/>
  <c r="N21" i="5"/>
  <c r="I21" i="5"/>
  <c r="J21" i="5" s="1"/>
  <c r="D23" i="5"/>
  <c r="D24" i="5"/>
  <c r="D25" i="5"/>
  <c r="D27" i="5"/>
  <c r="D28" i="5"/>
  <c r="D29" i="5"/>
  <c r="D31" i="5"/>
  <c r="E23" i="5"/>
  <c r="E24" i="5"/>
  <c r="E25" i="5"/>
  <c r="E26" i="5"/>
  <c r="E27" i="5"/>
  <c r="E28" i="5"/>
  <c r="E29" i="5"/>
  <c r="E30" i="5"/>
  <c r="E31" i="5"/>
  <c r="E24" i="18"/>
  <c r="F26" i="18"/>
  <c r="F20" i="18"/>
  <c r="D23" i="18"/>
  <c r="F23" i="18" s="1"/>
  <c r="D25" i="18"/>
  <c r="E25" i="18" s="1"/>
  <c r="D27" i="18"/>
  <c r="E27" i="18" s="1"/>
  <c r="D29" i="18"/>
  <c r="H20" i="18"/>
  <c r="D24" i="17"/>
  <c r="E25" i="17"/>
  <c r="D28" i="17"/>
  <c r="E29" i="17"/>
  <c r="E23" i="4"/>
  <c r="W23" i="4" s="1"/>
  <c r="J25" i="4"/>
  <c r="J26" i="4"/>
  <c r="J27" i="4"/>
  <c r="J28" i="4"/>
  <c r="J29" i="4"/>
  <c r="J30" i="4"/>
  <c r="J31" i="4"/>
  <c r="J32" i="4"/>
  <c r="J33" i="4"/>
  <c r="K25" i="4"/>
  <c r="K26" i="4"/>
  <c r="K27" i="4"/>
  <c r="K28" i="4"/>
  <c r="K29" i="4"/>
  <c r="K30" i="4"/>
  <c r="K31" i="4"/>
  <c r="K32" i="4"/>
  <c r="K33" i="4"/>
  <c r="D2" i="6"/>
  <c r="H23" i="17" l="1"/>
  <c r="I23" i="4"/>
  <c r="S23" i="4" s="1"/>
  <c r="J29" i="17"/>
  <c r="J23" i="17"/>
  <c r="F28" i="18"/>
  <c r="AI23" i="4"/>
  <c r="AJ31" i="4" s="1"/>
  <c r="Z30" i="4"/>
  <c r="Z32" i="4"/>
  <c r="Z23" i="4"/>
  <c r="Z31" i="4"/>
  <c r="Z24" i="4"/>
  <c r="Z27" i="4"/>
  <c r="G28" i="18"/>
  <c r="H26" i="18"/>
  <c r="E23" i="18"/>
  <c r="H23" i="18" s="1"/>
  <c r="I23" i="17"/>
  <c r="T28" i="4"/>
  <c r="T23" i="4"/>
  <c r="T29" i="4"/>
  <c r="T26" i="4"/>
  <c r="T31" i="4"/>
  <c r="K23" i="4"/>
  <c r="AG23" i="4" s="1"/>
  <c r="AH23" i="4" s="1"/>
  <c r="D27" i="17"/>
  <c r="E27" i="17"/>
  <c r="E22" i="17"/>
  <c r="D22" i="17"/>
  <c r="Z28" i="4"/>
  <c r="F30" i="18"/>
  <c r="G30" i="18" s="1"/>
  <c r="F22" i="18"/>
  <c r="H22" i="18" s="1"/>
  <c r="H24" i="18"/>
  <c r="D30" i="5"/>
  <c r="D26" i="5"/>
  <c r="E26" i="17"/>
  <c r="D26" i="17"/>
  <c r="F20" i="16"/>
  <c r="J23" i="4"/>
  <c r="U23" i="4" s="1"/>
  <c r="V31" i="4" s="1"/>
  <c r="E30" i="17"/>
  <c r="D30" i="17"/>
  <c r="G26" i="18"/>
  <c r="H28" i="18"/>
  <c r="G24" i="18"/>
  <c r="G29" i="17"/>
  <c r="I29" i="17" s="1"/>
  <c r="F27" i="18"/>
  <c r="H27" i="18" s="1"/>
  <c r="F29" i="18"/>
  <c r="E29" i="18"/>
  <c r="G23" i="18"/>
  <c r="F25" i="18"/>
  <c r="H25" i="18" s="1"/>
  <c r="J25" i="17"/>
  <c r="H24" i="17"/>
  <c r="G24" i="17"/>
  <c r="I24" i="17" s="1"/>
  <c r="J24" i="17"/>
  <c r="G25" i="17"/>
  <c r="I25" i="17" s="1"/>
  <c r="H29" i="17"/>
  <c r="H28" i="17"/>
  <c r="G28" i="17"/>
  <c r="I28" i="17" s="1"/>
  <c r="J28" i="17"/>
  <c r="H25" i="17"/>
  <c r="AJ28" i="4"/>
  <c r="T33" i="4"/>
  <c r="AJ29" i="4"/>
  <c r="AJ33" i="4"/>
  <c r="Z25" i="4"/>
  <c r="Z29" i="4"/>
  <c r="Z33" i="4"/>
  <c r="AJ26" i="4"/>
  <c r="AJ30" i="4"/>
  <c r="Z26" i="4"/>
  <c r="AJ23" i="4"/>
  <c r="AJ27" i="4"/>
  <c r="T24" i="4"/>
  <c r="T30" i="4"/>
  <c r="T27" i="4"/>
  <c r="T25" i="4"/>
  <c r="T32" i="4"/>
  <c r="V32" i="4"/>
  <c r="X33" i="4"/>
  <c r="X32" i="4"/>
  <c r="X31" i="4"/>
  <c r="X30" i="4"/>
  <c r="X29" i="4"/>
  <c r="X28" i="4"/>
  <c r="X27" i="4"/>
  <c r="X26" i="4"/>
  <c r="X25" i="4"/>
  <c r="X24" i="4"/>
  <c r="X23" i="4"/>
  <c r="AC23" i="4"/>
  <c r="AC33" i="4"/>
  <c r="AC32" i="4"/>
  <c r="AC30" i="4"/>
  <c r="AC29" i="4"/>
  <c r="AC27" i="4"/>
  <c r="AC31" i="4"/>
  <c r="AC28" i="4"/>
  <c r="AC26" i="4"/>
  <c r="AC25" i="4"/>
  <c r="AC24" i="4"/>
  <c r="M14" i="4"/>
  <c r="L14" i="4"/>
  <c r="H14" i="4"/>
  <c r="G14" i="4"/>
  <c r="F14" i="4"/>
  <c r="E14" i="4"/>
  <c r="V24" i="4" l="1"/>
  <c r="V28" i="4"/>
  <c r="AH24" i="4"/>
  <c r="AJ24" i="4"/>
  <c r="G22" i="18"/>
  <c r="AH30" i="4"/>
  <c r="AJ25" i="4"/>
  <c r="J14" i="4"/>
  <c r="AH27" i="4"/>
  <c r="AK27" i="4" s="1"/>
  <c r="AJ32" i="4"/>
  <c r="AK23" i="4"/>
  <c r="AH25" i="4"/>
  <c r="AH32" i="4"/>
  <c r="AH28" i="4"/>
  <c r="V25" i="4"/>
  <c r="AD25" i="4" s="1"/>
  <c r="V29" i="4"/>
  <c r="AD29" i="4" s="1"/>
  <c r="V33" i="4"/>
  <c r="AD33" i="4" s="1"/>
  <c r="AH26" i="4"/>
  <c r="AH33" i="4"/>
  <c r="AH31" i="4"/>
  <c r="AK31" i="4" s="1"/>
  <c r="V26" i="4"/>
  <c r="AD26" i="4" s="1"/>
  <c r="V30" i="4"/>
  <c r="AD30" i="4" s="1"/>
  <c r="H30" i="18"/>
  <c r="AH29" i="4"/>
  <c r="AK29" i="4" s="1"/>
  <c r="V23" i="4"/>
  <c r="AD23" i="4" s="1"/>
  <c r="V27" i="4"/>
  <c r="AD27" i="4" s="1"/>
  <c r="J26" i="17"/>
  <c r="H26" i="17"/>
  <c r="G26" i="17"/>
  <c r="I26" i="17" s="1"/>
  <c r="AK28" i="4"/>
  <c r="J27" i="17"/>
  <c r="H27" i="17"/>
  <c r="G27" i="17"/>
  <c r="I27" i="17" s="1"/>
  <c r="AK26" i="4"/>
  <c r="AK33" i="4"/>
  <c r="H29" i="18"/>
  <c r="J30" i="17"/>
  <c r="G30" i="17"/>
  <c r="I30" i="17" s="1"/>
  <c r="H30" i="17"/>
  <c r="J22" i="17"/>
  <c r="G22" i="17"/>
  <c r="I22" i="17" s="1"/>
  <c r="H22" i="17"/>
  <c r="G29" i="18"/>
  <c r="G27" i="18"/>
  <c r="G25" i="18"/>
  <c r="AD32" i="4"/>
  <c r="AD31" i="4"/>
  <c r="AK30" i="4"/>
  <c r="AD24" i="4"/>
  <c r="AD28" i="4"/>
  <c r="I14" i="4"/>
  <c r="K14" i="4"/>
  <c r="K13" i="4"/>
  <c r="I13" i="4"/>
  <c r="J13" i="4"/>
  <c r="I3" i="6"/>
  <c r="I4" i="6"/>
  <c r="I5" i="6"/>
  <c r="I2" i="6"/>
  <c r="H5" i="6"/>
  <c r="H4" i="6"/>
  <c r="H3" i="6"/>
  <c r="H2" i="6"/>
  <c r="R12" i="4"/>
  <c r="Q13" i="4"/>
  <c r="AK32" i="4" l="1"/>
  <c r="AK25" i="4"/>
  <c r="AK24" i="4"/>
  <c r="V9" i="4"/>
  <c r="E354" i="2" l="1"/>
  <c r="C354" i="2"/>
  <c r="C326" i="2"/>
  <c r="E318" i="2"/>
  <c r="E308" i="2"/>
  <c r="E298" i="2"/>
  <c r="E295" i="2"/>
  <c r="E283" i="2"/>
  <c r="E236" i="2"/>
  <c r="C226" i="2"/>
  <c r="E211" i="2"/>
  <c r="C211" i="2"/>
  <c r="C209" i="2"/>
  <c r="E206" i="2"/>
  <c r="E204" i="2"/>
  <c r="C204" i="2"/>
  <c r="E201" i="2"/>
  <c r="E168" i="2"/>
  <c r="E157" i="2"/>
  <c r="E155" i="2"/>
  <c r="E141" i="2"/>
  <c r="E90" i="2"/>
  <c r="E83" i="2"/>
  <c r="E77" i="2"/>
  <c r="E68" i="2"/>
  <c r="E67" i="2"/>
  <c r="E57" i="2"/>
  <c r="E56" i="2"/>
  <c r="E55" i="2"/>
  <c r="E48" i="2"/>
  <c r="E28" i="2"/>
  <c r="E27" i="2"/>
  <c r="E15" i="4" l="1"/>
  <c r="E16" i="4"/>
  <c r="E17" i="4"/>
  <c r="E18" i="4"/>
  <c r="E19" i="4"/>
  <c r="E20" i="4"/>
  <c r="E21" i="4"/>
  <c r="E22" i="4"/>
  <c r="R22" i="4"/>
  <c r="Q22" i="4"/>
  <c r="O22" i="4"/>
  <c r="M22" i="4"/>
  <c r="L22" i="4"/>
  <c r="H22" i="4"/>
  <c r="G22" i="4"/>
  <c r="F22" i="4"/>
  <c r="R21" i="4"/>
  <c r="Q21" i="4"/>
  <c r="O21" i="4"/>
  <c r="M21" i="4"/>
  <c r="L21" i="4"/>
  <c r="H21" i="4"/>
  <c r="G21" i="4"/>
  <c r="F21" i="4"/>
  <c r="R20" i="4"/>
  <c r="Q20" i="4"/>
  <c r="O20" i="4"/>
  <c r="M20" i="4"/>
  <c r="L20" i="4"/>
  <c r="H20" i="4"/>
  <c r="G20" i="4"/>
  <c r="F20" i="4"/>
  <c r="R19" i="4"/>
  <c r="Q19" i="4"/>
  <c r="O19" i="4"/>
  <c r="M19" i="4"/>
  <c r="L19" i="4"/>
  <c r="H19" i="4"/>
  <c r="G19" i="4"/>
  <c r="F19" i="4"/>
  <c r="R18" i="4"/>
  <c r="Q18" i="4"/>
  <c r="O18" i="4"/>
  <c r="M18" i="4"/>
  <c r="L18" i="4"/>
  <c r="H18" i="4"/>
  <c r="G18" i="4"/>
  <c r="F18" i="4"/>
  <c r="R17" i="4"/>
  <c r="Q17" i="4"/>
  <c r="O17" i="4"/>
  <c r="M17" i="4"/>
  <c r="L17" i="4"/>
  <c r="H17" i="4"/>
  <c r="G17" i="4"/>
  <c r="F17" i="4"/>
  <c r="R16" i="4"/>
  <c r="Q16" i="4"/>
  <c r="O16" i="4"/>
  <c r="M16" i="4"/>
  <c r="L16" i="4"/>
  <c r="H16" i="4"/>
  <c r="G16" i="4"/>
  <c r="F16" i="4"/>
  <c r="R15" i="4"/>
  <c r="Q15" i="4"/>
  <c r="O15" i="4"/>
  <c r="M15" i="4"/>
  <c r="L15" i="4"/>
  <c r="H15" i="4"/>
  <c r="G15" i="4"/>
  <c r="F15" i="4"/>
  <c r="R14" i="4"/>
  <c r="Q14" i="4"/>
  <c r="O14" i="4"/>
  <c r="R13" i="4"/>
  <c r="O13" i="4"/>
  <c r="O12" i="4"/>
  <c r="B22" i="4" l="1"/>
  <c r="AE21" i="4"/>
  <c r="AF21" i="4" s="1"/>
  <c r="B21" i="4"/>
  <c r="AE20" i="4"/>
  <c r="AF20" i="4" s="1"/>
  <c r="B20" i="4"/>
  <c r="B19" i="4"/>
  <c r="B18" i="4"/>
  <c r="AE17" i="4"/>
  <c r="AF17" i="4" s="1"/>
  <c r="B17" i="4"/>
  <c r="AE16" i="4"/>
  <c r="AF16" i="4" s="1"/>
  <c r="AE15" i="4"/>
  <c r="AF15" i="4" s="1"/>
  <c r="B13" i="4"/>
  <c r="D12" i="4"/>
  <c r="D20" i="20" l="1"/>
  <c r="D20" i="16"/>
  <c r="D20" i="18"/>
  <c r="G20" i="18" s="1"/>
  <c r="D21" i="5"/>
  <c r="D20" i="19"/>
  <c r="E20" i="17"/>
  <c r="D21" i="17"/>
  <c r="E21" i="5"/>
  <c r="E21" i="17"/>
  <c r="D21" i="18"/>
  <c r="D21" i="20"/>
  <c r="D22" i="5"/>
  <c r="E22" i="5"/>
  <c r="D21" i="16"/>
  <c r="F21" i="16" s="1"/>
  <c r="D21" i="19"/>
  <c r="B14" i="4"/>
  <c r="F12" i="4"/>
  <c r="H12" i="4"/>
  <c r="G12" i="4"/>
  <c r="E12" i="4"/>
  <c r="I19" i="4"/>
  <c r="L12" i="4"/>
  <c r="M12" i="4"/>
  <c r="K20" i="4"/>
  <c r="J21" i="4"/>
  <c r="I20" i="4"/>
  <c r="J20" i="4"/>
  <c r="I22" i="4"/>
  <c r="AA12" i="4"/>
  <c r="K16" i="4"/>
  <c r="J17" i="4"/>
  <c r="I18" i="4"/>
  <c r="K19" i="4"/>
  <c r="AE19" i="4"/>
  <c r="AF19" i="4" s="1"/>
  <c r="Q12" i="4"/>
  <c r="I16" i="4"/>
  <c r="I15" i="4"/>
  <c r="J16" i="4"/>
  <c r="K15" i="4"/>
  <c r="AE13" i="4"/>
  <c r="AF13" i="4" s="1"/>
  <c r="AE14" i="4"/>
  <c r="AF14" i="4" s="1"/>
  <c r="I17" i="4"/>
  <c r="AE18" i="4"/>
  <c r="AF18" i="4" s="1"/>
  <c r="K18" i="4"/>
  <c r="J18" i="4"/>
  <c r="I21" i="4"/>
  <c r="AE22" i="4"/>
  <c r="AF22" i="4" s="1"/>
  <c r="K22" i="4"/>
  <c r="J22" i="4"/>
  <c r="K17" i="4"/>
  <c r="K21" i="4"/>
  <c r="J15" i="4"/>
  <c r="J19" i="4"/>
  <c r="H21" i="17" l="1"/>
  <c r="G21" i="17"/>
  <c r="F21" i="18"/>
  <c r="E21" i="18"/>
  <c r="H20" i="17"/>
  <c r="I20" i="17"/>
  <c r="B15" i="4"/>
  <c r="J12" i="4"/>
  <c r="U12" i="4" s="1"/>
  <c r="V12" i="4" s="1"/>
  <c r="I12" i="4"/>
  <c r="S12" i="4" s="1"/>
  <c r="T12" i="4" s="1"/>
  <c r="K12" i="4"/>
  <c r="AG12" i="4" s="1"/>
  <c r="AH20" i="4" s="1"/>
  <c r="AB12" i="4"/>
  <c r="AC18" i="4" s="1"/>
  <c r="W12" i="4"/>
  <c r="X15" i="4" s="1"/>
  <c r="Y12" i="4"/>
  <c r="Z18" i="4" s="1"/>
  <c r="AI12" i="4"/>
  <c r="I21" i="17" l="1"/>
  <c r="J21" i="17" s="1"/>
  <c r="G21" i="18"/>
  <c r="H21" i="18" s="1"/>
  <c r="B16" i="4"/>
  <c r="T16" i="4"/>
  <c r="T22" i="4"/>
  <c r="X16" i="4"/>
  <c r="X22" i="4"/>
  <c r="X19" i="4"/>
  <c r="X20" i="4"/>
  <c r="AH15" i="4"/>
  <c r="X14" i="4"/>
  <c r="AH21" i="4"/>
  <c r="AH13" i="4"/>
  <c r="AC20" i="4"/>
  <c r="AC15" i="4"/>
  <c r="AC13" i="4"/>
  <c r="AC16" i="4"/>
  <c r="AC22" i="4"/>
  <c r="AC21" i="4"/>
  <c r="AC17" i="4"/>
  <c r="AC12" i="4"/>
  <c r="T17" i="4"/>
  <c r="T21" i="4"/>
  <c r="AC19" i="4"/>
  <c r="AC14" i="4"/>
  <c r="X13" i="4"/>
  <c r="T15" i="4"/>
  <c r="T20" i="4"/>
  <c r="X21" i="4"/>
  <c r="X18" i="4"/>
  <c r="Z19" i="4"/>
  <c r="T14" i="4"/>
  <c r="T19" i="4"/>
  <c r="T13" i="4"/>
  <c r="Z22" i="4"/>
  <c r="T18" i="4"/>
  <c r="X17" i="4"/>
  <c r="X12" i="4"/>
  <c r="AH14" i="4"/>
  <c r="AH19" i="4"/>
  <c r="Z17" i="4"/>
  <c r="Z16" i="4"/>
  <c r="Z21" i="4"/>
  <c r="Z12" i="4"/>
  <c r="Z20" i="4"/>
  <c r="Z14" i="4"/>
  <c r="AH18" i="4"/>
  <c r="AH22" i="4"/>
  <c r="AH16" i="4"/>
  <c r="Z15" i="4"/>
  <c r="Z13" i="4"/>
  <c r="AH17" i="4"/>
  <c r="AH12" i="4"/>
  <c r="AJ19" i="4"/>
  <c r="AJ15" i="4"/>
  <c r="AJ22" i="4"/>
  <c r="AJ18" i="4"/>
  <c r="AJ14" i="4"/>
  <c r="AJ21" i="4"/>
  <c r="AJ20" i="4"/>
  <c r="AK20" i="4" s="1"/>
  <c r="AJ17" i="4"/>
  <c r="AJ16" i="4"/>
  <c r="AJ13" i="4"/>
  <c r="AJ12" i="4"/>
  <c r="V20" i="4"/>
  <c r="V16" i="4"/>
  <c r="V19" i="4"/>
  <c r="V15" i="4"/>
  <c r="V13" i="4"/>
  <c r="V22" i="4"/>
  <c r="V21" i="4"/>
  <c r="V18" i="4"/>
  <c r="V17" i="4"/>
  <c r="V14" i="4"/>
  <c r="AK21" i="4" l="1"/>
  <c r="AK15" i="4"/>
  <c r="AK14" i="4"/>
  <c r="AK19" i="4"/>
  <c r="AK13" i="4"/>
  <c r="AD14" i="4"/>
  <c r="AK12" i="4"/>
  <c r="AD21" i="4"/>
  <c r="AD15" i="4"/>
  <c r="AD17" i="4"/>
  <c r="AD22" i="4"/>
  <c r="AD19" i="4"/>
  <c r="AD18" i="4"/>
  <c r="AK18" i="4"/>
  <c r="AK22" i="4"/>
  <c r="AD13" i="4"/>
  <c r="AK17" i="4"/>
  <c r="AD12" i="4"/>
  <c r="AD16" i="4"/>
  <c r="AD20" i="4"/>
  <c r="AK16" i="4"/>
  <c r="F13" i="5"/>
  <c r="G13" i="5" s="1"/>
  <c r="F12" i="5"/>
  <c r="H12" i="5" s="1"/>
  <c r="F11" i="5"/>
  <c r="G11" i="5" s="1"/>
  <c r="F14" i="5"/>
  <c r="H14" i="5" s="1"/>
  <c r="H13" i="5" l="1"/>
  <c r="G12" i="5"/>
  <c r="H11" i="5"/>
  <c r="C9" i="20" l="1"/>
  <c r="D9" i="20" s="1"/>
  <c r="C4" i="20"/>
  <c r="C9" i="19" l="1"/>
  <c r="D9" i="19" s="1"/>
  <c r="C4" i="19"/>
  <c r="C9" i="18" l="1"/>
  <c r="D9" i="18" s="1"/>
  <c r="C4" i="18"/>
  <c r="C9" i="17" l="1"/>
  <c r="C4" i="17"/>
  <c r="E9" i="17" l="1"/>
  <c r="H9" i="17" s="1"/>
  <c r="C4" i="16"/>
  <c r="C4" i="5"/>
  <c r="I9" i="17" l="1"/>
  <c r="C9" i="16"/>
  <c r="D9" i="16" s="1"/>
  <c r="I13" i="5" l="1"/>
  <c r="I12" i="5"/>
  <c r="I11" i="5"/>
  <c r="F15" i="5"/>
  <c r="I15" i="5" s="1"/>
  <c r="F16" i="5"/>
  <c r="I16" i="5" s="1"/>
  <c r="F17" i="5"/>
  <c r="H17" i="5" s="1"/>
  <c r="F18" i="5"/>
  <c r="H18" i="5" s="1"/>
  <c r="F19" i="5"/>
  <c r="I19" i="5" s="1"/>
  <c r="F20" i="5"/>
  <c r="I20" i="5" s="1"/>
  <c r="F10" i="5"/>
  <c r="G10" i="5" s="1"/>
  <c r="G17" i="5" l="1"/>
  <c r="H15" i="5"/>
  <c r="H19" i="5"/>
  <c r="I17" i="5"/>
  <c r="G14" i="5"/>
  <c r="G18" i="5"/>
  <c r="H16" i="5"/>
  <c r="H20" i="5"/>
  <c r="I14" i="5"/>
  <c r="I18" i="5"/>
  <c r="G15" i="5"/>
  <c r="G19" i="5"/>
  <c r="G16" i="5"/>
  <c r="G20" i="5"/>
  <c r="I10" i="5"/>
  <c r="H10" i="5"/>
  <c r="J12" i="5"/>
  <c r="J13" i="5"/>
  <c r="J11" i="5"/>
  <c r="C10" i="20" l="1"/>
  <c r="J10" i="5"/>
  <c r="C10" i="18"/>
  <c r="C10" i="19"/>
  <c r="D10" i="19" s="1"/>
  <c r="C10" i="16"/>
  <c r="C10" i="17"/>
  <c r="D10" i="17" s="1"/>
  <c r="D10" i="20" l="1"/>
  <c r="F9" i="18"/>
  <c r="D10" i="18"/>
  <c r="E10" i="18" s="1"/>
  <c r="F9" i="16"/>
  <c r="D10" i="16"/>
  <c r="F10" i="16" s="1"/>
  <c r="E9" i="18"/>
  <c r="E10" i="17"/>
  <c r="J9" i="17"/>
  <c r="G10" i="17" l="1"/>
  <c r="H10" i="17"/>
  <c r="F10" i="18"/>
  <c r="G10" i="18" s="1"/>
  <c r="H10" i="18" s="1"/>
  <c r="G9" i="18"/>
  <c r="H9" i="18" s="1"/>
  <c r="I10" i="17" l="1"/>
  <c r="J10" i="17" s="1"/>
  <c r="M12" i="5" l="1"/>
  <c r="N12" i="5" s="1"/>
  <c r="M13" i="5"/>
  <c r="N13" i="5" s="1"/>
  <c r="M14" i="5"/>
  <c r="N14" i="5" s="1"/>
  <c r="M15" i="5"/>
  <c r="N15" i="5" s="1"/>
  <c r="M16" i="5"/>
  <c r="N16" i="5" s="1"/>
  <c r="M17" i="5"/>
  <c r="N17" i="5" s="1"/>
  <c r="M18" i="5"/>
  <c r="N18" i="5" s="1"/>
  <c r="M19" i="5"/>
  <c r="N19" i="5" s="1"/>
  <c r="M20" i="5"/>
  <c r="N20" i="5" s="1"/>
  <c r="M11" i="5"/>
  <c r="N11" i="5" s="1"/>
  <c r="C10" i="5"/>
  <c r="D10" i="5" s="1"/>
  <c r="C11" i="5"/>
  <c r="D11" i="5" s="1"/>
  <c r="B101" i="7"/>
  <c r="H8" i="1"/>
  <c r="K8" i="1"/>
  <c r="U8" i="1"/>
  <c r="W8" i="1"/>
  <c r="H9" i="1"/>
  <c r="T9" i="1" s="1"/>
  <c r="K9" i="1"/>
  <c r="M9" i="1" s="1"/>
  <c r="V9" i="1"/>
  <c r="W9" i="1"/>
  <c r="H10" i="1"/>
  <c r="T10" i="1" s="1"/>
  <c r="K10" i="1"/>
  <c r="M10" i="1" s="1"/>
  <c r="U10" i="1"/>
  <c r="V10" i="1"/>
  <c r="W10" i="1"/>
  <c r="H11" i="1"/>
  <c r="T11" i="1" s="1"/>
  <c r="K11" i="1"/>
  <c r="M11" i="1" s="1"/>
  <c r="V11" i="1"/>
  <c r="W11" i="1"/>
  <c r="H12" i="1"/>
  <c r="T12" i="1" s="1"/>
  <c r="K12" i="1"/>
  <c r="M12" i="1" s="1"/>
  <c r="V12" i="1"/>
  <c r="W12" i="1"/>
  <c r="H13" i="1"/>
  <c r="T13" i="1" s="1"/>
  <c r="K13" i="1"/>
  <c r="M13" i="1" s="1"/>
  <c r="V13" i="1"/>
  <c r="W13" i="1"/>
  <c r="H14" i="1"/>
  <c r="T14" i="1" s="1"/>
  <c r="K14" i="1"/>
  <c r="U14" i="1" s="1"/>
  <c r="V14" i="1"/>
  <c r="W14" i="1"/>
  <c r="H16" i="1"/>
  <c r="T16" i="1" s="1"/>
  <c r="K16" i="1"/>
  <c r="M16" i="1" s="1"/>
  <c r="V16" i="1"/>
  <c r="W16" i="1"/>
  <c r="H17" i="1"/>
  <c r="T17" i="1" s="1"/>
  <c r="K17" i="1"/>
  <c r="U17" i="1" s="1"/>
  <c r="V17" i="1"/>
  <c r="W17" i="1"/>
  <c r="H18" i="1"/>
  <c r="T18" i="1" s="1"/>
  <c r="K18" i="1"/>
  <c r="M18" i="1" s="1"/>
  <c r="V18" i="1"/>
  <c r="W18" i="1"/>
  <c r="H19" i="1"/>
  <c r="T19" i="1" s="1"/>
  <c r="K19" i="1"/>
  <c r="U19" i="1" s="1"/>
  <c r="V19" i="1"/>
  <c r="W19" i="1"/>
  <c r="H20" i="1"/>
  <c r="T20" i="1" s="1"/>
  <c r="K20" i="1"/>
  <c r="M20" i="1" s="1"/>
  <c r="R20" i="1"/>
  <c r="V20" i="1" s="1"/>
  <c r="W20" i="1"/>
  <c r="H21" i="1"/>
  <c r="T21" i="1"/>
  <c r="K21" i="1"/>
  <c r="M21" i="1" s="1"/>
  <c r="V21" i="1"/>
  <c r="W21" i="1"/>
  <c r="H23" i="1"/>
  <c r="T23" i="1" s="1"/>
  <c r="K23" i="1"/>
  <c r="M23" i="1" s="1"/>
  <c r="V23" i="1"/>
  <c r="W23" i="1"/>
  <c r="H24" i="1"/>
  <c r="T24" i="1" s="1"/>
  <c r="K24" i="1"/>
  <c r="M24" i="1" s="1"/>
  <c r="V24" i="1"/>
  <c r="W24" i="1"/>
  <c r="H25" i="1"/>
  <c r="T25" i="1" s="1"/>
  <c r="K25" i="1"/>
  <c r="M25" i="1" s="1"/>
  <c r="V25" i="1"/>
  <c r="W25" i="1"/>
  <c r="H26" i="1"/>
  <c r="T26" i="1" s="1"/>
  <c r="K26" i="1"/>
  <c r="M26" i="1" s="1"/>
  <c r="R26" i="1"/>
  <c r="V26" i="1" s="1"/>
  <c r="W26" i="1"/>
  <c r="H28" i="1"/>
  <c r="T28" i="1" s="1"/>
  <c r="K28" i="1"/>
  <c r="U28" i="1" s="1"/>
  <c r="V28" i="1"/>
  <c r="W28" i="1"/>
  <c r="H29" i="1"/>
  <c r="T29" i="1" s="1"/>
  <c r="K29" i="1"/>
  <c r="M29" i="1" s="1"/>
  <c r="V29" i="1"/>
  <c r="W29" i="1"/>
  <c r="H30" i="1"/>
  <c r="T30" i="1" s="1"/>
  <c r="K30" i="1"/>
  <c r="U30" i="1" s="1"/>
  <c r="V30" i="1"/>
  <c r="W30" i="1"/>
  <c r="G31" i="1"/>
  <c r="H31" i="1" s="1"/>
  <c r="T31" i="1" s="1"/>
  <c r="K31" i="1"/>
  <c r="M31" i="1" s="1"/>
  <c r="V31" i="1"/>
  <c r="W31" i="1"/>
  <c r="U21" i="1"/>
  <c r="U11" i="1"/>
  <c r="U9" i="1"/>
  <c r="M19" i="1" l="1"/>
  <c r="L8" i="1"/>
  <c r="U18" i="1"/>
  <c r="U12" i="1"/>
  <c r="U31" i="1"/>
  <c r="U25" i="1"/>
  <c r="U20" i="1"/>
  <c r="U16" i="1"/>
  <c r="L11" i="5"/>
  <c r="U24" i="1"/>
  <c r="M17" i="1"/>
  <c r="M14" i="1"/>
  <c r="U23" i="1"/>
  <c r="M30" i="1"/>
  <c r="E10" i="5"/>
  <c r="T8" i="1"/>
  <c r="C18" i="19"/>
  <c r="D18" i="19" s="1"/>
  <c r="C18" i="20"/>
  <c r="D18" i="20" s="1"/>
  <c r="C15" i="19"/>
  <c r="D15" i="19" s="1"/>
  <c r="C15" i="20"/>
  <c r="D15" i="20" s="1"/>
  <c r="C13" i="19"/>
  <c r="D13" i="19" s="1"/>
  <c r="C13" i="20"/>
  <c r="D13" i="20" s="1"/>
  <c r="C12" i="19"/>
  <c r="D12" i="19" s="1"/>
  <c r="C12" i="20"/>
  <c r="D12" i="20" s="1"/>
  <c r="C19" i="19"/>
  <c r="D19" i="19" s="1"/>
  <c r="C19" i="20"/>
  <c r="C16" i="19"/>
  <c r="D16" i="19" s="1"/>
  <c r="C16" i="20"/>
  <c r="D16" i="20" s="1"/>
  <c r="C14" i="19"/>
  <c r="D14" i="19" s="1"/>
  <c r="C14" i="20"/>
  <c r="D14" i="20" s="1"/>
  <c r="C11" i="19"/>
  <c r="D11" i="19" s="1"/>
  <c r="C11" i="20"/>
  <c r="C17" i="19"/>
  <c r="D17" i="19" s="1"/>
  <c r="C17" i="20"/>
  <c r="D17" i="20" s="1"/>
  <c r="O11" i="5"/>
  <c r="P11" i="5"/>
  <c r="E11" i="5"/>
  <c r="C13" i="17"/>
  <c r="D13" i="17" s="1"/>
  <c r="C13" i="18"/>
  <c r="D13" i="18" s="1"/>
  <c r="C17" i="17"/>
  <c r="D17" i="17" s="1"/>
  <c r="C17" i="18"/>
  <c r="D17" i="18" s="1"/>
  <c r="C16" i="17"/>
  <c r="C16" i="18"/>
  <c r="D16" i="18" s="1"/>
  <c r="C14" i="17"/>
  <c r="C14" i="18"/>
  <c r="D14" i="18" s="1"/>
  <c r="C11" i="17"/>
  <c r="D11" i="17" s="1"/>
  <c r="C11" i="18"/>
  <c r="D11" i="18" s="1"/>
  <c r="C18" i="17"/>
  <c r="D18" i="17" s="1"/>
  <c r="C18" i="18"/>
  <c r="D18" i="18" s="1"/>
  <c r="C15" i="17"/>
  <c r="C15" i="18"/>
  <c r="D15" i="18" s="1"/>
  <c r="C19" i="17"/>
  <c r="L22" i="5" s="1"/>
  <c r="C19" i="18"/>
  <c r="C12" i="18"/>
  <c r="D12" i="18" s="1"/>
  <c r="C18" i="5"/>
  <c r="D18" i="5" s="1"/>
  <c r="C17" i="16"/>
  <c r="C17" i="5"/>
  <c r="D17" i="5" s="1"/>
  <c r="C16" i="16"/>
  <c r="C13" i="5"/>
  <c r="D13" i="5" s="1"/>
  <c r="C12" i="16"/>
  <c r="C15" i="5"/>
  <c r="D15" i="5" s="1"/>
  <c r="C14" i="16"/>
  <c r="C12" i="5"/>
  <c r="D12" i="5" s="1"/>
  <c r="C11" i="16"/>
  <c r="D11" i="16" s="1"/>
  <c r="C19" i="5"/>
  <c r="D19" i="5" s="1"/>
  <c r="C18" i="16"/>
  <c r="C16" i="5"/>
  <c r="D16" i="5" s="1"/>
  <c r="C15" i="16"/>
  <c r="C14" i="5"/>
  <c r="D14" i="5" s="1"/>
  <c r="C13" i="16"/>
  <c r="C20" i="5"/>
  <c r="D20" i="5" s="1"/>
  <c r="C19" i="16"/>
  <c r="O22" i="5" s="1"/>
  <c r="N10" i="5"/>
  <c r="V8" i="1"/>
  <c r="M8" i="1"/>
  <c r="U29" i="1"/>
  <c r="M28" i="1"/>
  <c r="U13" i="1"/>
  <c r="U26" i="1"/>
  <c r="O10" i="5"/>
  <c r="P10" i="5" s="1"/>
  <c r="D11" i="20" l="1"/>
  <c r="K26" i="5"/>
  <c r="K25" i="5"/>
  <c r="K30" i="5"/>
  <c r="K24" i="5"/>
  <c r="K27" i="5"/>
  <c r="K29" i="5"/>
  <c r="K23" i="5"/>
  <c r="K31" i="5"/>
  <c r="K28" i="5"/>
  <c r="D19" i="20"/>
  <c r="K22" i="5"/>
  <c r="D19" i="18"/>
  <c r="P22" i="5"/>
  <c r="D19" i="16"/>
  <c r="F19" i="16" s="1"/>
  <c r="D15" i="16"/>
  <c r="F15" i="16" s="1"/>
  <c r="D12" i="16"/>
  <c r="F12" i="16" s="1"/>
  <c r="D17" i="16"/>
  <c r="F17" i="16" s="1"/>
  <c r="E19" i="17"/>
  <c r="D19" i="17"/>
  <c r="E14" i="17"/>
  <c r="D14" i="17"/>
  <c r="D13" i="16"/>
  <c r="F13" i="16" s="1"/>
  <c r="D18" i="16"/>
  <c r="F18" i="16" s="1"/>
  <c r="D14" i="16"/>
  <c r="F14" i="16" s="1"/>
  <c r="D16" i="16"/>
  <c r="F16" i="16" s="1"/>
  <c r="E15" i="17"/>
  <c r="D15" i="17"/>
  <c r="E16" i="17"/>
  <c r="D16" i="17"/>
  <c r="C12" i="17"/>
  <c r="E11" i="17"/>
  <c r="F11" i="16"/>
  <c r="E11" i="18"/>
  <c r="E19" i="5"/>
  <c r="K17" i="5"/>
  <c r="K20" i="5"/>
  <c r="K16" i="5"/>
  <c r="K12" i="5"/>
  <c r="K13" i="5"/>
  <c r="K18" i="5"/>
  <c r="Q15" i="5"/>
  <c r="K15" i="5"/>
  <c r="E15" i="5"/>
  <c r="E14" i="5"/>
  <c r="K14" i="5"/>
  <c r="Q19" i="5"/>
  <c r="K19" i="5"/>
  <c r="E13" i="17"/>
  <c r="G13" i="17" s="1"/>
  <c r="R11" i="5"/>
  <c r="Q14" i="5"/>
  <c r="E17" i="5"/>
  <c r="Q17" i="5"/>
  <c r="E20" i="5"/>
  <c r="Q20" i="5"/>
  <c r="Q16" i="5"/>
  <c r="E12" i="5"/>
  <c r="Q12" i="5"/>
  <c r="Q13" i="5"/>
  <c r="Q18" i="5"/>
  <c r="F12" i="18"/>
  <c r="E12" i="18"/>
  <c r="F15" i="18"/>
  <c r="E15" i="18"/>
  <c r="F16" i="18"/>
  <c r="E16" i="18"/>
  <c r="E13" i="18"/>
  <c r="F13" i="18"/>
  <c r="F19" i="18"/>
  <c r="E19" i="18"/>
  <c r="F18" i="18"/>
  <c r="E18" i="18"/>
  <c r="F14" i="18"/>
  <c r="E14" i="18"/>
  <c r="E17" i="18"/>
  <c r="F17" i="18"/>
  <c r="E17" i="17"/>
  <c r="E18" i="5"/>
  <c r="E13" i="5"/>
  <c r="E18" i="17"/>
  <c r="J18" i="17" s="1"/>
  <c r="E16" i="5"/>
  <c r="J18" i="5"/>
  <c r="J16" i="5"/>
  <c r="J19" i="5"/>
  <c r="J14" i="5"/>
  <c r="J20" i="5"/>
  <c r="J15" i="5"/>
  <c r="J17" i="5"/>
  <c r="R22" i="5" l="1"/>
  <c r="O24" i="5"/>
  <c r="O26" i="5"/>
  <c r="O28" i="5"/>
  <c r="O30" i="5"/>
  <c r="O23" i="5"/>
  <c r="O27" i="5"/>
  <c r="O31" i="5"/>
  <c r="O25" i="5"/>
  <c r="O29" i="5"/>
  <c r="G19" i="17"/>
  <c r="G14" i="17"/>
  <c r="I14" i="17" s="1"/>
  <c r="G16" i="17"/>
  <c r="I16" i="17" s="1"/>
  <c r="G15" i="17"/>
  <c r="I15" i="17" s="1"/>
  <c r="E12" i="17"/>
  <c r="D12" i="17"/>
  <c r="O15" i="5"/>
  <c r="O18" i="5"/>
  <c r="O16" i="5"/>
  <c r="O17" i="5"/>
  <c r="G11" i="17"/>
  <c r="O12" i="5"/>
  <c r="F11" i="18"/>
  <c r="G11" i="18" s="1"/>
  <c r="H11" i="18" s="1"/>
  <c r="O19" i="5"/>
  <c r="O13" i="5"/>
  <c r="O20" i="5"/>
  <c r="O14" i="5"/>
  <c r="J15" i="17"/>
  <c r="J13" i="17"/>
  <c r="J16" i="17"/>
  <c r="G17" i="17"/>
  <c r="I17" i="17" s="1"/>
  <c r="I13" i="17"/>
  <c r="G18" i="17"/>
  <c r="I18" i="17" s="1"/>
  <c r="H14" i="17"/>
  <c r="H17" i="17"/>
  <c r="H15" i="17"/>
  <c r="H19" i="17"/>
  <c r="I19" i="17"/>
  <c r="H13" i="17"/>
  <c r="H18" i="17"/>
  <c r="H11" i="17"/>
  <c r="H16" i="17"/>
  <c r="H17" i="18"/>
  <c r="G12" i="18"/>
  <c r="H12" i="18" s="1"/>
  <c r="G14" i="18"/>
  <c r="G19" i="18"/>
  <c r="G15" i="18"/>
  <c r="G16" i="18"/>
  <c r="G18" i="18"/>
  <c r="G17" i="18"/>
  <c r="G13" i="18"/>
  <c r="H13" i="18" s="1"/>
  <c r="H16" i="18"/>
  <c r="H14" i="18"/>
  <c r="H19" i="18"/>
  <c r="H15" i="18"/>
  <c r="H18" i="18"/>
  <c r="J14" i="17"/>
  <c r="J17" i="17"/>
  <c r="J19" i="17"/>
  <c r="P26" i="5" l="1"/>
  <c r="P30" i="5"/>
  <c r="P25" i="5"/>
  <c r="P29" i="5"/>
  <c r="P24" i="5"/>
  <c r="P28" i="5"/>
  <c r="P23" i="5"/>
  <c r="P27" i="5"/>
  <c r="P31" i="5"/>
  <c r="G12" i="17"/>
  <c r="H12" i="17"/>
  <c r="I11" i="17"/>
  <c r="J11" i="17" s="1"/>
  <c r="P17" i="5"/>
  <c r="P13" i="5"/>
  <c r="P16" i="5"/>
  <c r="P12" i="5"/>
  <c r="P20" i="5"/>
  <c r="P19" i="5"/>
  <c r="P15" i="5"/>
  <c r="P18" i="5"/>
  <c r="P14" i="5"/>
  <c r="L25" i="5" l="1"/>
  <c r="R25" i="5" s="1"/>
  <c r="L29" i="5"/>
  <c r="R29" i="5" s="1"/>
  <c r="L24" i="5"/>
  <c r="R24" i="5" s="1"/>
  <c r="L28" i="5"/>
  <c r="R28" i="5" s="1"/>
  <c r="L23" i="5"/>
  <c r="R23" i="5" s="1"/>
  <c r="L27" i="5"/>
  <c r="R27" i="5" s="1"/>
  <c r="L31" i="5"/>
  <c r="R31" i="5" s="1"/>
  <c r="L26" i="5"/>
  <c r="R26" i="5" s="1"/>
  <c r="L30" i="5"/>
  <c r="R30" i="5" s="1"/>
  <c r="I12" i="17"/>
  <c r="J12" i="17" s="1"/>
  <c r="L14" i="5" s="1"/>
  <c r="R14" i="5" s="1"/>
  <c r="L12" i="5"/>
  <c r="R12" i="5" s="1"/>
  <c r="R21" i="5" l="1"/>
  <c r="S21" i="5" s="1"/>
  <c r="L17" i="5"/>
  <c r="R17" i="5" s="1"/>
  <c r="L20" i="5"/>
  <c r="R20" i="5" s="1"/>
  <c r="L15" i="5"/>
  <c r="R15" i="5" s="1"/>
  <c r="L16" i="5"/>
  <c r="R16" i="5" s="1"/>
  <c r="L19" i="5"/>
  <c r="R19" i="5" s="1"/>
  <c r="L13" i="5"/>
  <c r="R13" i="5" s="1"/>
  <c r="L18" i="5"/>
  <c r="R18" i="5" s="1"/>
  <c r="R10" i="5" l="1"/>
</calcChain>
</file>

<file path=xl/sharedStrings.xml><?xml version="1.0" encoding="utf-8"?>
<sst xmlns="http://schemas.openxmlformats.org/spreadsheetml/2006/main" count="1082" uniqueCount="638">
  <si>
    <t>(en blanco)</t>
  </si>
  <si>
    <t>Total general</t>
  </si>
  <si>
    <t>Datos</t>
  </si>
  <si>
    <t>Suma de ACTIVO CORRIENTE</t>
  </si>
  <si>
    <t>Suma de ACTIVO TOTAL</t>
  </si>
  <si>
    <t>Suma de PASIVO CORRIENTE</t>
  </si>
  <si>
    <t>Suma de PASIVO TOTAL</t>
  </si>
  <si>
    <t>N</t>
  </si>
  <si>
    <t>PLAZO</t>
  </si>
  <si>
    <t>(%)</t>
  </si>
  <si>
    <t>En Pesos Colombianos</t>
  </si>
  <si>
    <t>OBSERVACIONES:</t>
  </si>
  <si>
    <t>No. Oferta</t>
  </si>
  <si>
    <t>OFERENTE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</si>
  <si>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</si>
  <si>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</si>
  <si>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</si>
  <si>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</si>
  <si>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</si>
  <si>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</si>
  <si>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</si>
  <si>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</si>
  <si>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</si>
  <si>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</si>
  <si>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</si>
  <si>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</si>
  <si>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</si>
  <si>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</si>
  <si>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</si>
  <si>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</si>
  <si>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</si>
  <si>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</si>
  <si>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</si>
  <si>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</si>
  <si>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</si>
  <si>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</si>
  <si>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</si>
  <si>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</si>
  <si>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</si>
  <si>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</si>
  <si>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</si>
  <si>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</si>
  <si>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</si>
  <si>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</si>
  <si>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</si>
  <si>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</si>
  <si>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</si>
  <si>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</si>
  <si>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</si>
  <si>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</si>
  <si>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</si>
  <si>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</si>
  <si>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</si>
  <si>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</si>
  <si>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</si>
  <si>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</si>
  <si>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</si>
  <si>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</si>
  <si>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</si>
  <si>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</si>
  <si>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</si>
  <si>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</si>
  <si>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</si>
  <si>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</si>
  <si>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</si>
  <si>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</si>
  <si>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</si>
  <si>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</si>
  <si>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</si>
  <si>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</si>
  <si>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</si>
  <si>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</si>
  <si>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</si>
  <si>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</si>
  <si>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</si>
  <si>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</si>
  <si>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</si>
  <si>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</si>
  <si>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</si>
  <si>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</si>
  <si>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</si>
  <si>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</si>
  <si>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</si>
  <si>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</si>
  <si>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</si>
  <si>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</si>
  <si>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</si>
  <si>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</si>
  <si>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</si>
  <si>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</si>
  <si>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</si>
  <si>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</si>
  <si>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</si>
  <si>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</si>
  <si>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</si>
  <si>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</si>
  <si>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</si>
  <si>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</si>
  <si>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</si>
  <si>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</si>
  <si>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</si>
  <si>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</si>
  <si>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</si>
  <si>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</si>
  <si>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</si>
  <si>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</si>
  <si>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</si>
  <si>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</si>
  <si>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</si>
  <si>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</si>
  <si>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</si>
  <si>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</si>
  <si>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</si>
  <si>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</si>
  <si>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</si>
  <si>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Verificación Formulario No. 03</t>
  </si>
  <si>
    <t>Patrimonio Bruto</t>
  </si>
  <si>
    <t>Patrimonio Liquido</t>
  </si>
  <si>
    <t>Renta Liquida</t>
  </si>
  <si>
    <t>Datos Declaración Renta 2003</t>
  </si>
  <si>
    <t>Variación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</si>
  <si>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</si>
  <si>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</si>
  <si>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</si>
  <si>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</si>
  <si>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</si>
  <si>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</si>
  <si>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</si>
  <si>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</si>
  <si>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</si>
  <si>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</si>
  <si>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</si>
  <si>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</si>
  <si>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</si>
  <si>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</si>
  <si>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</si>
  <si>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</si>
  <si>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</si>
  <si>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</si>
  <si>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</si>
  <si>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</si>
  <si>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</si>
  <si>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</si>
  <si>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</si>
  <si>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</si>
  <si>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</si>
  <si>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</si>
  <si>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</si>
  <si>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</si>
  <si>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</si>
  <si>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</si>
  <si>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</si>
  <si>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</si>
  <si>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</si>
  <si>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</si>
  <si>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 xml:space="preserve">CONSORCIO LAS ANIMAS #1,,se subsana integrante 1,2porque no conciliacines  </t>
  </si>
  <si>
    <t xml:space="preserve">INSTITUTO NACIONAL DE VIAS </t>
  </si>
  <si>
    <t>INDICE-ENDEUDAMIENTO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</si>
  <si>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</si>
  <si>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</si>
  <si>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</si>
  <si>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</si>
  <si>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</si>
  <si>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</si>
  <si>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</si>
  <si>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</si>
  <si>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</si>
  <si>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Req. Min. Solvencia: &gt; =</t>
  </si>
  <si>
    <t>INFORMACIÓN  FINANCIERA - RUP</t>
  </si>
  <si>
    <t>MÓDULO</t>
  </si>
  <si>
    <t>INDICE-LIQUIDEZ</t>
  </si>
  <si>
    <t>Modulo</t>
  </si>
  <si>
    <t>PO</t>
  </si>
  <si>
    <t>VALOR PRESUPUESTO OFICIAL ANUAL(PO)</t>
  </si>
  <si>
    <t>PORCENTAJE DE PARTICIPACION</t>
  </si>
  <si>
    <t>MODULOS ADJUDICADOS</t>
  </si>
  <si>
    <t>VALOR CAPITAL DE TRABAJO DEMANDADO MODULOS ADJUDICADOS</t>
  </si>
  <si>
    <t>VALOR PATRIMONIO REQUERIDO MODULOS ADJUDICADOS</t>
  </si>
  <si>
    <t>CALIDAD DE MIPYME</t>
  </si>
  <si>
    <t>SMMLV 2011</t>
  </si>
  <si>
    <t>SMMLV 2012</t>
  </si>
  <si>
    <t>CALIDAD DE MIPYME EN SMMLV</t>
  </si>
  <si>
    <t xml:space="preserve"> </t>
  </si>
  <si>
    <t>ERNESTO JOSE CUERVO MADERO</t>
  </si>
  <si>
    <t>PAVIMENTAR S.A</t>
  </si>
  <si>
    <t>CONSTRUCTORA MONTECARLO VIAS  S.A.S</t>
  </si>
  <si>
    <t>HABIL/NO HABIL</t>
  </si>
  <si>
    <t>JAIRO ARIAS MENDEZ</t>
  </si>
  <si>
    <t>BERNARDO ANCIZAR OSSA LOPEZ</t>
  </si>
  <si>
    <t>ICM INGENIEROS S.A</t>
  </si>
  <si>
    <t>REDES Y EDIFICACIONES S.A</t>
  </si>
  <si>
    <t>INGECON S.A</t>
  </si>
  <si>
    <t>EDIFICACIONES Y VIAS S.A</t>
  </si>
  <si>
    <t>JULIO BAHAMON VANEGAS</t>
  </si>
  <si>
    <t>CASTRO TCHERASSI S.A</t>
  </si>
  <si>
    <t>KEVIN ALBERTO VILLEGAS DE LA HOZ</t>
  </si>
  <si>
    <t>OSCAR ALBERTO GUZMAN TRIVIÑO</t>
  </si>
  <si>
    <t>FREDY ISAAC MEJIA JIMENEZ</t>
  </si>
  <si>
    <t>PATRICIA HELENA MEJIA VERGEL</t>
  </si>
  <si>
    <t>HORACIO VEGA CARDENAS</t>
  </si>
  <si>
    <t>URIEL EDGARDO HERNANDEZ GAITAN</t>
  </si>
  <si>
    <t>LUIS ALBERTO COBA CHOLE</t>
  </si>
  <si>
    <t>ARMANDO MARTINEZ SPADAFORA</t>
  </si>
  <si>
    <t>VIAS S.A</t>
  </si>
  <si>
    <t>LUIS ANTONIO ROJAS GIRON</t>
  </si>
  <si>
    <t>VIACOL INGENIEROS CONTRATISTAS LTDA</t>
  </si>
  <si>
    <t>EXCARVAR S.A.S</t>
  </si>
  <si>
    <t>WILLIAN RICARDO MOJICA ROMO</t>
  </si>
  <si>
    <t>JUAN CAMILO SILVA RODRIGUEZ</t>
  </si>
  <si>
    <t>CONSTRUCTORA MP S.A</t>
  </si>
  <si>
    <t>ML INGENIEROS S.A</t>
  </si>
  <si>
    <t>KMC S.A.S</t>
  </si>
  <si>
    <t>HARINSA NAVASFALT S.A</t>
  </si>
  <si>
    <t>LUISA FERNANDA OCAMPO REY</t>
  </si>
  <si>
    <t>PEDRO ALFONSO VARGAS</t>
  </si>
  <si>
    <t>PROCOPAL S.A</t>
  </si>
  <si>
    <t>SARIA S.A.S</t>
  </si>
  <si>
    <t>VALORES Y CONTRATOS S.A</t>
  </si>
  <si>
    <t>REYES RIVEROS LTDA</t>
  </si>
  <si>
    <t>NOVA SARMIENTO CONSTRUCCIONES LTDA</t>
  </si>
  <si>
    <t>JORGE ENRIQUE ROJAS ABRIL</t>
  </si>
  <si>
    <t>CONSTRUCCIONES VERA S.A</t>
  </si>
  <si>
    <t>MARIO ALBERTO HUERTAS COTES</t>
  </si>
  <si>
    <t>ARTURO JURADO ALVARAN</t>
  </si>
  <si>
    <t>JULIO CESAR SALGADO GALEANO</t>
  </si>
  <si>
    <t>ALFONSO PARRA DE LOS RIOS</t>
  </si>
  <si>
    <t>RG INGENIERIA LTDA</t>
  </si>
  <si>
    <t>MEYAN S.A</t>
  </si>
  <si>
    <t>EXPLANAN S.A</t>
  </si>
  <si>
    <t>KMA CONSTRUCCIONES S.A</t>
  </si>
  <si>
    <t>JUAN CARLOS RAMIREZ OSPINA</t>
  </si>
  <si>
    <t>FERNANDO AUGUSTO RAMIREZ RESTREPO</t>
  </si>
  <si>
    <t>EDGAR ADOLFO HOYOS GARCIA</t>
  </si>
  <si>
    <t>LUIS FERNANDO BOTERO LONDOÑO</t>
  </si>
  <si>
    <t>FERNANDO JIMENEZ ROA</t>
  </si>
  <si>
    <t>RAFAEL HUMBERTO ALVAREZ BUSTILLO</t>
  </si>
  <si>
    <t>JORGE DIAZ MURCIA</t>
  </si>
  <si>
    <t>EISENHOWER ZAMORA GONZALEZ</t>
  </si>
  <si>
    <t>MINCIVIL S.A</t>
  </si>
  <si>
    <t>INGENIERIA Y CONTRATOS S.A.S</t>
  </si>
  <si>
    <t>EDUARDO CABRERA DUSSAN</t>
  </si>
  <si>
    <t>GILBERTO ACERO ROMERO</t>
  </si>
  <si>
    <t>ORLANDO RIVERA MORA</t>
  </si>
  <si>
    <t>HABIL  / NO HABIL</t>
  </si>
  <si>
    <t>NACIONAL DE PAVIMENTOS S.A</t>
  </si>
  <si>
    <t>UTILIDAD OPERACIONAL</t>
  </si>
  <si>
    <t>GASTOS DE INTERESES</t>
  </si>
  <si>
    <t>RAZON DE COBERTURA DE INTERESES</t>
  </si>
  <si>
    <t>Req. Min. Cobertura Intereses: &gt; =</t>
  </si>
  <si>
    <t>EVALUACIÓN CAPACIDAD FINANCIERA</t>
  </si>
  <si>
    <t>EVALUACIÓN CAPACIDAD ORGANIZACIÓN</t>
  </si>
  <si>
    <t>RENTABILIDAD DEL PATRIMONIO (ROE)</t>
  </si>
  <si>
    <t>Req. Min. ROE: &gt; =</t>
  </si>
  <si>
    <t>RENTABILIDAD DEL ACTIVO (ROA)</t>
  </si>
  <si>
    <t>Req. Min. ROA: &gt; =</t>
  </si>
  <si>
    <t>Req. Min. Endeudamiento: &lt; =</t>
  </si>
  <si>
    <t>PRESUPUESTO OFICIAL ESTIMADO (POE)</t>
  </si>
  <si>
    <t>Anticipo</t>
  </si>
  <si>
    <t>CAPACIDAD RESIDUAL DEL PROCESO DE CONTRATACION</t>
  </si>
  <si>
    <t xml:space="preserve">CAPACIDAD DE ORGANIZACIÓN </t>
  </si>
  <si>
    <t xml:space="preserve">EXPERIENCIA         </t>
  </si>
  <si>
    <t>CAPACIDAD FINANCIERA</t>
  </si>
  <si>
    <t>CAPACIDAD RESIDUAL DEL PROPONENTE</t>
  </si>
  <si>
    <r>
      <t xml:space="preserve">Formula: CO * </t>
    </r>
    <r>
      <rPr>
        <b/>
        <sz val="8"/>
        <rFont val="Calibri"/>
        <family val="2"/>
      </rPr>
      <t>[(E+CT-CF)/100] - SCE</t>
    </r>
  </si>
  <si>
    <t>Formula: Si el plazo es menor a 12 meses (POE - Anticipo), si el plazo es mayor a 12 meses [(POE- Anticipo)/Plazo]x12</t>
  </si>
  <si>
    <t>INSTITUTO NACIONAL DE VIAS</t>
  </si>
  <si>
    <t>CAPACIDAD RESIDUAL</t>
  </si>
  <si>
    <t>EXPERIENCIA</t>
  </si>
  <si>
    <t>PROFESIONALES VINCULADOS</t>
  </si>
  <si>
    <t>Numeros de Socios y Profesionales de la Arquitectura , Ingenierìa y Geologìa vinculados mediante relaciòn laboral o contractual en actividades relacionadas directamente a la construcciòn</t>
  </si>
  <si>
    <t>Porcentaje de Participación para este Proceso</t>
  </si>
  <si>
    <t>Mayor a</t>
  </si>
  <si>
    <t>Puntaje</t>
  </si>
  <si>
    <t>Menor o Igual a</t>
  </si>
  <si>
    <t>Mayores</t>
  </si>
  <si>
    <t>CAPACIDAD TÉCNICA</t>
  </si>
  <si>
    <t>Desde</t>
  </si>
  <si>
    <t>Hasta</t>
  </si>
  <si>
    <t>PUNTAJE POR CAPACIDAD TÉCNICA</t>
  </si>
  <si>
    <t>DIRECCIÓN DE CONTRATACIÓN</t>
  </si>
  <si>
    <t>Rangos: 
Desde 1 hasta 5 = 20 Puntos
Desde 6 hasta 10 = 30 Puntos
Desde 11 hasta mayores = 40 Puntos</t>
  </si>
  <si>
    <t>PUNTAJE POR EXPERIENCIA</t>
  </si>
  <si>
    <t>Porcentaje de Participación para este Proceso
(A)</t>
  </si>
  <si>
    <t>RESULTADO   
B / (C * A)</t>
  </si>
  <si>
    <t>Rangos:
Mayor a 0 y Menor o Igual a 3 = 60 Puntos 
Mayor a 3 y Menor o Igual a 6 = 80 Puntos
Mayor a 6 y Menor o Igual a 10 = 100 Puntos
Mayor a 10 y Mayores = 120 Puntos</t>
  </si>
  <si>
    <t>Módulo</t>
  </si>
  <si>
    <t>PUNTAJE POR CAPACIDAD FINANCIERA</t>
  </si>
  <si>
    <t>ACTIVOS CORRIENTES
(A)</t>
  </si>
  <si>
    <t>PASIVOS CORRIENTES
(B)</t>
  </si>
  <si>
    <t xml:space="preserve">ÍNDICE DE LIQUIDEZ
(A) / (B) = (C) </t>
  </si>
  <si>
    <t>Rangos:
Mayor a 0 y Menor o Igual a 0,5 = 20 Puntos
Mayor a 0,5 y Menor o Igual a 0,75 = 25 Puntos
Mayor a 0,75 y Menor o Igual a 1,00 = 30 Puntos
Mayor a 1,00 y Menor o Igual a 1,5 = 35 Puntos
Mayor a 1,5 y Mayores =  40 Puntos</t>
  </si>
  <si>
    <t>SALDO CONTRATOS EN EJECUCIÓN</t>
  </si>
  <si>
    <t>TOTAL SALDOS CONTRATOS EN EJECUCION</t>
  </si>
  <si>
    <t>CAPACIDAD DE ORGANIZACIÓN</t>
  </si>
  <si>
    <t>CAPACIDAD DE ORGANIZACIÓN (En Pesos)</t>
  </si>
  <si>
    <t>En Pesos</t>
  </si>
  <si>
    <t>SALDOS CONTRATOS EN EJECUCIÓN</t>
  </si>
  <si>
    <t xml:space="preserve">CAPACIDAD RESIDUAL DE CONTRATACIÓN </t>
  </si>
  <si>
    <t xml:space="preserve">Fórmula: 
Cinco (5) años o más: Mayor Ingreso Operacional de los ultimos 5 años 
Entre uno (1) y cinco (5) años: Mayor Ingreso Operacional de los años de vida del Oferente
Menos de un (1) año: USD $ 125.000 </t>
  </si>
  <si>
    <t xml:space="preserve">VALOR TOTAL DE LOS CONTRATOS EJECUTADOS
</t>
  </si>
  <si>
    <t>VALOR TOTAL DE LOS CONTRATOS EJECUTADOS EN SMMLV
(B)</t>
  </si>
  <si>
    <t>PRESUPUESTO OFICIAL ESTIMADO (POE) EN SMMLV
(C)</t>
  </si>
  <si>
    <t>CAPITAL DE TRABAJO
(Activo Corriente - Pasivo Corriente)</t>
  </si>
  <si>
    <t>PATRIMONIO
(Activo Total - Pasivo Total)</t>
  </si>
  <si>
    <t>INDICE-CAPITAL DE TRABAJO DEMANDADO</t>
  </si>
  <si>
    <t>Req. Min. CTd: &gt; =</t>
  </si>
  <si>
    <t>INDICE-PATRIMONIO</t>
  </si>
  <si>
    <t>Req. Min. Patrimonio: &gt; =</t>
  </si>
  <si>
    <t>PLAZO (P)</t>
  </si>
  <si>
    <t>Fórmula: Endeudamiento = Pas.T/Act.Tot. &lt;= 0,70</t>
  </si>
  <si>
    <t>Fórmula: Razón Cobertura Intereses = UO/GI &gt;= 1,00</t>
  </si>
  <si>
    <t>PATRIMONIO ROE
(Activo Total - Pasivo Total)</t>
  </si>
  <si>
    <t>CESAR AUGUSTO TABARES RAMIREZ</t>
  </si>
  <si>
    <t>DAMACA INGENIERIA SAS</t>
  </si>
  <si>
    <t>JOHAN CAMILO SAENZ ROJAS</t>
  </si>
  <si>
    <t>JOSE VICENTE MARIÑO BECERRA</t>
  </si>
  <si>
    <t>INGEOBRAS INTEGRALES SAS</t>
  </si>
  <si>
    <t xml:space="preserve">MILTON HUGO GARZON HERNANDEZ </t>
  </si>
  <si>
    <t>CONSTRUCCIONES Y MONTAJES DE LOS ANDES SOCIEDAD POR ACCIONES SIMPLIFICADA</t>
  </si>
  <si>
    <t>ISRAEL BERNAL GUERRERO</t>
  </si>
  <si>
    <t>CIDEC INGENERIA SAS</t>
  </si>
  <si>
    <t>TECCIVIL SAS</t>
  </si>
  <si>
    <t>SM INGENIEROS SAS</t>
  </si>
  <si>
    <t>SAUL HERNANDO MILLAN GONZALEZ</t>
  </si>
  <si>
    <t>CASTOR ARMANDO VALENCIA VALENCIA</t>
  </si>
  <si>
    <t>GOMEZ INGENIEROS CONSTRUCTORES SAS</t>
  </si>
  <si>
    <t>CONSTRUVIAL SAS</t>
  </si>
  <si>
    <t>GABRIEL ROBERTO PATIÑO TELLEZ</t>
  </si>
  <si>
    <t>DISEÑOS Y CONSTRUCCIONES SA</t>
  </si>
  <si>
    <t>SYC LIMITADA-SERVICIOS INGENIERIA Y CONSTRUCCIONES</t>
  </si>
  <si>
    <t>OTONIEL SARMIENTO MELO</t>
  </si>
  <si>
    <t>JMV INGENIEROS SAS</t>
  </si>
  <si>
    <t>ACERARQ SAS</t>
  </si>
  <si>
    <t>JUAN CAMILO RAMIREZ BARON</t>
  </si>
  <si>
    <t>JORGE EIVAR TULCAN LOSADA</t>
  </si>
  <si>
    <t>RAMON IVAN ARENAS CASTILLO</t>
  </si>
  <si>
    <t>LEONARDO JALIL DAVID ORDOSGOITIA</t>
  </si>
  <si>
    <t>MAGALI REYES PATIÑO</t>
  </si>
  <si>
    <t>LEONARDO IVAN RAMIREZ BERNAL</t>
  </si>
  <si>
    <t>HIDRAMA SAS</t>
  </si>
  <si>
    <t>CUMBRE INGENIERIA SAS</t>
  </si>
  <si>
    <t>AVINCO LTDA</t>
  </si>
  <si>
    <t>PAVIMENTACIONES MORALES SL SUCURSAL COLOMBIA</t>
  </si>
  <si>
    <t>GLOBAL VALOR S.A</t>
  </si>
  <si>
    <t>MEDINA  Y RIVERA INGENIEROS ASOCIADOS SAS</t>
  </si>
  <si>
    <t>JUAN CARLOS BRICEÑO CHAVES</t>
  </si>
  <si>
    <t>ARQUITURBANZIZA SAS</t>
  </si>
  <si>
    <t>PSI &amp; COMPAÑÍA SAS</t>
  </si>
  <si>
    <t>CONSASU LTDA</t>
  </si>
  <si>
    <t>OCTAVIO  AUGUSTO MORALES AYALA</t>
  </si>
  <si>
    <t>MAGDA CELENA MONTAÑEZ FUENTES</t>
  </si>
  <si>
    <t>CONSTRUSOCIAL SAS</t>
  </si>
  <si>
    <t>FERNANDO HERRERA RIVERA</t>
  </si>
  <si>
    <t>PAVIMENTOS EL DORADO SAS</t>
  </si>
  <si>
    <t>INGEOCHO SAS</t>
  </si>
  <si>
    <t>IDESTRA SA</t>
  </si>
  <si>
    <t>INFERCAL SA</t>
  </si>
  <si>
    <t>MANTENIMIENTO VIALES LTDA</t>
  </si>
  <si>
    <t>FIDEL DIAZ RESTREPO</t>
  </si>
  <si>
    <t>KMC SAS</t>
  </si>
  <si>
    <t>PROFESIONALES ASOCIADOS LTDA</t>
  </si>
  <si>
    <t>GTC INGENIERIA SAS</t>
  </si>
  <si>
    <t>JUAN CARLOS LEDESMA GUTIERREZ</t>
  </si>
  <si>
    <t>AURELIO GUTIRREZ CASTILLO</t>
  </si>
  <si>
    <t>TIGOF Y CIA LTDA INGENIEROS CONTRATISTAS</t>
  </si>
  <si>
    <t>INVIC INGENIEROS CONTRATISTAS S.A</t>
  </si>
  <si>
    <t>DOBLE R ARQUITECTURA E INGENIERIA SAS</t>
  </si>
  <si>
    <t>VICPAR SA</t>
  </si>
  <si>
    <t>P&amp;J CONSULTORIA Y CONSTRUCCIONES LTDA</t>
  </si>
  <si>
    <t>JULIAN ANDRES COGOLLO BRICEÑO</t>
  </si>
  <si>
    <t>GYP INGENIERIA SAS</t>
  </si>
  <si>
    <t>INVERSIONES GABRA SAS</t>
  </si>
  <si>
    <t>OFICINA DE DISEÑOS CALCULOS Y CONSTRUCCIONES LIMITADA ODICCO LTDA</t>
  </si>
  <si>
    <t>ARA INGENIERIA SAS</t>
  </si>
  <si>
    <t>ORGANIZACIÓN HAR SAS</t>
  </si>
  <si>
    <t>INGENIERIA DE PROYECTOS AML SAS</t>
  </si>
  <si>
    <t>VIAS Y CANALES SAS</t>
  </si>
  <si>
    <t>SOCIEDAD MAVICOL MANTENIMIENTO DE VIAS DE COLOMBIA  SAS</t>
  </si>
  <si>
    <t>EICON LTDA</t>
  </si>
  <si>
    <t>PAVIMENTOS ANDINOS SA</t>
  </si>
  <si>
    <t>BALLEN B Y CIA SAS</t>
  </si>
  <si>
    <t>VNF SAS</t>
  </si>
  <si>
    <t>JMS INGENIERIA SAS</t>
  </si>
  <si>
    <t>EDIFICACIONES Y VIAS SA</t>
  </si>
  <si>
    <t>BB INGENIEROS SAS</t>
  </si>
  <si>
    <t>CESAR AUGUSTO VELASQUEZ TORO</t>
  </si>
  <si>
    <t>CLARA LUZ FORERO IDARRAGA</t>
  </si>
  <si>
    <t>JOHN ALEJANDRO TORO QUINTERO</t>
  </si>
  <si>
    <t>SERVICIOS PETROLEROS- SERPEL SAS</t>
  </si>
  <si>
    <t>INCOPAV S.A</t>
  </si>
  <si>
    <t>INCITECO SAS</t>
  </si>
  <si>
    <t>OBRECOL SAS</t>
  </si>
  <si>
    <t xml:space="preserve">INVERSIONES Y CONSTRUCCIONES DE  ORIENTE SOCIEDAD LTDA </t>
  </si>
  <si>
    <t>PROYECTOS Y VIAS SAS</t>
  </si>
  <si>
    <t xml:space="preserve"> CASTOR ARMANDO VALENCIA VALENCIA</t>
  </si>
  <si>
    <t>AULI FERNANDO VELANDIA MEDINA</t>
  </si>
  <si>
    <t>CONSTRUCTORA INGEVISA SAS</t>
  </si>
  <si>
    <t>MARIO GABRIEL JIMENEZ MARTINEZ</t>
  </si>
  <si>
    <t>CONSTRUCCIONES AP SAS</t>
  </si>
  <si>
    <t>MANOLO ARTEAGA ORTEGA</t>
  </si>
  <si>
    <t>RDM INGENEIRIA SAS</t>
  </si>
  <si>
    <t>DIEGO FERNANDO BOHORQUEZ TELLEZ</t>
  </si>
  <si>
    <t>SARIA SAS</t>
  </si>
  <si>
    <t>ALCA INGENIERIA SAS</t>
  </si>
  <si>
    <t>CONSTRUCTORA VIAYCO SAS</t>
  </si>
  <si>
    <t>OSCAR IVAN TORRES ROJAS</t>
  </si>
  <si>
    <t>FREDY AUGUSTO CASTAÑEDA LUGO</t>
  </si>
  <si>
    <t>VINCOL SOCIEDAD POR ACCIONES SIMPLIFICADA-VINCOL SAS</t>
  </si>
  <si>
    <t>COINSO SAS</t>
  </si>
  <si>
    <t>FERNANDO ALVARO LOZANO MENDEZ</t>
  </si>
  <si>
    <t>YEBRAYL HERNAN CADENA LOZANO</t>
  </si>
  <si>
    <t>GUSTAVO H VELANDIA POVEDA</t>
  </si>
  <si>
    <t>JOSE RODRIGO ASTAIZA GALLEGO</t>
  </si>
  <si>
    <t xml:space="preserve">PEDRO ALFONSO VARGAS </t>
  </si>
  <si>
    <t>JORGE IVAN SANCHEZ ZULUAGA</t>
  </si>
  <si>
    <t>INGENIERIA ALQUILER Y CONSTRUCCION INGENALCO SAS</t>
  </si>
  <si>
    <t>CONSTRUCTORA POLIOBRAS SAS</t>
  </si>
  <si>
    <t>TECNICIVIL SAS</t>
  </si>
  <si>
    <t>A.E.M.C CONSTRUCCIONES Y CONSULTORIA SAS</t>
  </si>
  <si>
    <t>RENE BORJA GARCIA</t>
  </si>
  <si>
    <t>ARTURO EDUARDO MARTINEZ CORREA</t>
  </si>
  <si>
    <t>RODRIGO SUAREZ QUIÑONES</t>
  </si>
  <si>
    <t>GEOTECNIA VIAL Y PAVIMENTOS SA</t>
  </si>
  <si>
    <t>EQUIPOS Y CONSTRUCCIONES VAREGA SAS</t>
  </si>
  <si>
    <t xml:space="preserve"> VAREGO SOCIEDAD POR ACCIONES SIMPLIFICADA O VAREGO SAS</t>
  </si>
  <si>
    <t>JORGE IVAN SANCHES ZULUAGA</t>
  </si>
  <si>
    <t>ARMANDO VALENCIA VALENCIA</t>
  </si>
  <si>
    <t>CARLOS ALBERTO SANCHEZ ESCALANTE</t>
  </si>
  <si>
    <t>NICOLAS ANDRES GOMEZ CARO</t>
  </si>
  <si>
    <t>ADAIMEN ALFONSO DE ARCO RODRIGUEZ</t>
  </si>
  <si>
    <t>MARTA CECILIA TRIVIÑO DELGADILLO</t>
  </si>
  <si>
    <t>TRIDELSA INGENEIROS ASOCIADOS SAS</t>
  </si>
  <si>
    <t>MANUEL ANTONIO MUÑOZ LEDEZMA</t>
  </si>
  <si>
    <t>SYC LIMITADA</t>
  </si>
  <si>
    <t>CESAR AUGUSTO SARMIENTO SALAS</t>
  </si>
  <si>
    <t>CONCREARMADO LTDA</t>
  </si>
  <si>
    <t>CONSTRUCTORA MP SA</t>
  </si>
  <si>
    <t>ML INGENIEROS SA</t>
  </si>
  <si>
    <t>MILTON HUGO GARZON HERNANDEZ</t>
  </si>
  <si>
    <t>MARLON ANDRES DE LOS RIOS DIEZ</t>
  </si>
  <si>
    <t>CONSTRUCCIONES LAGO SAS</t>
  </si>
  <si>
    <t>MULTISERVICIOS PROFESIONALES SAS</t>
  </si>
  <si>
    <t>LUIS ALBERTO GONZALEZ CHAUX</t>
  </si>
  <si>
    <t>JOHN FREDDY GONZALEZ CHAUX</t>
  </si>
  <si>
    <t>SERGIO JOSE TORRES REATIGA</t>
  </si>
  <si>
    <t>CONSTRUCCIONES E INVERSIONES BETA SAS</t>
  </si>
  <si>
    <t>INGENIERIA Y CONSTRUCCIONES SAS-INGECON SAS</t>
  </si>
  <si>
    <t>IKON GROUP SAS</t>
  </si>
  <si>
    <t>CONVIAL SAS</t>
  </si>
  <si>
    <t>CONSTRUCCIONES Y VIAS INGENIEROS CONTRATISTAS SAS-CONVIAL SAS</t>
  </si>
  <si>
    <t>SOFAN INGENIERIA SAS</t>
  </si>
  <si>
    <t>JORGE  ANTONIO DUMAR HABIB</t>
  </si>
  <si>
    <t>ANDRES GABRIEL SOFAN SANCHEZ</t>
  </si>
  <si>
    <t>CONGLOMERADO TECNICO COLOMBIANO S.A-CONTECSA S.A</t>
  </si>
  <si>
    <t>CONIN S.A.S</t>
  </si>
  <si>
    <t>INGENIEROS GF SAS</t>
  </si>
  <si>
    <t>COMPAÑÍA DE INGENIEROS-CONSICAL SAS</t>
  </si>
  <si>
    <t>CARLOS VENGAL PEREZ</t>
  </si>
  <si>
    <t>SOCIEDAD PVC SAS</t>
  </si>
  <si>
    <t>INFERCAL S.A</t>
  </si>
  <si>
    <t>PROYECTOS Y VIAS S.A.S-PROVIAS S.A.S</t>
  </si>
  <si>
    <t>CONSTRUCCIONES A.P S.A.S</t>
  </si>
  <si>
    <t>CONSTRUCCIONES Y TRACTORES S.A-CONYTRAC</t>
  </si>
  <si>
    <t>CONASFALTOS S.A</t>
  </si>
  <si>
    <t xml:space="preserve">ASSIGNIA INFRAESTRUCTURAS S.A </t>
  </si>
  <si>
    <t>SOCIEDAD CONSTRUCTORA DE OBRAS CIVILES LIMITADA-SOCOCIL S.A.S</t>
  </si>
  <si>
    <t>CONSTRUCCIONES VERA INTERNACIONAL S.A.S</t>
  </si>
  <si>
    <t>GISAICO S.A</t>
  </si>
  <si>
    <t>CROMAS S.A</t>
  </si>
  <si>
    <t>CIVCOL S.A.S</t>
  </si>
  <si>
    <t>CONSTRUCIONES COLOMBIANAS OHL SAS</t>
  </si>
  <si>
    <t>AGRUPACION GUINOVART OBRAS Y SERVICIOS HISPANIA S.A SUCURSAL COLOMBIA</t>
  </si>
  <si>
    <t>MOTA ENGIL COL S.A.S</t>
  </si>
  <si>
    <t>MOTA-ENGIL ENGENHARIA</t>
  </si>
  <si>
    <t>LA MACUIRA INVERSIONES Y CONSTRUCCIONES S.A</t>
  </si>
  <si>
    <t>SP INGENIEROS S.A.S</t>
  </si>
  <si>
    <t>CONCRETOS ASFALTICOS DE COLOMBIA S.A -CONCRESCOL S.A</t>
  </si>
  <si>
    <t>UCOP CONSTRUCCIONES S.A-SUCURSAL COLOMBA</t>
  </si>
  <si>
    <t>SAINC INGENIEROS CONSTRUCTORES S.A</t>
  </si>
  <si>
    <t>SUBSUELOS S.A.S</t>
  </si>
  <si>
    <t>INGETIERRAS DE COLOMBIA S.A EN REORGANIZACION</t>
  </si>
  <si>
    <t>SOLARTE NACIONAL DE CONSTRUCCIONES</t>
  </si>
  <si>
    <t>GRUPO EMPRESARIAL CAPITOL S.L (Sucursal extramjera)</t>
  </si>
  <si>
    <t>COMSA COLOMBIA S.A.S</t>
  </si>
  <si>
    <t>CARLOS EDUARDO QUIROGA  ZAPATA</t>
  </si>
  <si>
    <t>OR CONSTRUCCIONES E INGENIERIA S.A.S</t>
  </si>
  <si>
    <t>OBRAS MAQUINAS Y EQUIPOS TRES A S.A.S</t>
  </si>
  <si>
    <t>INVERSIONES GRANDES VIAS E INGENIERIA S.A.S</t>
  </si>
  <si>
    <t>TERMOTECNICA COINDUSTRIAL S.A</t>
  </si>
  <si>
    <t>UNIDAD DE INFRAESTRUCTURA Y COSNTRUCCIONES ASOCIADAS S.A.S</t>
  </si>
  <si>
    <t>VIAS Y CONSTRUCCIONES S.A</t>
  </si>
  <si>
    <t>BOGOTANA DE ASFALTOS S.A</t>
  </si>
  <si>
    <t>CONSTRUCCIONES LEZO S.A.S</t>
  </si>
  <si>
    <t>INGENIERIA Y VIAS S.A.S-INGEVIAS S.A.S</t>
  </si>
  <si>
    <t>CONSTRUCTORA MECO S.A-SUCURSAL COLOMBIA</t>
  </si>
  <si>
    <t>MECO INFRAESTRUCTURA S.A.S</t>
  </si>
  <si>
    <t>CI GRODCO INGENIEROS CIVILES SAS</t>
  </si>
  <si>
    <t>TRAINCO S.A.S</t>
  </si>
  <si>
    <t>LUIS GABRIEL NIETO GARCIA</t>
  </si>
  <si>
    <t>ORLANDO FAJARDO CASTILLO</t>
  </si>
  <si>
    <t>SERAVEZZA LIMITADA</t>
  </si>
  <si>
    <t>LUIS ALBERTO MEZA GALEANO</t>
  </si>
  <si>
    <t>ADORNOS Y ACCESORIOS</t>
  </si>
  <si>
    <t>INGENIERIA DE VIAS S.A</t>
  </si>
  <si>
    <t>CONSTRUCCIONES RUBAU S.A -SUCURSAL COLOMBAI</t>
  </si>
  <si>
    <t>IDESTRA S.A</t>
  </si>
  <si>
    <t>ROVER ALCISA SUCURSAL EN COLOMBIA</t>
  </si>
  <si>
    <t>FERNANDO JIMENEZ  ROA</t>
  </si>
  <si>
    <t>AULI FERNANDO VELANDIA</t>
  </si>
  <si>
    <t>ARQUITECTURA Y CONCRETOS S.A.S S.A</t>
  </si>
  <si>
    <t>CONSTRUCCIONES CIVILES S.A</t>
  </si>
  <si>
    <t>ESTYMA ESTUDIOS Y MANEJOS SOCIEDAD ANONIMA</t>
  </si>
  <si>
    <t xml:space="preserve">MARCO OBRA PUBLICA S.A-SUCURSAL COLOMBIA </t>
  </si>
  <si>
    <t>ORTIZ CONSTRUCIONES Y PROYECTOS S.A-SUCURSAL COLOMBIA</t>
  </si>
  <si>
    <t>CONSTRUCCIONES Y DRAGADOS DEL SURESTE S.A DE CV</t>
  </si>
  <si>
    <t>CALZADA CONSTRUCIONES S.A DE C.V</t>
  </si>
  <si>
    <t>CUBIDES Y MUÑOZ  LTDA</t>
  </si>
  <si>
    <t>CONSTRUCTORA S&amp;L S.A.S</t>
  </si>
  <si>
    <t>CONSTRUCTORA CRD S.A</t>
  </si>
  <si>
    <t>JMS INGENIEIRA S.A.S</t>
  </si>
  <si>
    <t>EMB SOLUCIONES S.A.S</t>
  </si>
  <si>
    <t>HIDALGO E HIDALGO  S.A-SUCURSAL COLOMBIA</t>
  </si>
  <si>
    <t>HIDALGO E HIDALGO S.A.S</t>
  </si>
  <si>
    <t>LATINOAMERICANA DE CONSTRUCCIONES S.A</t>
  </si>
  <si>
    <t>OBRAS CIVILES Y EQUIPOS LTDA- OCIEQUIPOS LIMITADA</t>
  </si>
  <si>
    <t>ROSALES AMELL CARMELO JOAQUIN</t>
  </si>
  <si>
    <t>TRAING S TRABAJOS DE INGENIERIA S.A.S</t>
  </si>
  <si>
    <t>GYP INGENIEIRA S.A.S</t>
  </si>
  <si>
    <t>INVERSIONES GABRA S.A.S</t>
  </si>
  <si>
    <t>OFICINA DE DISEÑOS CALCULOS Y CONSTRUCCIONES LIMITADA-ODICCO LTDA</t>
  </si>
  <si>
    <t>TRADECO INFRAESTRUCTURA -SUCURSAL COLOMBIA</t>
  </si>
  <si>
    <t>MIROAL INGENEIRIA S.A.S</t>
  </si>
  <si>
    <t>PAVIMENTOS ANDINOS S.A</t>
  </si>
  <si>
    <t>PAVIGAS S.A.S</t>
  </si>
  <si>
    <t>ANDRES GILBERTO PEREZ PARRA</t>
  </si>
  <si>
    <t>ANGEL ROA HERNANDEZ</t>
  </si>
  <si>
    <t xml:space="preserve">Suma de UTILIDAD / PERDIDA OPERACIONAL </t>
  </si>
  <si>
    <t>Suma de GASTOS INTERESES</t>
  </si>
  <si>
    <t>JMV INGENIEROS S.A.S</t>
  </si>
  <si>
    <t>DECAR GABRIEL SOLANO SOLANO</t>
  </si>
  <si>
    <t>CONSTRUCCIONES EL CONDOR S.A</t>
  </si>
  <si>
    <t>ENGICO LTDA</t>
  </si>
  <si>
    <t>ASSIGNIA COLOMBIA S.A.S</t>
  </si>
  <si>
    <t>SOLARTE NACIONAL DE CONSTRUCIONES</t>
  </si>
  <si>
    <t>EQUIPO UNIVERSAL S.A</t>
  </si>
  <si>
    <t>PAVIMENTO UNIVERSAL S.A</t>
  </si>
  <si>
    <t>CONSTRUVIAS DE COLOMBIA S.A-CONSTRUVICOL S.A</t>
  </si>
  <si>
    <t>AZVI SUCURSAL COLOMBIA</t>
  </si>
  <si>
    <t>CALCULO Y CONTRUCCIONES S.A</t>
  </si>
  <si>
    <t>YAMIL SABBAGH CONSTRUCIONES S.A.S</t>
  </si>
  <si>
    <t>D&amp;S S.A</t>
  </si>
  <si>
    <t>CONSTRUCCIONES NAMUS S.A</t>
  </si>
  <si>
    <t>VIURBA INGENIRIA S.A.S</t>
  </si>
  <si>
    <t>COMSA S.A SOCIEDAD UNIPERSONAL SUCURSAL COLOMBIA</t>
  </si>
  <si>
    <t>KHB INGENIERIA S.A.S</t>
  </si>
  <si>
    <t>ODEKA S.A.S</t>
  </si>
  <si>
    <t>JUAN CARLOS RIOS URUETA</t>
  </si>
  <si>
    <t>CARLOS ALBERTO SOLARTE SOLARTE</t>
  </si>
  <si>
    <t>HB ESTRUCTURAS METALICAS S.A</t>
  </si>
  <si>
    <t>FUREL S.A</t>
  </si>
  <si>
    <t>FERNANDO LEON  DIEZ CARDONA</t>
  </si>
  <si>
    <t>DUMAR INGENIEROS S.A.S</t>
  </si>
  <si>
    <t>OSVALDO ALFONSO ANGULO CALERO</t>
  </si>
  <si>
    <t>CONSTRUCTORA CONCRETO S.A</t>
  </si>
  <si>
    <t>ICEIN INGENIEROS CONSTRUCTORES S.A.S</t>
  </si>
  <si>
    <t>INDUGRAVAS INGENIEROS CONSTRUCTORES S.A.S</t>
  </si>
  <si>
    <t>SAN JOSE COLOMBIA S.A.S</t>
  </si>
  <si>
    <t>CSS CONSTRUCTORES S.A</t>
  </si>
  <si>
    <t>MORENO VARGAS SOCIEDAD ANONIMA</t>
  </si>
  <si>
    <t>TRITURADOS Y CONCRETOS LTDA</t>
  </si>
  <si>
    <t>HIFO S.A</t>
  </si>
  <si>
    <t>COMANCO S.A</t>
  </si>
  <si>
    <t xml:space="preserve">VERGEL Y CASTELLANOS </t>
  </si>
  <si>
    <t>AMEZQUITA NARANJO INGENIERIA &amp; CIA SCA</t>
  </si>
  <si>
    <t>HERDOISA CRESPO CONSTRUCCIONES S.A-SUCURSAL COLOMBIA</t>
  </si>
  <si>
    <t>INVERSIONES BERMONT S.A.S</t>
  </si>
  <si>
    <t>EQUIPOS Y TRITURADOS S.A</t>
  </si>
  <si>
    <t>HAG S.A</t>
  </si>
  <si>
    <t>CONSULTORES DEL DESARROLLO S.A-CODESA</t>
  </si>
  <si>
    <t>CONSTRUCCIONES Y TRITURACIONES S.A DE C.V</t>
  </si>
  <si>
    <t>PROMOTORA E INVERSORA ADISA S.A DE C.V</t>
  </si>
  <si>
    <t xml:space="preserve">UTILIDAD / PERDIDA OPERACIONAL </t>
  </si>
  <si>
    <t>GASTOS INTERESES</t>
  </si>
  <si>
    <t>SOCIEDAD P.V.C. S.A.S</t>
  </si>
  <si>
    <t>PROYECTOS DE INGENIERIA Y CONSULTORIA S.A.S</t>
  </si>
  <si>
    <t>RANSPORTE INGENIERIA CONSTRUCCIONES Y MAQUINARIA S.A</t>
  </si>
  <si>
    <t>CALZADA DE CONSTRUCCIONES S.A DE C.V</t>
  </si>
  <si>
    <t>GAICO INGENIEROS CONSTRUCTORES S.A</t>
  </si>
  <si>
    <t>CONSTRUCCION Y DESARROLLO INGENIERIA S.A.S</t>
  </si>
  <si>
    <t>HL INGENIEROS S.A</t>
  </si>
  <si>
    <t>INGENIERIA DE PROYECTOS  AML S.A.S</t>
  </si>
  <si>
    <t>JOSE GUILLERMO GALAN GOMEZ</t>
  </si>
  <si>
    <t>OCTAVIO AUGUSTO MORALES AYALA</t>
  </si>
  <si>
    <t>CONSTRUCTORA MONTECARLO VIAS S.A.S</t>
  </si>
  <si>
    <t>GRUPO EMPRESARIAL CAPITOL S.L- SUCURSAL EXTRANJERA</t>
  </si>
  <si>
    <t>CASS CONSTRUCTORES &amp; CIA SCA</t>
  </si>
  <si>
    <t>EMPRESA DE PROYECTISTAS Y CONSTRUCTORES S.A.S</t>
  </si>
  <si>
    <t>ELSAMEX S.A-SUCURSAL COLOMBIA</t>
  </si>
  <si>
    <t>CONCRETOS Y ASFALTOS S.A</t>
  </si>
  <si>
    <t>MARTINEZ Y HOYOS INGENIERIA LIMITADA</t>
  </si>
  <si>
    <t>FOPECA SUCURSAL COLOMBIA</t>
  </si>
  <si>
    <t>EXPLANEACIONES DEL SUR</t>
  </si>
  <si>
    <t>IKON GROUP S.A.S</t>
  </si>
  <si>
    <t>XIE S.A</t>
  </si>
  <si>
    <t>MASAWA S.A.S</t>
  </si>
  <si>
    <t>COINOBRAS LTDA</t>
  </si>
  <si>
    <t>CONSTRUCTORA COLPATRIA S.A</t>
  </si>
  <si>
    <t>EDGARDO NAVARRO VIVES</t>
  </si>
  <si>
    <t>TORRES CAMARA Y CIA DE OBRAS SA</t>
  </si>
  <si>
    <t>GAICO INFRAESTRUCTIRA Y CONSECIONES SOCIEDAD POR ACCIONES SIMPLIFICADA</t>
  </si>
  <si>
    <t>GNG INGENIERIA SAS</t>
  </si>
  <si>
    <t>CONSULTORIA Y CONSTRUCCION SAS</t>
  </si>
  <si>
    <t>DONADO ARCE &amp; COMPAÑÍA S.A.S</t>
  </si>
  <si>
    <t>PACANO S.A.S</t>
  </si>
  <si>
    <t>MURCIA MURCIA S.A</t>
  </si>
  <si>
    <t>MOVIMIENTO DE TIERRA, VIAS Y CONSTRUCCIONES S.A-MOVICON S.A</t>
  </si>
  <si>
    <t>EDUARDO ERENESTO CALDERON AWAKON</t>
  </si>
  <si>
    <t>VIMAC S.A</t>
  </si>
  <si>
    <t>CONSTRUCTORA YACAMAN VIVERO S.A</t>
  </si>
  <si>
    <t>ASFALTO HORMMIGON S.A</t>
  </si>
  <si>
    <t>SAVERA S.A.S</t>
  </si>
  <si>
    <t/>
  </si>
  <si>
    <t>Fórmula: CT=AC-PC&gt;=(PO/n)</t>
  </si>
  <si>
    <t>(PO/n)</t>
  </si>
  <si>
    <t>Fórmula: P=AT-PT &gt;= (10%*PO)</t>
  </si>
  <si>
    <t>Fórmula:                        ROE=UO/Pat.ROE&gt;=0,00</t>
  </si>
  <si>
    <t>Fórmula:                        ROE=UO/Act.Tot.&gt;=0,00</t>
  </si>
  <si>
    <t>Capital de Trabajo Demandado</t>
  </si>
  <si>
    <t>% Requerido Patrimonio</t>
  </si>
  <si>
    <t>SMMLV 2019</t>
  </si>
  <si>
    <t>EMPRESA DE MANTENIMIENTO VIAL LA MOJANA S.A.S.</t>
  </si>
  <si>
    <t>Fórmula: Liquidez=AC/PC&gt;=0,42</t>
  </si>
  <si>
    <t>EMPRESA DE TRABAJADORES DE SAN MARCOS ETASAMAR S.A.S.</t>
  </si>
  <si>
    <t xml:space="preserve">EVALUACIÓN FINANCIERA </t>
  </si>
  <si>
    <t>DIRECCIÓN TERRITORIAL SUCRE</t>
  </si>
  <si>
    <t>OBSERVACION:   LA EMPRESA DE MANTENIMIENTO VIAL LA MOJANA S.A.S. NO SUSBSANO LA INFORMACION CONTABLE</t>
  </si>
  <si>
    <t>NO HABIL</t>
  </si>
  <si>
    <t>NO SUBSANO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</si>
</sst>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 * #,##0_ ;_ * \-#,##0_ ;_ * &quot;-&quot;_ ;_ @_ 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0.0"/>
    <numFmt numFmtId="171" formatCode="_ * #,##0_ ;_ * \-#,##0_ ;_ * &quot;-&quot;??_ ;_ @_ "/>
    <numFmt numFmtId="172" formatCode="0.0%"/>
    <numFmt numFmtId="173" formatCode="#,##0.00\ _€"/>
    <numFmt numFmtId="174" formatCode="#,##0.0"/>
  </numFmts>
  <fonts count="4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9"/>
      <color indexed="63"/>
      <name val="Arial"/>
      <family val="2"/>
    </font>
    <font>
      <b/>
      <sz val="8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name val="Arial"/>
      <family val="2"/>
    </font>
    <font>
      <sz val="12"/>
      <color theme="1"/>
      <name val="Calibri"/>
      <family val="2"/>
    </font>
    <font>
      <b/>
      <sz val="8"/>
      <name val="Calibri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sz val="14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b/>
      <sz val="10"/>
      <color rgb="FFFF0000"/>
      <name val="Arial Narrow"/>
      <family val="2"/>
    </font>
    <font>
      <sz val="8"/>
      <name val="Tahoma"/>
      <family val="2"/>
    </font>
    <font>
      <sz val="11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6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indexed="65"/>
      </left>
      <right style="thin">
        <color rgb="FFABABAB"/>
      </right>
      <top style="thin">
        <color rgb="FFABABAB"/>
      </top>
      <bottom/>
      <diagonal/>
    </border>
    <border>
      <left/>
      <right/>
      <top style="thin">
        <color rgb="FFABABAB"/>
      </top>
      <bottom/>
      <diagonal/>
    </border>
    <border>
      <left/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/>
      <bottom/>
      <diagonal/>
    </border>
    <border>
      <left/>
      <right style="thin">
        <color rgb="FFABABAB"/>
      </right>
      <top/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/>
      <right/>
      <top style="thin">
        <color rgb="FFABABAB"/>
      </top>
      <bottom style="thin">
        <color rgb="FFABABAB"/>
      </bottom>
      <diagonal/>
    </border>
    <border>
      <left/>
      <right style="thin">
        <color rgb="FFABABAB"/>
      </right>
      <top style="thin">
        <color rgb="FFABABAB"/>
      </top>
      <bottom style="thin">
        <color rgb="FFABABAB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3">
    <xf numFmtId="0" fontId="0" fillId="0" borderId="0"/>
    <xf numFmtId="169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9" fillId="0" borderId="0"/>
    <xf numFmtId="164" fontId="3" fillId="0" borderId="0" applyFont="0" applyFill="0" applyBorder="0" applyAlignment="0" applyProtection="0"/>
    <xf numFmtId="0" fontId="3" fillId="0" borderId="0"/>
    <xf numFmtId="16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38" fillId="0" borderId="0" applyFont="0" applyFill="0" applyBorder="0" applyAlignment="0" applyProtection="0"/>
    <xf numFmtId="0" fontId="3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9" fontId="3" fillId="0" borderId="0" applyFont="0" applyFill="0" applyBorder="0" applyAlignment="0" applyProtection="0"/>
  </cellStyleXfs>
  <cellXfs count="434">
    <xf numFmtId="0" fontId="0" fillId="0" borderId="0" xfId="0"/>
    <xf numFmtId="0" fontId="5" fillId="0" borderId="1" xfId="0" applyFont="1" applyFill="1" applyBorder="1"/>
    <xf numFmtId="0" fontId="5" fillId="0" borderId="2" xfId="0" applyFont="1" applyFill="1" applyBorder="1" applyAlignment="1">
      <alignment horizontal="left" vertical="center"/>
    </xf>
    <xf numFmtId="0" fontId="5" fillId="0" borderId="3" xfId="0" applyFont="1" applyFill="1" applyBorder="1"/>
    <xf numFmtId="0" fontId="5" fillId="0" borderId="4" xfId="0" applyFont="1" applyFill="1" applyBorder="1"/>
    <xf numFmtId="9" fontId="5" fillId="0" borderId="4" xfId="6" applyFont="1" applyFill="1" applyBorder="1"/>
    <xf numFmtId="0" fontId="5" fillId="0" borderId="4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right"/>
    </xf>
    <xf numFmtId="0" fontId="4" fillId="0" borderId="1" xfId="0" applyFont="1" applyFill="1" applyBorder="1"/>
    <xf numFmtId="0" fontId="4" fillId="0" borderId="5" xfId="0" quotePrefix="1" applyFont="1" applyFill="1" applyBorder="1" applyAlignment="1">
      <alignment horizontal="left"/>
    </xf>
    <xf numFmtId="0" fontId="4" fillId="0" borderId="1" xfId="0" applyFont="1" applyFill="1" applyBorder="1" applyAlignment="1">
      <alignment horizontal="centerContinuous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Border="1"/>
    <xf numFmtId="0" fontId="7" fillId="0" borderId="0" xfId="0" applyFont="1"/>
    <xf numFmtId="0" fontId="8" fillId="2" borderId="6" xfId="0" applyFont="1" applyFill="1" applyBorder="1" applyAlignment="1">
      <alignment horizontal="center" vertical="center" textRotation="90" wrapText="1"/>
    </xf>
    <xf numFmtId="3" fontId="8" fillId="2" borderId="6" xfId="0" applyNumberFormat="1" applyFont="1" applyFill="1" applyBorder="1" applyAlignment="1">
      <alignment horizontal="center" vertical="center" textRotation="90" wrapText="1"/>
    </xf>
    <xf numFmtId="0" fontId="9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11" fillId="0" borderId="0" xfId="0" applyFont="1" applyFill="1" applyAlignment="1">
      <alignment vertical="center" wrapText="1"/>
    </xf>
    <xf numFmtId="3" fontId="12" fillId="0" borderId="7" xfId="0" applyNumberFormat="1" applyFont="1" applyFill="1" applyBorder="1" applyAlignment="1">
      <alignment vertical="center" wrapText="1"/>
    </xf>
    <xf numFmtId="0" fontId="0" fillId="0" borderId="0" xfId="0" applyAlignment="1">
      <alignment wrapText="1"/>
    </xf>
    <xf numFmtId="172" fontId="0" fillId="0" borderId="0" xfId="6" applyNumberFormat="1" applyFont="1"/>
    <xf numFmtId="172" fontId="0" fillId="0" borderId="6" xfId="6" applyNumberFormat="1" applyFont="1" applyBorder="1"/>
    <xf numFmtId="3" fontId="0" fillId="0" borderId="0" xfId="0" applyNumberFormat="1"/>
    <xf numFmtId="0" fontId="0" fillId="0" borderId="1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 applyProtection="1">
      <protection locked="0"/>
    </xf>
    <xf numFmtId="0" fontId="4" fillId="3" borderId="11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171" fontId="11" fillId="0" borderId="0" xfId="1" applyNumberFormat="1" applyFont="1" applyFill="1" applyAlignment="1">
      <alignment vertical="center" wrapText="1"/>
    </xf>
    <xf numFmtId="171" fontId="14" fillId="0" borderId="6" xfId="1" applyNumberFormat="1" applyFont="1" applyBorder="1"/>
    <xf numFmtId="0" fontId="14" fillId="0" borderId="0" xfId="0" applyFont="1"/>
    <xf numFmtId="9" fontId="14" fillId="0" borderId="1" xfId="6" applyFont="1" applyFill="1" applyBorder="1"/>
    <xf numFmtId="0" fontId="14" fillId="0" borderId="1" xfId="0" applyFont="1" applyFill="1" applyBorder="1" applyAlignment="1">
      <alignment horizontal="center"/>
    </xf>
    <xf numFmtId="3" fontId="14" fillId="0" borderId="1" xfId="0" applyNumberFormat="1" applyFont="1" applyFill="1" applyBorder="1" applyAlignment="1">
      <alignment horizontal="center"/>
    </xf>
    <xf numFmtId="9" fontId="14" fillId="0" borderId="1" xfId="6" applyFont="1" applyFill="1" applyBorder="1" applyAlignment="1">
      <alignment horizontal="center"/>
    </xf>
    <xf numFmtId="0" fontId="14" fillId="0" borderId="1" xfId="0" applyFont="1" applyFill="1" applyBorder="1" applyAlignment="1">
      <alignment horizontal="right"/>
    </xf>
    <xf numFmtId="0" fontId="14" fillId="0" borderId="1" xfId="0" applyFont="1" applyFill="1" applyBorder="1"/>
    <xf numFmtId="0" fontId="14" fillId="0" borderId="1" xfId="0" applyFont="1" applyBorder="1"/>
    <xf numFmtId="1" fontId="6" fillId="0" borderId="14" xfId="0" applyNumberFormat="1" applyFont="1" applyFill="1" applyBorder="1" applyAlignment="1">
      <alignment horizontal="center" vertical="center"/>
    </xf>
    <xf numFmtId="1" fontId="6" fillId="0" borderId="15" xfId="0" applyNumberFormat="1" applyFont="1" applyFill="1" applyBorder="1" applyAlignment="1">
      <alignment horizontal="center" vertical="center"/>
    </xf>
    <xf numFmtId="171" fontId="14" fillId="0" borderId="6" xfId="1" applyNumberFormat="1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/>
    <xf numFmtId="172" fontId="0" fillId="0" borderId="15" xfId="6" applyNumberFormat="1" applyFont="1" applyBorder="1"/>
    <xf numFmtId="172" fontId="0" fillId="0" borderId="16" xfId="6" applyNumberFormat="1" applyFont="1" applyBorder="1"/>
    <xf numFmtId="172" fontId="0" fillId="0" borderId="17" xfId="6" applyNumberFormat="1" applyFont="1" applyBorder="1"/>
    <xf numFmtId="171" fontId="14" fillId="0" borderId="12" xfId="1" applyNumberFormat="1" applyFont="1" applyBorder="1" applyProtection="1">
      <protection locked="0"/>
    </xf>
    <xf numFmtId="171" fontId="14" fillId="0" borderId="12" xfId="1" applyNumberFormat="1" applyFont="1" applyBorder="1"/>
    <xf numFmtId="172" fontId="0" fillId="0" borderId="12" xfId="6" applyNumberFormat="1" applyFont="1" applyBorder="1"/>
    <xf numFmtId="172" fontId="0" fillId="0" borderId="13" xfId="6" applyNumberFormat="1" applyFont="1" applyBorder="1"/>
    <xf numFmtId="0" fontId="15" fillId="0" borderId="6" xfId="5" applyFont="1" applyFill="1" applyBorder="1" applyAlignment="1">
      <alignment horizontal="left" indent="1"/>
    </xf>
    <xf numFmtId="0" fontId="0" fillId="0" borderId="0" xfId="0" applyProtection="1">
      <protection locked="0"/>
    </xf>
    <xf numFmtId="0" fontId="16" fillId="0" borderId="6" xfId="5" applyFont="1" applyFill="1" applyBorder="1" applyAlignment="1">
      <alignment horizontal="left"/>
    </xf>
    <xf numFmtId="0" fontId="15" fillId="0" borderId="12" xfId="5" applyFont="1" applyFill="1" applyBorder="1" applyAlignment="1">
      <alignment horizontal="left" indent="1"/>
    </xf>
    <xf numFmtId="1" fontId="6" fillId="0" borderId="11" xfId="0" applyNumberFormat="1" applyFont="1" applyFill="1" applyBorder="1" applyAlignment="1">
      <alignment horizontal="center" vertical="center"/>
    </xf>
    <xf numFmtId="171" fontId="0" fillId="0" borderId="15" xfId="1" applyNumberFormat="1" applyFont="1" applyBorder="1" applyProtection="1">
      <protection locked="0"/>
    </xf>
    <xf numFmtId="170" fontId="13" fillId="0" borderId="6" xfId="0" applyNumberFormat="1" applyFont="1" applyFill="1" applyBorder="1" applyAlignment="1">
      <alignment horizontal="center" vertical="center"/>
    </xf>
    <xf numFmtId="170" fontId="13" fillId="0" borderId="12" xfId="0" applyNumberFormat="1" applyFont="1" applyFill="1" applyBorder="1" applyAlignment="1">
      <alignment horizontal="center" vertical="center"/>
    </xf>
    <xf numFmtId="0" fontId="16" fillId="0" borderId="15" xfId="5" applyFont="1" applyFill="1" applyBorder="1" applyAlignment="1">
      <alignment horizontal="left"/>
    </xf>
    <xf numFmtId="169" fontId="20" fillId="5" borderId="9" xfId="1" applyFont="1" applyFill="1" applyBorder="1" applyAlignment="1">
      <alignment horizontal="center" vertical="center"/>
    </xf>
    <xf numFmtId="0" fontId="17" fillId="3" borderId="3" xfId="0" quotePrefix="1" applyFont="1" applyFill="1" applyBorder="1" applyAlignment="1">
      <alignment horizontal="left" vertical="center" wrapText="1"/>
    </xf>
    <xf numFmtId="0" fontId="17" fillId="3" borderId="19" xfId="0" applyFont="1" applyFill="1" applyBorder="1" applyAlignment="1">
      <alignment horizontal="center" vertical="center"/>
    </xf>
    <xf numFmtId="0" fontId="17" fillId="3" borderId="8" xfId="0" applyFont="1" applyFill="1" applyBorder="1" applyAlignment="1">
      <alignment horizontal="center" vertical="center"/>
    </xf>
    <xf numFmtId="169" fontId="14" fillId="6" borderId="6" xfId="1" applyFont="1" applyFill="1" applyBorder="1" applyAlignment="1">
      <alignment horizontal="center" vertical="center" wrapText="1"/>
    </xf>
    <xf numFmtId="0" fontId="14" fillId="6" borderId="14" xfId="0" applyNumberFormat="1" applyFont="1" applyFill="1" applyBorder="1" applyAlignment="1">
      <alignment horizontal="center" vertical="center" wrapText="1"/>
    </xf>
    <xf numFmtId="167" fontId="23" fillId="6" borderId="6" xfId="1" applyNumberFormat="1" applyFont="1" applyFill="1" applyBorder="1" applyAlignment="1">
      <alignment horizontal="center" vertical="center" wrapText="1"/>
    </xf>
    <xf numFmtId="169" fontId="14" fillId="6" borderId="12" xfId="1" applyFont="1" applyFill="1" applyBorder="1" applyAlignment="1">
      <alignment horizontal="center" vertical="center" wrapText="1"/>
    </xf>
    <xf numFmtId="169" fontId="4" fillId="7" borderId="6" xfId="1" applyFont="1" applyFill="1" applyBorder="1" applyAlignment="1">
      <alignment horizontal="center" vertical="center"/>
    </xf>
    <xf numFmtId="171" fontId="23" fillId="7" borderId="15" xfId="1" applyNumberFormat="1" applyFont="1" applyFill="1" applyBorder="1" applyAlignment="1">
      <alignment horizontal="center" vertical="center"/>
    </xf>
    <xf numFmtId="169" fontId="4" fillId="7" borderId="15" xfId="1" applyFont="1" applyFill="1" applyBorder="1" applyAlignment="1">
      <alignment horizontal="center" vertical="center"/>
    </xf>
    <xf numFmtId="169" fontId="4" fillId="7" borderId="12" xfId="1" applyFont="1" applyFill="1" applyBorder="1" applyAlignment="1">
      <alignment horizontal="center" vertical="center"/>
    </xf>
    <xf numFmtId="0" fontId="24" fillId="5" borderId="6" xfId="0" applyFont="1" applyFill="1" applyBorder="1" applyAlignment="1">
      <alignment horizontal="center" vertical="center" wrapText="1"/>
    </xf>
    <xf numFmtId="169" fontId="17" fillId="0" borderId="6" xfId="1" applyFont="1" applyFill="1" applyBorder="1" applyAlignment="1">
      <alignment horizontal="center" vertical="center" wrapText="1"/>
    </xf>
    <xf numFmtId="0" fontId="17" fillId="7" borderId="21" xfId="0" applyNumberFormat="1" applyFont="1" applyFill="1" applyBorder="1" applyAlignment="1">
      <alignment horizontal="center" vertical="center" wrapText="1"/>
    </xf>
    <xf numFmtId="0" fontId="21" fillId="7" borderId="15" xfId="0" applyFont="1" applyFill="1" applyBorder="1" applyAlignment="1">
      <alignment horizontal="center" vertical="center" wrapText="1"/>
    </xf>
    <xf numFmtId="169" fontId="17" fillId="7" borderId="15" xfId="1" applyFont="1" applyFill="1" applyBorder="1" applyAlignment="1">
      <alignment horizontal="center" vertical="center" wrapText="1"/>
    </xf>
    <xf numFmtId="0" fontId="24" fillId="5" borderId="15" xfId="0" applyFont="1" applyFill="1" applyBorder="1" applyAlignment="1">
      <alignment horizontal="center" vertical="center" wrapText="1"/>
    </xf>
    <xf numFmtId="167" fontId="23" fillId="6" borderId="12" xfId="1" applyNumberFormat="1" applyFont="1" applyFill="1" applyBorder="1" applyAlignment="1">
      <alignment horizontal="center" vertical="center" wrapText="1"/>
    </xf>
    <xf numFmtId="0" fontId="24" fillId="5" borderId="12" xfId="0" applyFont="1" applyFill="1" applyBorder="1" applyAlignment="1">
      <alignment horizontal="center" vertical="center" wrapText="1"/>
    </xf>
    <xf numFmtId="169" fontId="17" fillId="0" borderId="12" xfId="1" applyFont="1" applyFill="1" applyBorder="1" applyAlignment="1">
      <alignment horizontal="center" vertical="center" wrapText="1"/>
    </xf>
    <xf numFmtId="173" fontId="0" fillId="0" borderId="0" xfId="0" applyNumberFormat="1"/>
    <xf numFmtId="0" fontId="14" fillId="6" borderId="11" xfId="0" applyNumberFormat="1" applyFont="1" applyFill="1" applyBorder="1" applyAlignment="1">
      <alignment horizontal="center" vertical="center" wrapText="1"/>
    </xf>
    <xf numFmtId="4" fontId="20" fillId="3" borderId="15" xfId="3" applyNumberFormat="1" applyFont="1" applyFill="1" applyBorder="1" applyAlignment="1">
      <alignment horizontal="center" vertical="center" wrapText="1"/>
    </xf>
    <xf numFmtId="0" fontId="20" fillId="3" borderId="15" xfId="3" applyFont="1" applyFill="1" applyBorder="1" applyAlignment="1">
      <alignment horizontal="center" vertical="center" wrapText="1"/>
    </xf>
    <xf numFmtId="10" fontId="26" fillId="6" borderId="6" xfId="3" applyNumberFormat="1" applyFont="1" applyFill="1" applyBorder="1" applyAlignment="1">
      <alignment horizontal="center" vertical="center" wrapText="1"/>
    </xf>
    <xf numFmtId="169" fontId="27" fillId="0" borderId="6" xfId="1" applyFont="1" applyFill="1" applyBorder="1" applyAlignment="1">
      <alignment horizontal="center" vertical="center" wrapText="1"/>
    </xf>
    <xf numFmtId="0" fontId="26" fillId="7" borderId="21" xfId="4" applyNumberFormat="1" applyFont="1" applyFill="1" applyBorder="1" applyAlignment="1">
      <alignment horizontal="center" vertical="center" wrapText="1"/>
    </xf>
    <xf numFmtId="169" fontId="26" fillId="7" borderId="15" xfId="1" applyFont="1" applyFill="1" applyBorder="1" applyAlignment="1">
      <alignment horizontal="center" vertical="center" wrapText="1"/>
    </xf>
    <xf numFmtId="10" fontId="26" fillId="7" borderId="15" xfId="3" applyNumberFormat="1" applyFont="1" applyFill="1" applyBorder="1" applyAlignment="1">
      <alignment horizontal="center" vertical="center" wrapText="1"/>
    </xf>
    <xf numFmtId="169" fontId="26" fillId="7" borderId="15" xfId="3" applyNumberFormat="1" applyFont="1" applyFill="1" applyBorder="1" applyAlignment="1">
      <alignment horizontal="center" vertical="center" wrapText="1"/>
    </xf>
    <xf numFmtId="171" fontId="26" fillId="7" borderId="15" xfId="1" applyNumberFormat="1" applyFont="1" applyFill="1" applyBorder="1" applyAlignment="1">
      <alignment horizontal="center" vertical="center" wrapText="1"/>
    </xf>
    <xf numFmtId="0" fontId="27" fillId="6" borderId="14" xfId="4" applyNumberFormat="1" applyFont="1" applyFill="1" applyBorder="1" applyAlignment="1">
      <alignment horizontal="center" vertical="center" wrapText="1"/>
    </xf>
    <xf numFmtId="0" fontId="27" fillId="6" borderId="11" xfId="4" applyNumberFormat="1" applyFont="1" applyFill="1" applyBorder="1" applyAlignment="1">
      <alignment horizontal="center" vertical="center" wrapText="1"/>
    </xf>
    <xf numFmtId="169" fontId="27" fillId="0" borderId="12" xfId="1" applyFont="1" applyFill="1" applyBorder="1" applyAlignment="1">
      <alignment horizontal="center" vertical="center" wrapText="1"/>
    </xf>
    <xf numFmtId="10" fontId="26" fillId="6" borderId="12" xfId="3" applyNumberFormat="1" applyFont="1" applyFill="1" applyBorder="1" applyAlignment="1">
      <alignment horizontal="center" vertical="center" wrapText="1"/>
    </xf>
    <xf numFmtId="9" fontId="21" fillId="7" borderId="15" xfId="6" applyFont="1" applyFill="1" applyBorder="1" applyAlignment="1">
      <alignment horizontal="center" vertical="center" wrapText="1"/>
    </xf>
    <xf numFmtId="9" fontId="22" fillId="6" borderId="6" xfId="6" applyFont="1" applyFill="1" applyBorder="1" applyAlignment="1">
      <alignment horizontal="center" vertical="center" wrapText="1"/>
    </xf>
    <xf numFmtId="9" fontId="22" fillId="6" borderId="12" xfId="6" applyFont="1" applyFill="1" applyBorder="1" applyAlignment="1">
      <alignment horizontal="center" vertical="center" wrapText="1"/>
    </xf>
    <xf numFmtId="171" fontId="23" fillId="11" borderId="15" xfId="1" applyNumberFormat="1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vertical="center" wrapText="1"/>
    </xf>
    <xf numFmtId="168" fontId="17" fillId="3" borderId="17" xfId="2" applyFont="1" applyFill="1" applyBorder="1" applyAlignment="1">
      <alignment vertical="center" wrapText="1"/>
    </xf>
    <xf numFmtId="0" fontId="17" fillId="3" borderId="11" xfId="0" applyFont="1" applyFill="1" applyBorder="1" applyAlignment="1">
      <alignment vertical="center" wrapText="1"/>
    </xf>
    <xf numFmtId="168" fontId="17" fillId="3" borderId="13" xfId="2" applyFont="1" applyFill="1" applyBorder="1" applyAlignment="1">
      <alignment vertical="center" wrapText="1"/>
    </xf>
    <xf numFmtId="0" fontId="17" fillId="3" borderId="26" xfId="0" applyFont="1" applyFill="1" applyBorder="1" applyAlignment="1">
      <alignment vertical="center" wrapText="1"/>
    </xf>
    <xf numFmtId="168" fontId="17" fillId="3" borderId="27" xfId="2" applyFont="1" applyFill="1" applyBorder="1" applyAlignment="1">
      <alignment vertical="center" wrapText="1"/>
    </xf>
    <xf numFmtId="0" fontId="6" fillId="0" borderId="16" xfId="0" applyFont="1" applyFill="1" applyBorder="1"/>
    <xf numFmtId="0" fontId="6" fillId="12" borderId="17" xfId="0" applyFont="1" applyFill="1" applyBorder="1"/>
    <xf numFmtId="0" fontId="6" fillId="12" borderId="13" xfId="0" applyFont="1" applyFill="1" applyBorder="1"/>
    <xf numFmtId="0" fontId="17" fillId="4" borderId="20" xfId="0" quotePrefix="1" applyFont="1" applyFill="1" applyBorder="1" applyAlignment="1">
      <alignment horizontal="center" vertical="center"/>
    </xf>
    <xf numFmtId="167" fontId="17" fillId="4" borderId="20" xfId="0" applyNumberFormat="1" applyFont="1" applyFill="1" applyBorder="1" applyAlignment="1">
      <alignment horizontal="center" vertical="center" wrapText="1"/>
    </xf>
    <xf numFmtId="0" fontId="17" fillId="13" borderId="18" xfId="0" applyFont="1" applyFill="1" applyBorder="1" applyAlignment="1">
      <alignment horizontal="center" vertical="center" wrapText="1"/>
    </xf>
    <xf numFmtId="169" fontId="17" fillId="3" borderId="10" xfId="1" applyFont="1" applyFill="1" applyBorder="1" applyAlignment="1">
      <alignment horizontal="center" vertical="center" wrapText="1"/>
    </xf>
    <xf numFmtId="172" fontId="18" fillId="0" borderId="6" xfId="6" applyNumberFormat="1" applyFont="1" applyFill="1" applyBorder="1" applyAlignment="1">
      <alignment horizontal="center" vertical="center" wrapText="1"/>
    </xf>
    <xf numFmtId="172" fontId="18" fillId="0" borderId="12" xfId="6" applyNumberFormat="1" applyFont="1" applyFill="1" applyBorder="1" applyAlignment="1">
      <alignment horizontal="center" vertical="center" wrapText="1"/>
    </xf>
    <xf numFmtId="169" fontId="4" fillId="12" borderId="37" xfId="1" applyFont="1" applyFill="1" applyBorder="1"/>
    <xf numFmtId="0" fontId="4" fillId="0" borderId="38" xfId="0" applyFont="1" applyFill="1" applyBorder="1"/>
    <xf numFmtId="169" fontId="4" fillId="12" borderId="39" xfId="1" applyFont="1" applyFill="1" applyBorder="1"/>
    <xf numFmtId="0" fontId="24" fillId="5" borderId="40" xfId="0" applyFont="1" applyFill="1" applyBorder="1" applyAlignment="1">
      <alignment horizontal="center" vertical="center" wrapText="1"/>
    </xf>
    <xf numFmtId="0" fontId="24" fillId="5" borderId="41" xfId="0" applyFont="1" applyFill="1" applyBorder="1" applyAlignment="1">
      <alignment horizontal="center" vertical="center" wrapText="1"/>
    </xf>
    <xf numFmtId="0" fontId="24" fillId="5" borderId="42" xfId="0" applyFont="1" applyFill="1" applyBorder="1" applyAlignment="1">
      <alignment horizontal="center" vertical="center" wrapText="1"/>
    </xf>
    <xf numFmtId="0" fontId="24" fillId="5" borderId="17" xfId="0" applyFont="1" applyFill="1" applyBorder="1" applyAlignment="1">
      <alignment horizontal="center" vertical="center" wrapText="1"/>
    </xf>
    <xf numFmtId="0" fontId="17" fillId="3" borderId="34" xfId="0" applyFont="1" applyFill="1" applyBorder="1" applyAlignment="1">
      <alignment horizontal="center" vertical="center"/>
    </xf>
    <xf numFmtId="172" fontId="17" fillId="3" borderId="3" xfId="6" quotePrefix="1" applyNumberFormat="1" applyFont="1" applyFill="1" applyBorder="1" applyAlignment="1">
      <alignment horizontal="left" vertical="center" wrapText="1"/>
    </xf>
    <xf numFmtId="172" fontId="17" fillId="3" borderId="18" xfId="6" applyNumberFormat="1" applyFont="1" applyFill="1" applyBorder="1" applyAlignment="1">
      <alignment horizontal="center" vertical="center"/>
    </xf>
    <xf numFmtId="172" fontId="23" fillId="6" borderId="6" xfId="6" applyNumberFormat="1" applyFont="1" applyFill="1" applyBorder="1" applyAlignment="1">
      <alignment horizontal="center" vertical="center" wrapText="1"/>
    </xf>
    <xf numFmtId="172" fontId="23" fillId="6" borderId="12" xfId="6" applyNumberFormat="1" applyFont="1" applyFill="1" applyBorder="1" applyAlignment="1">
      <alignment horizontal="center" vertical="center" wrapText="1"/>
    </xf>
    <xf numFmtId="0" fontId="20" fillId="11" borderId="15" xfId="3" applyFont="1" applyFill="1" applyBorder="1" applyAlignment="1">
      <alignment horizontal="center" vertical="center" wrapText="1"/>
    </xf>
    <xf numFmtId="0" fontId="20" fillId="3" borderId="43" xfId="3" applyFont="1" applyFill="1" applyBorder="1" applyAlignment="1">
      <alignment horizontal="center" vertical="center" wrapText="1"/>
    </xf>
    <xf numFmtId="169" fontId="26" fillId="7" borderId="43" xfId="1" applyFont="1" applyFill="1" applyBorder="1" applyAlignment="1">
      <alignment horizontal="center" vertical="center" wrapText="1"/>
    </xf>
    <xf numFmtId="169" fontId="26" fillId="6" borderId="7" xfId="1" applyFont="1" applyFill="1" applyBorder="1" applyAlignment="1">
      <alignment horizontal="center" vertical="center" wrapText="1"/>
    </xf>
    <xf numFmtId="0" fontId="20" fillId="11" borderId="43" xfId="3" applyFont="1" applyFill="1" applyBorder="1" applyAlignment="1">
      <alignment horizontal="center" vertical="center" wrapText="1"/>
    </xf>
    <xf numFmtId="169" fontId="27" fillId="0" borderId="47" xfId="1" applyFont="1" applyFill="1" applyBorder="1" applyAlignment="1">
      <alignment horizontal="center" vertical="center" wrapText="1"/>
    </xf>
    <xf numFmtId="169" fontId="26" fillId="7" borderId="47" xfId="1" applyFont="1" applyFill="1" applyBorder="1" applyAlignment="1">
      <alignment horizontal="center" vertical="center" wrapText="1"/>
    </xf>
    <xf numFmtId="171" fontId="26" fillId="7" borderId="47" xfId="1" applyNumberFormat="1" applyFont="1" applyFill="1" applyBorder="1" applyAlignment="1">
      <alignment horizontal="center" vertical="center" wrapText="1"/>
    </xf>
    <xf numFmtId="0" fontId="5" fillId="10" borderId="0" xfId="0" applyFont="1" applyFill="1"/>
    <xf numFmtId="0" fontId="4" fillId="10" borderId="0" xfId="0" applyFont="1" applyFill="1"/>
    <xf numFmtId="169" fontId="5" fillId="10" borderId="0" xfId="0" applyNumberFormat="1" applyFont="1" applyFill="1"/>
    <xf numFmtId="0" fontId="5" fillId="10" borderId="0" xfId="0" applyFont="1" applyFill="1" applyAlignment="1">
      <alignment horizontal="center"/>
    </xf>
    <xf numFmtId="169" fontId="5" fillId="10" borderId="0" xfId="1" applyFont="1" applyFill="1" applyAlignment="1">
      <alignment horizontal="center"/>
    </xf>
    <xf numFmtId="167" fontId="5" fillId="10" borderId="0" xfId="0" applyNumberFormat="1" applyFont="1" applyFill="1" applyAlignment="1">
      <alignment horizontal="center"/>
    </xf>
    <xf numFmtId="172" fontId="5" fillId="10" borderId="0" xfId="6" applyNumberFormat="1" applyFont="1" applyFill="1"/>
    <xf numFmtId="9" fontId="17" fillId="10" borderId="5" xfId="0" applyNumberFormat="1" applyFont="1" applyFill="1" applyBorder="1" applyAlignment="1">
      <alignment vertical="center"/>
    </xf>
    <xf numFmtId="9" fontId="17" fillId="10" borderId="1" xfId="0" applyNumberFormat="1" applyFont="1" applyFill="1" applyBorder="1" applyAlignment="1">
      <alignment vertical="center"/>
    </xf>
    <xf numFmtId="9" fontId="17" fillId="10" borderId="0" xfId="0" applyNumberFormat="1" applyFont="1" applyFill="1" applyBorder="1" applyAlignment="1">
      <alignment vertical="center"/>
    </xf>
    <xf numFmtId="0" fontId="5" fillId="10" borderId="1" xfId="0" applyFont="1" applyFill="1" applyBorder="1" applyAlignment="1"/>
    <xf numFmtId="0" fontId="5" fillId="10" borderId="8" xfId="0" applyFont="1" applyFill="1" applyBorder="1" applyAlignment="1"/>
    <xf numFmtId="172" fontId="5" fillId="10" borderId="0" xfId="6" applyNumberFormat="1" applyFont="1" applyFill="1" applyBorder="1"/>
    <xf numFmtId="0" fontId="5" fillId="10" borderId="0" xfId="0" applyFont="1" applyFill="1" applyBorder="1"/>
    <xf numFmtId="0" fontId="5" fillId="10" borderId="10" xfId="0" applyFont="1" applyFill="1" applyBorder="1"/>
    <xf numFmtId="0" fontId="7" fillId="6" borderId="4" xfId="0" applyFont="1" applyFill="1" applyBorder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10" borderId="0" xfId="0" applyFill="1"/>
    <xf numFmtId="0" fontId="4" fillId="10" borderId="0" xfId="0" applyFont="1" applyFill="1" applyAlignment="1">
      <alignment horizontal="center" vertical="center"/>
    </xf>
    <xf numFmtId="0" fontId="27" fillId="10" borderId="0" xfId="0" applyFont="1" applyFill="1" applyBorder="1"/>
    <xf numFmtId="169" fontId="27" fillId="10" borderId="0" xfId="1" applyFont="1" applyFill="1" applyBorder="1"/>
    <xf numFmtId="9" fontId="27" fillId="10" borderId="0" xfId="6" applyFont="1" applyFill="1" applyBorder="1"/>
    <xf numFmtId="0" fontId="27" fillId="10" borderId="0" xfId="0" applyNumberFormat="1" applyFont="1" applyFill="1" applyBorder="1" applyAlignment="1">
      <alignment horizontal="center" vertical="center" wrapText="1"/>
    </xf>
    <xf numFmtId="0" fontId="27" fillId="10" borderId="0" xfId="0" applyFont="1" applyFill="1" applyBorder="1" applyAlignment="1">
      <alignment horizontal="center" vertical="center" wrapText="1"/>
    </xf>
    <xf numFmtId="10" fontId="26" fillId="10" borderId="0" xfId="3" applyNumberFormat="1" applyFont="1" applyFill="1" applyBorder="1" applyAlignment="1">
      <alignment horizontal="center" vertical="center" wrapText="1"/>
    </xf>
    <xf numFmtId="169" fontId="26" fillId="10" borderId="0" xfId="3" applyNumberFormat="1" applyFont="1" applyFill="1" applyBorder="1" applyAlignment="1">
      <alignment horizontal="center" vertical="center" wrapText="1"/>
    </xf>
    <xf numFmtId="4" fontId="26" fillId="10" borderId="0" xfId="3" applyNumberFormat="1" applyFont="1" applyFill="1" applyBorder="1" applyAlignment="1">
      <alignment horizontal="center" vertical="center" wrapText="1"/>
    </xf>
    <xf numFmtId="171" fontId="23" fillId="10" borderId="0" xfId="1" applyNumberFormat="1" applyFont="1" applyFill="1" applyBorder="1" applyAlignment="1">
      <alignment horizontal="center" vertical="center"/>
    </xf>
    <xf numFmtId="174" fontId="26" fillId="10" borderId="0" xfId="3" applyNumberFormat="1" applyFont="1" applyFill="1" applyBorder="1" applyAlignment="1">
      <alignment horizontal="center" vertical="center" wrapText="1"/>
    </xf>
    <xf numFmtId="169" fontId="0" fillId="10" borderId="0" xfId="1" applyFont="1" applyFill="1"/>
    <xf numFmtId="9" fontId="0" fillId="10" borderId="0" xfId="6" applyFont="1" applyFill="1"/>
    <xf numFmtId="169" fontId="4" fillId="10" borderId="0" xfId="1" applyFont="1" applyFill="1" applyAlignment="1">
      <alignment horizontal="center" vertical="center"/>
    </xf>
    <xf numFmtId="9" fontId="4" fillId="10" borderId="0" xfId="6" applyFont="1" applyFill="1" applyAlignment="1">
      <alignment horizontal="center" vertical="center"/>
    </xf>
    <xf numFmtId="0" fontId="4" fillId="10" borderId="0" xfId="0" applyFont="1" applyFill="1" applyBorder="1" applyAlignment="1">
      <alignment horizontal="center" vertical="center"/>
    </xf>
    <xf numFmtId="169" fontId="26" fillId="7" borderId="12" xfId="1" applyFont="1" applyFill="1" applyBorder="1" applyAlignment="1">
      <alignment horizontal="center" vertical="center" wrapText="1"/>
    </xf>
    <xf numFmtId="171" fontId="26" fillId="7" borderId="12" xfId="1" applyNumberFormat="1" applyFont="1" applyFill="1" applyBorder="1" applyAlignment="1">
      <alignment horizontal="center" vertical="center" wrapText="1"/>
    </xf>
    <xf numFmtId="9" fontId="17" fillId="10" borderId="1" xfId="0" applyNumberFormat="1" applyFont="1" applyFill="1" applyBorder="1" applyAlignment="1">
      <alignment horizontal="center" vertical="center"/>
    </xf>
    <xf numFmtId="171" fontId="23" fillId="7" borderId="47" xfId="1" applyNumberFormat="1" applyFont="1" applyFill="1" applyBorder="1" applyAlignment="1">
      <alignment horizontal="center" vertical="center"/>
    </xf>
    <xf numFmtId="171" fontId="23" fillId="7" borderId="12" xfId="1" applyNumberFormat="1" applyFont="1" applyFill="1" applyBorder="1" applyAlignment="1">
      <alignment horizontal="center" vertical="center"/>
    </xf>
    <xf numFmtId="171" fontId="23" fillId="7" borderId="23" xfId="1" applyNumberFormat="1" applyFont="1" applyFill="1" applyBorder="1" applyAlignment="1">
      <alignment horizontal="center" vertical="center"/>
    </xf>
    <xf numFmtId="169" fontId="26" fillId="7" borderId="47" xfId="3" applyNumberFormat="1" applyFont="1" applyFill="1" applyBorder="1" applyAlignment="1">
      <alignment horizontal="center" vertical="center" wrapText="1"/>
    </xf>
    <xf numFmtId="169" fontId="26" fillId="7" borderId="12" xfId="3" applyNumberFormat="1" applyFont="1" applyFill="1" applyBorder="1" applyAlignment="1">
      <alignment horizontal="center" vertical="center" wrapText="1"/>
    </xf>
    <xf numFmtId="0" fontId="0" fillId="10" borderId="48" xfId="0" applyFill="1" applyBorder="1" applyAlignment="1">
      <alignment horizontal="center" vertical="center"/>
    </xf>
    <xf numFmtId="0" fontId="0" fillId="10" borderId="49" xfId="0" applyFill="1" applyBorder="1" applyAlignment="1">
      <alignment horizontal="center" vertical="center"/>
    </xf>
    <xf numFmtId="0" fontId="0" fillId="10" borderId="50" xfId="0" applyFill="1" applyBorder="1" applyAlignment="1">
      <alignment horizontal="center" vertical="center"/>
    </xf>
    <xf numFmtId="0" fontId="3" fillId="10" borderId="50" xfId="0" applyFont="1" applyFill="1" applyBorder="1" applyAlignment="1">
      <alignment horizontal="center" vertical="center"/>
    </xf>
    <xf numFmtId="0" fontId="0" fillId="10" borderId="51" xfId="0" applyFill="1" applyBorder="1" applyAlignment="1">
      <alignment horizontal="center" vertical="center"/>
    </xf>
    <xf numFmtId="0" fontId="3" fillId="10" borderId="51" xfId="0" applyFont="1" applyFill="1" applyBorder="1" applyAlignment="1">
      <alignment horizontal="center" vertical="center"/>
    </xf>
    <xf numFmtId="2" fontId="0" fillId="10" borderId="51" xfId="0" applyNumberFormat="1" applyFill="1" applyBorder="1" applyAlignment="1">
      <alignment horizontal="center" vertical="center"/>
    </xf>
    <xf numFmtId="2" fontId="0" fillId="10" borderId="49" xfId="0" applyNumberFormat="1" applyFill="1" applyBorder="1" applyAlignment="1">
      <alignment horizontal="center" vertical="center"/>
    </xf>
    <xf numFmtId="0" fontId="4" fillId="9" borderId="33" xfId="0" applyFont="1" applyFill="1" applyBorder="1" applyAlignment="1">
      <alignment horizontal="center" vertical="center"/>
    </xf>
    <xf numFmtId="0" fontId="4" fillId="9" borderId="34" xfId="0" applyFont="1" applyFill="1" applyBorder="1" applyAlignment="1">
      <alignment horizontal="center" vertical="center"/>
    </xf>
    <xf numFmtId="0" fontId="4" fillId="9" borderId="18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/>
    </xf>
    <xf numFmtId="167" fontId="5" fillId="10" borderId="0" xfId="0" applyNumberFormat="1" applyFont="1" applyFill="1" applyAlignment="1">
      <alignment horizontal="center" vertical="center"/>
    </xf>
    <xf numFmtId="3" fontId="26" fillId="7" borderId="15" xfId="1" applyNumberFormat="1" applyFont="1" applyFill="1" applyBorder="1" applyAlignment="1">
      <alignment horizontal="center" vertical="center" wrapText="1"/>
    </xf>
    <xf numFmtId="3" fontId="26" fillId="7" borderId="16" xfId="1" applyNumberFormat="1" applyFont="1" applyFill="1" applyBorder="1" applyAlignment="1">
      <alignment horizontal="center" vertical="center" wrapText="1"/>
    </xf>
    <xf numFmtId="3" fontId="26" fillId="7" borderId="47" xfId="1" applyNumberFormat="1" applyFont="1" applyFill="1" applyBorder="1" applyAlignment="1">
      <alignment horizontal="center" vertical="center" wrapText="1"/>
    </xf>
    <xf numFmtId="3" fontId="26" fillId="7" borderId="12" xfId="1" applyNumberFormat="1" applyFont="1" applyFill="1" applyBorder="1" applyAlignment="1">
      <alignment horizontal="center" vertical="center" wrapText="1"/>
    </xf>
    <xf numFmtId="10" fontId="26" fillId="6" borderId="47" xfId="3" applyNumberFormat="1" applyFont="1" applyFill="1" applyBorder="1" applyAlignment="1">
      <alignment horizontal="center" vertical="center" wrapText="1"/>
    </xf>
    <xf numFmtId="169" fontId="26" fillId="7" borderId="16" xfId="1" applyFont="1" applyFill="1" applyBorder="1" applyAlignment="1">
      <alignment horizontal="center" vertical="center" wrapText="1"/>
    </xf>
    <xf numFmtId="169" fontId="26" fillId="6" borderId="17" xfId="1" applyFont="1" applyFill="1" applyBorder="1" applyAlignment="1">
      <alignment horizontal="center" vertical="center" wrapText="1"/>
    </xf>
    <xf numFmtId="169" fontId="26" fillId="6" borderId="13" xfId="1" applyFont="1" applyFill="1" applyBorder="1" applyAlignment="1">
      <alignment horizontal="center" vertical="center" wrapText="1"/>
    </xf>
    <xf numFmtId="0" fontId="4" fillId="10" borderId="31" xfId="0" applyFont="1" applyFill="1" applyBorder="1" applyAlignment="1">
      <alignment horizontal="center" vertical="center"/>
    </xf>
    <xf numFmtId="4" fontId="37" fillId="7" borderId="43" xfId="1" applyNumberFormat="1" applyFont="1" applyFill="1" applyBorder="1" applyAlignment="1">
      <alignment horizontal="center" vertical="center" wrapText="1"/>
    </xf>
    <xf numFmtId="0" fontId="20" fillId="14" borderId="15" xfId="3" applyFont="1" applyFill="1" applyBorder="1" applyAlignment="1">
      <alignment horizontal="center" vertical="center" wrapText="1"/>
    </xf>
    <xf numFmtId="0" fontId="20" fillId="14" borderId="16" xfId="3" applyFont="1" applyFill="1" applyBorder="1" applyAlignment="1">
      <alignment horizontal="center" vertical="center" wrapText="1"/>
    </xf>
    <xf numFmtId="0" fontId="20" fillId="14" borderId="46" xfId="3" applyFont="1" applyFill="1" applyBorder="1" applyAlignment="1">
      <alignment horizontal="center" vertical="center" wrapText="1"/>
    </xf>
    <xf numFmtId="0" fontId="20" fillId="14" borderId="42" xfId="3" applyFont="1" applyFill="1" applyBorder="1" applyAlignment="1">
      <alignment horizontal="center" vertical="center" wrapText="1"/>
    </xf>
    <xf numFmtId="4" fontId="26" fillId="7" borderId="15" xfId="1" applyNumberFormat="1" applyFont="1" applyFill="1" applyBorder="1" applyAlignment="1">
      <alignment horizontal="center" vertical="center" wrapText="1"/>
    </xf>
    <xf numFmtId="4" fontId="26" fillId="6" borderId="47" xfId="1" applyNumberFormat="1" applyFont="1" applyFill="1" applyBorder="1" applyAlignment="1">
      <alignment horizontal="center" vertical="center" wrapText="1"/>
    </xf>
    <xf numFmtId="4" fontId="26" fillId="6" borderId="12" xfId="1" applyNumberFormat="1" applyFont="1" applyFill="1" applyBorder="1" applyAlignment="1">
      <alignment horizontal="center" vertical="center" wrapText="1"/>
    </xf>
    <xf numFmtId="4" fontId="26" fillId="6" borderId="7" xfId="1" applyNumberFormat="1" applyFont="1" applyFill="1" applyBorder="1" applyAlignment="1">
      <alignment horizontal="center" vertical="center" wrapText="1"/>
    </xf>
    <xf numFmtId="4" fontId="26" fillId="6" borderId="44" xfId="1" applyNumberFormat="1" applyFont="1" applyFill="1" applyBorder="1" applyAlignment="1">
      <alignment horizontal="center" vertical="center" wrapText="1"/>
    </xf>
    <xf numFmtId="3" fontId="26" fillId="6" borderId="6" xfId="1" applyNumberFormat="1" applyFont="1" applyFill="1" applyBorder="1" applyAlignment="1">
      <alignment horizontal="center" vertical="center" wrapText="1"/>
    </xf>
    <xf numFmtId="3" fontId="26" fillId="6" borderId="12" xfId="1" applyNumberFormat="1" applyFont="1" applyFill="1" applyBorder="1" applyAlignment="1">
      <alignment horizontal="center" vertical="center" wrapText="1"/>
    </xf>
    <xf numFmtId="4" fontId="26" fillId="6" borderId="17" xfId="1" applyNumberFormat="1" applyFont="1" applyFill="1" applyBorder="1" applyAlignment="1">
      <alignment horizontal="center" vertical="center" wrapText="1"/>
    </xf>
    <xf numFmtId="4" fontId="26" fillId="6" borderId="13" xfId="1" applyNumberFormat="1" applyFont="1" applyFill="1" applyBorder="1" applyAlignment="1">
      <alignment horizontal="center" vertical="center" wrapText="1"/>
    </xf>
    <xf numFmtId="4" fontId="26" fillId="6" borderId="6" xfId="1" applyNumberFormat="1" applyFont="1" applyFill="1" applyBorder="1" applyAlignment="1">
      <alignment horizontal="center" vertical="center" wrapText="1"/>
    </xf>
    <xf numFmtId="169" fontId="26" fillId="6" borderId="12" xfId="1" applyFont="1" applyFill="1" applyBorder="1" applyAlignment="1">
      <alignment horizontal="center" vertical="center" wrapText="1"/>
    </xf>
    <xf numFmtId="168" fontId="26" fillId="6" borderId="47" xfId="2" applyFont="1" applyFill="1" applyBorder="1" applyAlignment="1">
      <alignment horizontal="center" vertical="center" wrapText="1"/>
    </xf>
    <xf numFmtId="168" fontId="26" fillId="6" borderId="12" xfId="2" applyFont="1" applyFill="1" applyBorder="1" applyAlignment="1">
      <alignment horizontal="center" vertical="center" wrapText="1"/>
    </xf>
    <xf numFmtId="0" fontId="20" fillId="14" borderId="42" xfId="3" applyFont="1" applyFill="1" applyBorder="1" applyAlignment="1">
      <alignment horizontal="center" vertical="center" wrapText="1"/>
    </xf>
    <xf numFmtId="168" fontId="26" fillId="6" borderId="17" xfId="2" applyFont="1" applyFill="1" applyBorder="1" applyAlignment="1">
      <alignment horizontal="center" vertical="center" wrapText="1"/>
    </xf>
    <xf numFmtId="168" fontId="26" fillId="6" borderId="13" xfId="2" applyFont="1" applyFill="1" applyBorder="1" applyAlignment="1">
      <alignment horizontal="center" vertical="center" wrapText="1"/>
    </xf>
    <xf numFmtId="0" fontId="4" fillId="15" borderId="16" xfId="3" applyFont="1" applyFill="1" applyBorder="1" applyAlignment="1">
      <alignment horizontal="center" vertical="center" wrapText="1"/>
    </xf>
    <xf numFmtId="168" fontId="26" fillId="6" borderId="6" xfId="2" applyFont="1" applyFill="1" applyBorder="1" applyAlignment="1">
      <alignment horizontal="center" vertical="center" wrapText="1"/>
    </xf>
    <xf numFmtId="169" fontId="14" fillId="6" borderId="47" xfId="1" applyFont="1" applyFill="1" applyBorder="1" applyAlignment="1">
      <alignment horizontal="center" vertical="center" wrapText="1"/>
    </xf>
    <xf numFmtId="169" fontId="17" fillId="7" borderId="15" xfId="1" applyNumberFormat="1" applyFont="1" applyFill="1" applyBorder="1" applyAlignment="1">
      <alignment horizontal="center" vertical="center" wrapText="1"/>
    </xf>
    <xf numFmtId="169" fontId="20" fillId="5" borderId="9" xfId="1" applyFont="1" applyFill="1" applyBorder="1" applyAlignment="1">
      <alignment horizontal="center" vertical="center" wrapText="1"/>
    </xf>
    <xf numFmtId="169" fontId="23" fillId="7" borderId="15" xfId="1" applyNumberFormat="1" applyFont="1" applyFill="1" applyBorder="1" applyAlignment="1">
      <alignment horizontal="center" vertical="center"/>
    </xf>
    <xf numFmtId="0" fontId="24" fillId="9" borderId="17" xfId="0" applyFont="1" applyFill="1" applyBorder="1" applyAlignment="1">
      <alignment horizontal="center" vertical="center" wrapText="1"/>
    </xf>
    <xf numFmtId="0" fontId="24" fillId="9" borderId="13" xfId="0" applyFont="1" applyFill="1" applyBorder="1" applyAlignment="1">
      <alignment horizontal="center" vertical="center" wrapText="1"/>
    </xf>
    <xf numFmtId="0" fontId="24" fillId="9" borderId="40" xfId="0" applyFont="1" applyFill="1" applyBorder="1" applyAlignment="1">
      <alignment horizontal="center" vertical="center" wrapText="1"/>
    </xf>
    <xf numFmtId="169" fontId="18" fillId="7" borderId="15" xfId="1" applyFont="1" applyFill="1" applyBorder="1" applyAlignment="1">
      <alignment horizontal="center" vertical="center" wrapText="1"/>
    </xf>
    <xf numFmtId="4" fontId="20" fillId="5" borderId="9" xfId="6" applyNumberFormat="1" applyFont="1" applyFill="1" applyBorder="1" applyAlignment="1">
      <alignment horizontal="center" vertical="center"/>
    </xf>
    <xf numFmtId="4" fontId="0" fillId="0" borderId="47" xfId="0" applyNumberFormat="1" applyBorder="1" applyAlignment="1"/>
    <xf numFmtId="4" fontId="0" fillId="0" borderId="47" xfId="0" applyNumberFormat="1" applyBorder="1"/>
    <xf numFmtId="4" fontId="3" fillId="0" borderId="47" xfId="0" applyNumberFormat="1" applyFont="1" applyBorder="1" applyAlignment="1"/>
    <xf numFmtId="9" fontId="22" fillId="6" borderId="47" xfId="6" applyFont="1" applyFill="1" applyBorder="1" applyAlignment="1">
      <alignment vertical="center" wrapText="1"/>
    </xf>
    <xf numFmtId="4" fontId="3" fillId="0" borderId="47" xfId="0" applyNumberFormat="1" applyFont="1" applyBorder="1"/>
    <xf numFmtId="0" fontId="22" fillId="6" borderId="47" xfId="0" applyFont="1" applyFill="1" applyBorder="1" applyAlignment="1">
      <alignment vertical="center" wrapText="1"/>
    </xf>
    <xf numFmtId="4" fontId="0" fillId="0" borderId="25" xfId="0" applyNumberFormat="1" applyFill="1" applyBorder="1"/>
    <xf numFmtId="4" fontId="0" fillId="0" borderId="24" xfId="0" applyNumberFormat="1" applyBorder="1"/>
    <xf numFmtId="0" fontId="22" fillId="6" borderId="47" xfId="0" applyFont="1" applyFill="1" applyBorder="1" applyAlignment="1">
      <alignment horizontal="left" vertical="center" wrapText="1"/>
    </xf>
    <xf numFmtId="9" fontId="22" fillId="6" borderId="47" xfId="6" applyFont="1" applyFill="1" applyBorder="1" applyAlignment="1">
      <alignment horizontal="left" vertical="center" wrapText="1"/>
    </xf>
    <xf numFmtId="0" fontId="13" fillId="0" borderId="0" xfId="0" applyFont="1" applyAlignment="1">
      <alignment horizontal="justify" vertical="center"/>
    </xf>
    <xf numFmtId="0" fontId="3" fillId="0" borderId="0" xfId="0" applyFont="1" applyAlignment="1"/>
    <xf numFmtId="4" fontId="0" fillId="0" borderId="47" xfId="0" applyNumberFormat="1" applyBorder="1" applyAlignment="1">
      <alignment horizontal="left"/>
    </xf>
    <xf numFmtId="4" fontId="0" fillId="0" borderId="47" xfId="0" applyNumberFormat="1" applyBorder="1" applyAlignment="1">
      <alignment horizontal="right"/>
    </xf>
    <xf numFmtId="0" fontId="0" fillId="0" borderId="0" xfId="0" applyAlignment="1">
      <alignment horizontal="left"/>
    </xf>
    <xf numFmtId="4" fontId="3" fillId="0" borderId="47" xfId="0" applyNumberFormat="1" applyFont="1" applyBorder="1" applyAlignment="1">
      <alignment horizontal="right"/>
    </xf>
    <xf numFmtId="9" fontId="22" fillId="0" borderId="47" xfId="6" applyFont="1" applyFill="1" applyBorder="1" applyAlignment="1">
      <alignment horizontal="left" vertical="center" wrapText="1"/>
    </xf>
    <xf numFmtId="0" fontId="22" fillId="0" borderId="47" xfId="0" applyFont="1" applyFill="1" applyBorder="1" applyAlignment="1">
      <alignment horizontal="left" vertical="center" wrapText="1"/>
    </xf>
    <xf numFmtId="0" fontId="22" fillId="13" borderId="47" xfId="0" applyFont="1" applyFill="1" applyBorder="1" applyAlignment="1">
      <alignment horizontal="left" vertical="center" wrapText="1"/>
    </xf>
    <xf numFmtId="4" fontId="0" fillId="13" borderId="47" xfId="0" applyNumberFormat="1" applyFill="1" applyBorder="1" applyAlignment="1">
      <alignment horizontal="right"/>
    </xf>
    <xf numFmtId="0" fontId="0" fillId="13" borderId="0" xfId="0" applyFill="1" applyAlignment="1">
      <alignment horizontal="left"/>
    </xf>
    <xf numFmtId="9" fontId="22" fillId="6" borderId="47" xfId="6" applyFont="1" applyFill="1" applyBorder="1" applyAlignment="1">
      <alignment horizontal="center" vertical="center" wrapText="1"/>
    </xf>
    <xf numFmtId="0" fontId="22" fillId="0" borderId="47" xfId="0" applyFont="1" applyFill="1" applyBorder="1" applyAlignment="1">
      <alignment horizontal="center" vertical="center" wrapText="1"/>
    </xf>
    <xf numFmtId="0" fontId="0" fillId="0" borderId="0" xfId="0" applyAlignment="1"/>
    <xf numFmtId="0" fontId="0" fillId="0" borderId="52" xfId="0" applyBorder="1"/>
    <xf numFmtId="0" fontId="0" fillId="0" borderId="52" xfId="0" pivotButton="1" applyBorder="1"/>
    <xf numFmtId="0" fontId="0" fillId="0" borderId="53" xfId="0" applyBorder="1"/>
    <xf numFmtId="0" fontId="0" fillId="0" borderId="54" xfId="0" applyBorder="1"/>
    <xf numFmtId="0" fontId="0" fillId="0" borderId="55" xfId="0" applyBorder="1"/>
    <xf numFmtId="0" fontId="0" fillId="0" borderId="56" xfId="0" applyBorder="1"/>
    <xf numFmtId="173" fontId="0" fillId="0" borderId="52" xfId="0" applyNumberFormat="1" applyBorder="1"/>
    <xf numFmtId="173" fontId="0" fillId="0" borderId="55" xfId="0" applyNumberFormat="1" applyBorder="1"/>
    <xf numFmtId="0" fontId="0" fillId="0" borderId="57" xfId="0" applyBorder="1"/>
    <xf numFmtId="173" fontId="0" fillId="0" borderId="57" xfId="0" applyNumberFormat="1" applyBorder="1"/>
    <xf numFmtId="0" fontId="0" fillId="0" borderId="59" xfId="0" applyBorder="1"/>
    <xf numFmtId="173" fontId="0" fillId="0" borderId="59" xfId="0" applyNumberFormat="1" applyBorder="1"/>
    <xf numFmtId="173" fontId="0" fillId="0" borderId="60" xfId="0" applyNumberFormat="1" applyBorder="1"/>
    <xf numFmtId="3" fontId="0" fillId="0" borderId="55" xfId="0" applyNumberFormat="1" applyBorder="1"/>
    <xf numFmtId="3" fontId="0" fillId="0" borderId="56" xfId="0" applyNumberFormat="1" applyBorder="1"/>
    <xf numFmtId="3" fontId="0" fillId="0" borderId="58" xfId="0" applyNumberFormat="1" applyBorder="1"/>
    <xf numFmtId="3" fontId="0" fillId="0" borderId="60" xfId="0" applyNumberFormat="1" applyBorder="1"/>
    <xf numFmtId="3" fontId="0" fillId="0" borderId="61" xfId="0" applyNumberFormat="1" applyBorder="1"/>
    <xf numFmtId="0" fontId="3" fillId="0" borderId="0" xfId="0" applyFont="1"/>
    <xf numFmtId="9" fontId="22" fillId="6" borderId="47" xfId="6" applyFont="1" applyFill="1" applyBorder="1" applyAlignment="1">
      <alignment horizontal="left" vertical="top" wrapText="1"/>
    </xf>
    <xf numFmtId="4" fontId="0" fillId="0" borderId="0" xfId="0" applyNumberFormat="1"/>
    <xf numFmtId="4" fontId="3" fillId="0" borderId="0" xfId="0" applyNumberFormat="1" applyFont="1"/>
    <xf numFmtId="9" fontId="22" fillId="6" borderId="6" xfId="6" applyFont="1" applyFill="1" applyBorder="1" applyAlignment="1">
      <alignment horizontal="left" vertical="center" wrapText="1"/>
    </xf>
    <xf numFmtId="4" fontId="0" fillId="0" borderId="0" xfId="0" applyNumberFormat="1" applyFont="1" applyAlignment="1"/>
    <xf numFmtId="0" fontId="4" fillId="9" borderId="6" xfId="0" applyFont="1" applyFill="1" applyBorder="1" applyAlignment="1">
      <alignment horizontal="center" vertical="center" wrapText="1"/>
    </xf>
    <xf numFmtId="0" fontId="4" fillId="10" borderId="0" xfId="0" applyFont="1" applyFill="1" applyAlignment="1">
      <alignment horizontal="center" vertical="center" wrapText="1"/>
    </xf>
    <xf numFmtId="0" fontId="4" fillId="9" borderId="47" xfId="0" applyFont="1" applyFill="1" applyBorder="1" applyAlignment="1">
      <alignment horizontal="center" vertical="center" wrapText="1"/>
    </xf>
    <xf numFmtId="0" fontId="0" fillId="10" borderId="0" xfId="0" applyFill="1" applyAlignment="1">
      <alignment wrapText="1"/>
    </xf>
    <xf numFmtId="0" fontId="0" fillId="0" borderId="6" xfId="0" applyBorder="1" applyAlignment="1">
      <alignment horizontal="center" vertical="center" wrapText="1"/>
    </xf>
    <xf numFmtId="169" fontId="28" fillId="10" borderId="6" xfId="1" applyFont="1" applyFill="1" applyBorder="1" applyAlignment="1">
      <alignment horizontal="center" vertical="center" wrapText="1"/>
    </xf>
    <xf numFmtId="0" fontId="0" fillId="10" borderId="6" xfId="0" applyFill="1" applyBorder="1" applyAlignment="1">
      <alignment horizontal="center" vertical="center" wrapText="1"/>
    </xf>
    <xf numFmtId="168" fontId="0" fillId="10" borderId="0" xfId="2" applyFont="1" applyFill="1" applyAlignment="1">
      <alignment horizontal="center" vertical="center" wrapText="1"/>
    </xf>
    <xf numFmtId="168" fontId="0" fillId="10" borderId="47" xfId="2" applyFont="1" applyFill="1" applyBorder="1" applyAlignment="1">
      <alignment horizontal="center" vertical="center" wrapText="1"/>
    </xf>
    <xf numFmtId="0" fontId="0" fillId="10" borderId="0" xfId="0" applyFill="1" applyAlignment="1">
      <alignment horizontal="center" vertical="center" wrapText="1"/>
    </xf>
    <xf numFmtId="9" fontId="0" fillId="10" borderId="0" xfId="6" applyFont="1" applyFill="1" applyAlignment="1">
      <alignment horizontal="center" vertical="center" wrapText="1"/>
    </xf>
    <xf numFmtId="169" fontId="0" fillId="10" borderId="0" xfId="1" applyFont="1" applyFill="1" applyAlignment="1">
      <alignment horizontal="center" vertical="center" wrapText="1"/>
    </xf>
    <xf numFmtId="169" fontId="0" fillId="10" borderId="47" xfId="1" applyFont="1" applyFill="1" applyBorder="1" applyAlignment="1">
      <alignment horizontal="center" vertical="center" wrapText="1"/>
    </xf>
    <xf numFmtId="169" fontId="0" fillId="10" borderId="0" xfId="1" applyFont="1" applyFill="1" applyAlignment="1">
      <alignment wrapText="1"/>
    </xf>
    <xf numFmtId="10" fontId="0" fillId="10" borderId="47" xfId="6" applyNumberFormat="1" applyFont="1" applyFill="1" applyBorder="1" applyAlignment="1">
      <alignment horizontal="center" vertical="center" wrapText="1"/>
    </xf>
    <xf numFmtId="4" fontId="39" fillId="0" borderId="0" xfId="0" applyNumberFormat="1" applyFont="1"/>
    <xf numFmtId="0" fontId="17" fillId="4" borderId="20" xfId="0" applyFont="1" applyFill="1" applyBorder="1" applyAlignment="1">
      <alignment horizontal="center" vertical="center"/>
    </xf>
    <xf numFmtId="0" fontId="14" fillId="6" borderId="62" xfId="0" applyNumberFormat="1" applyFont="1" applyFill="1" applyBorder="1" applyAlignment="1">
      <alignment horizontal="center" vertical="center" wrapText="1"/>
    </xf>
    <xf numFmtId="9" fontId="22" fillId="6" borderId="23" xfId="6" applyFont="1" applyFill="1" applyBorder="1" applyAlignment="1">
      <alignment horizontal="center" vertical="center" wrapText="1"/>
    </xf>
    <xf numFmtId="169" fontId="14" fillId="6" borderId="23" xfId="1" applyFont="1" applyFill="1" applyBorder="1" applyAlignment="1">
      <alignment horizontal="center" vertical="center" wrapText="1"/>
    </xf>
    <xf numFmtId="167" fontId="23" fillId="6" borderId="23" xfId="1" applyNumberFormat="1" applyFont="1" applyFill="1" applyBorder="1" applyAlignment="1">
      <alignment horizontal="center" vertical="center" wrapText="1"/>
    </xf>
    <xf numFmtId="169" fontId="4" fillId="7" borderId="23" xfId="1" applyFont="1" applyFill="1" applyBorder="1" applyAlignment="1">
      <alignment horizontal="center" vertical="center"/>
    </xf>
    <xf numFmtId="169" fontId="17" fillId="0" borderId="23" xfId="1" applyFont="1" applyFill="1" applyBorder="1" applyAlignment="1">
      <alignment horizontal="center" vertical="center" wrapText="1"/>
    </xf>
    <xf numFmtId="0" fontId="24" fillId="5" borderId="23" xfId="0" applyFont="1" applyFill="1" applyBorder="1" applyAlignment="1">
      <alignment horizontal="center" vertical="center" wrapText="1"/>
    </xf>
    <xf numFmtId="172" fontId="18" fillId="0" borderId="23" xfId="6" applyNumberFormat="1" applyFont="1" applyFill="1" applyBorder="1" applyAlignment="1">
      <alignment horizontal="center" vertical="center" wrapText="1"/>
    </xf>
    <xf numFmtId="169" fontId="4" fillId="12" borderId="63" xfId="1" applyFont="1" applyFill="1" applyBorder="1"/>
    <xf numFmtId="0" fontId="6" fillId="12" borderId="41" xfId="0" applyFont="1" applyFill="1" applyBorder="1"/>
    <xf numFmtId="172" fontId="23" fillId="6" borderId="23" xfId="6" applyNumberFormat="1" applyFont="1" applyFill="1" applyBorder="1" applyAlignment="1">
      <alignment horizontal="center" vertical="center" wrapText="1"/>
    </xf>
    <xf numFmtId="0" fontId="22" fillId="6" borderId="12" xfId="0" applyFont="1" applyFill="1" applyBorder="1" applyAlignment="1">
      <alignment horizontal="center" vertical="center" wrapText="1"/>
    </xf>
    <xf numFmtId="171" fontId="23" fillId="7" borderId="46" xfId="1" applyNumberFormat="1" applyFont="1" applyFill="1" applyBorder="1" applyAlignment="1">
      <alignment horizontal="center" vertical="center"/>
    </xf>
    <xf numFmtId="169" fontId="23" fillId="7" borderId="46" xfId="1" applyNumberFormat="1" applyFont="1" applyFill="1" applyBorder="1" applyAlignment="1">
      <alignment horizontal="center" vertical="center"/>
    </xf>
    <xf numFmtId="0" fontId="24" fillId="5" borderId="13" xfId="0" applyFont="1" applyFill="1" applyBorder="1" applyAlignment="1">
      <alignment horizontal="center" vertical="center" wrapText="1"/>
    </xf>
    <xf numFmtId="0" fontId="27" fillId="6" borderId="62" xfId="4" applyNumberFormat="1" applyFont="1" applyFill="1" applyBorder="1" applyAlignment="1">
      <alignment horizontal="center" vertical="center" wrapText="1"/>
    </xf>
    <xf numFmtId="169" fontId="27" fillId="0" borderId="23" xfId="1" applyFont="1" applyFill="1" applyBorder="1" applyAlignment="1">
      <alignment horizontal="center" vertical="center" wrapText="1"/>
    </xf>
    <xf numFmtId="10" fontId="26" fillId="6" borderId="23" xfId="3" applyNumberFormat="1" applyFont="1" applyFill="1" applyBorder="1" applyAlignment="1">
      <alignment horizontal="center" vertical="center" wrapText="1"/>
    </xf>
    <xf numFmtId="171" fontId="26" fillId="7" borderId="23" xfId="1" applyNumberFormat="1" applyFont="1" applyFill="1" applyBorder="1" applyAlignment="1">
      <alignment horizontal="center" vertical="center" wrapText="1"/>
    </xf>
    <xf numFmtId="169" fontId="26" fillId="7" borderId="23" xfId="3" applyNumberFormat="1" applyFont="1" applyFill="1" applyBorder="1" applyAlignment="1">
      <alignment horizontal="center" vertical="center" wrapText="1"/>
    </xf>
    <xf numFmtId="169" fontId="26" fillId="7" borderId="23" xfId="1" applyFont="1" applyFill="1" applyBorder="1" applyAlignment="1">
      <alignment horizontal="center" vertical="center" wrapText="1"/>
    </xf>
    <xf numFmtId="168" fontId="26" fillId="6" borderId="23" xfId="2" applyFont="1" applyFill="1" applyBorder="1" applyAlignment="1">
      <alignment horizontal="center" vertical="center" wrapText="1"/>
    </xf>
    <xf numFmtId="4" fontId="26" fillId="6" borderId="23" xfId="1" applyNumberFormat="1" applyFont="1" applyFill="1" applyBorder="1" applyAlignment="1">
      <alignment horizontal="center" vertical="center" wrapText="1"/>
    </xf>
    <xf numFmtId="3" fontId="26" fillId="6" borderId="23" xfId="1" applyNumberFormat="1" applyFont="1" applyFill="1" applyBorder="1" applyAlignment="1">
      <alignment horizontal="center" vertical="center" wrapText="1"/>
    </xf>
    <xf numFmtId="169" fontId="26" fillId="6" borderId="64" xfId="1" applyFont="1" applyFill="1" applyBorder="1" applyAlignment="1">
      <alignment horizontal="center" vertical="center" wrapText="1"/>
    </xf>
    <xf numFmtId="0" fontId="24" fillId="9" borderId="41" xfId="0" applyFont="1" applyFill="1" applyBorder="1" applyAlignment="1">
      <alignment horizontal="center" vertical="center" wrapText="1"/>
    </xf>
    <xf numFmtId="169" fontId="26" fillId="6" borderId="44" xfId="1" applyFont="1" applyFill="1" applyBorder="1" applyAlignment="1">
      <alignment horizontal="center" vertical="center" wrapText="1"/>
    </xf>
    <xf numFmtId="0" fontId="5" fillId="0" borderId="0" xfId="0" applyFont="1" applyFill="1" applyBorder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4" fillId="3" borderId="28" xfId="0" applyFont="1" applyFill="1" applyBorder="1" applyAlignment="1">
      <alignment horizontal="center"/>
    </xf>
    <xf numFmtId="0" fontId="4" fillId="3" borderId="29" xfId="0" applyFont="1" applyFill="1" applyBorder="1" applyAlignment="1">
      <alignment horizontal="center"/>
    </xf>
    <xf numFmtId="0" fontId="4" fillId="3" borderId="30" xfId="0" applyFont="1" applyFill="1" applyBorder="1" applyAlignment="1">
      <alignment horizontal="center"/>
    </xf>
    <xf numFmtId="9" fontId="4" fillId="3" borderId="5" xfId="6" applyFont="1" applyFill="1" applyBorder="1" applyAlignment="1">
      <alignment horizontal="center" vertical="center" wrapText="1"/>
    </xf>
    <xf numFmtId="9" fontId="4" fillId="3" borderId="8" xfId="6" applyFont="1" applyFill="1" applyBorder="1" applyAlignment="1">
      <alignment horizontal="center" vertical="center" wrapText="1"/>
    </xf>
    <xf numFmtId="9" fontId="4" fillId="3" borderId="3" xfId="6" applyFont="1" applyFill="1" applyBorder="1" applyAlignment="1">
      <alignment horizontal="center" vertical="center" wrapText="1"/>
    </xf>
    <xf numFmtId="9" fontId="4" fillId="3" borderId="9" xfId="6" applyFont="1" applyFill="1" applyBorder="1" applyAlignment="1">
      <alignment horizontal="center" vertical="center" wrapText="1"/>
    </xf>
    <xf numFmtId="9" fontId="4" fillId="3" borderId="19" xfId="6" quotePrefix="1" applyFont="1" applyFill="1" applyBorder="1" applyAlignment="1">
      <alignment horizontal="center" vertical="center"/>
    </xf>
    <xf numFmtId="9" fontId="4" fillId="3" borderId="31" xfId="6" quotePrefix="1" applyFont="1" applyFill="1" applyBorder="1" applyAlignment="1">
      <alignment horizontal="center" vertical="center"/>
    </xf>
    <xf numFmtId="0" fontId="4" fillId="3" borderId="21" xfId="0" quotePrefix="1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1" fontId="6" fillId="0" borderId="21" xfId="0" applyNumberFormat="1" applyFont="1" applyFill="1" applyBorder="1" applyAlignment="1">
      <alignment horizontal="center" vertical="center"/>
    </xf>
    <xf numFmtId="1" fontId="6" fillId="0" borderId="14" xfId="0" applyNumberFormat="1" applyFont="1" applyFill="1" applyBorder="1" applyAlignment="1">
      <alignment horizontal="center" vertical="center"/>
    </xf>
    <xf numFmtId="169" fontId="17" fillId="3" borderId="32" xfId="1" applyFont="1" applyFill="1" applyBorder="1" applyAlignment="1">
      <alignment horizontal="center" vertical="center" wrapText="1"/>
    </xf>
    <xf numFmtId="169" fontId="17" fillId="3" borderId="32" xfId="1" quotePrefix="1" applyFont="1" applyFill="1" applyBorder="1" applyAlignment="1">
      <alignment horizontal="center" vertical="center" wrapText="1"/>
    </xf>
    <xf numFmtId="0" fontId="17" fillId="3" borderId="32" xfId="0" applyFont="1" applyFill="1" applyBorder="1" applyAlignment="1">
      <alignment horizontal="center" vertical="center" wrapText="1"/>
    </xf>
    <xf numFmtId="0" fontId="17" fillId="3" borderId="32" xfId="0" quotePrefix="1" applyFont="1" applyFill="1" applyBorder="1" applyAlignment="1">
      <alignment horizontal="center" vertical="center" wrapText="1"/>
    </xf>
    <xf numFmtId="169" fontId="17" fillId="3" borderId="19" xfId="1" applyFont="1" applyFill="1" applyBorder="1" applyAlignment="1">
      <alignment horizontal="center" vertical="center" wrapText="1"/>
    </xf>
    <xf numFmtId="9" fontId="17" fillId="3" borderId="10" xfId="6" applyFont="1" applyFill="1" applyBorder="1" applyAlignment="1">
      <alignment vertical="center" wrapText="1"/>
    </xf>
    <xf numFmtId="9" fontId="17" fillId="3" borderId="19" xfId="6" applyFont="1" applyFill="1" applyBorder="1" applyAlignment="1">
      <alignment horizontal="center" vertical="center" wrapText="1"/>
    </xf>
    <xf numFmtId="9" fontId="17" fillId="3" borderId="32" xfId="6" applyFont="1" applyFill="1" applyBorder="1" applyAlignment="1">
      <alignment horizontal="center" vertical="center" wrapText="1"/>
    </xf>
    <xf numFmtId="0" fontId="17" fillId="3" borderId="19" xfId="0" applyFont="1" applyFill="1" applyBorder="1" applyAlignment="1">
      <alignment horizontal="center" vertical="center" wrapText="1"/>
    </xf>
    <xf numFmtId="0" fontId="4" fillId="10" borderId="33" xfId="0" applyFont="1" applyFill="1" applyBorder="1" applyAlignment="1">
      <alignment horizontal="center" vertical="center"/>
    </xf>
    <xf numFmtId="0" fontId="4" fillId="10" borderId="20" xfId="0" applyFont="1" applyFill="1" applyBorder="1" applyAlignment="1">
      <alignment horizontal="center" vertical="center"/>
    </xf>
    <xf numFmtId="0" fontId="4" fillId="10" borderId="34" xfId="0" applyFont="1" applyFill="1" applyBorder="1" applyAlignment="1">
      <alignment horizontal="center" vertical="center"/>
    </xf>
    <xf numFmtId="167" fontId="17" fillId="4" borderId="33" xfId="0" applyNumberFormat="1" applyFont="1" applyFill="1" applyBorder="1" applyAlignment="1">
      <alignment horizontal="center" vertical="center" wrapText="1"/>
    </xf>
    <xf numFmtId="167" fontId="17" fillId="4" borderId="34" xfId="0" applyNumberFormat="1" applyFont="1" applyFill="1" applyBorder="1" applyAlignment="1">
      <alignment horizontal="center" vertical="center" wrapText="1"/>
    </xf>
    <xf numFmtId="0" fontId="20" fillId="3" borderId="5" xfId="0" quotePrefix="1" applyFont="1" applyFill="1" applyBorder="1" applyAlignment="1">
      <alignment horizontal="center" vertical="center" wrapText="1"/>
    </xf>
    <xf numFmtId="0" fontId="20" fillId="3" borderId="8" xfId="0" quotePrefix="1" applyFont="1" applyFill="1" applyBorder="1" applyAlignment="1">
      <alignment horizontal="center" vertical="center" wrapText="1"/>
    </xf>
    <xf numFmtId="0" fontId="17" fillId="3" borderId="31" xfId="0" applyFont="1" applyFill="1" applyBorder="1" applyAlignment="1">
      <alignment horizontal="center" vertical="center" wrapText="1"/>
    </xf>
    <xf numFmtId="0" fontId="17" fillId="3" borderId="28" xfId="0" applyFont="1" applyFill="1" applyBorder="1" applyAlignment="1">
      <alignment horizontal="center" vertical="center" wrapText="1"/>
    </xf>
    <xf numFmtId="0" fontId="17" fillId="3" borderId="30" xfId="0" applyFont="1" applyFill="1" applyBorder="1" applyAlignment="1">
      <alignment horizontal="center" vertical="center" wrapText="1"/>
    </xf>
    <xf numFmtId="0" fontId="20" fillId="3" borderId="19" xfId="0" applyFont="1" applyFill="1" applyBorder="1" applyAlignment="1">
      <alignment horizontal="center" vertical="center" textRotation="90" wrapText="1"/>
    </xf>
    <xf numFmtId="0" fontId="0" fillId="0" borderId="32" xfId="0" applyBorder="1" applyAlignment="1">
      <alignment textRotation="90"/>
    </xf>
    <xf numFmtId="0" fontId="17" fillId="13" borderId="19" xfId="0" applyFont="1" applyFill="1" applyBorder="1" applyAlignment="1">
      <alignment horizontal="center" vertical="center" textRotation="90"/>
    </xf>
    <xf numFmtId="0" fontId="17" fillId="13" borderId="32" xfId="0" applyFont="1" applyFill="1" applyBorder="1" applyAlignment="1">
      <alignment horizontal="center" vertical="center" textRotation="90"/>
    </xf>
    <xf numFmtId="0" fontId="17" fillId="13" borderId="31" xfId="0" applyFont="1" applyFill="1" applyBorder="1" applyAlignment="1">
      <alignment horizontal="center" vertical="center" textRotation="90"/>
    </xf>
    <xf numFmtId="167" fontId="17" fillId="13" borderId="19" xfId="0" applyNumberFormat="1" applyFont="1" applyFill="1" applyBorder="1" applyAlignment="1">
      <alignment horizontal="center" vertical="center" wrapText="1"/>
    </xf>
    <xf numFmtId="167" fontId="17" fillId="13" borderId="32" xfId="0" applyNumberFormat="1" applyFont="1" applyFill="1" applyBorder="1" applyAlignment="1">
      <alignment horizontal="center" vertical="center" wrapText="1"/>
    </xf>
    <xf numFmtId="167" fontId="17" fillId="13" borderId="31" xfId="0" applyNumberFormat="1" applyFont="1" applyFill="1" applyBorder="1" applyAlignment="1">
      <alignment horizontal="center" vertical="center" wrapText="1"/>
    </xf>
    <xf numFmtId="9" fontId="17" fillId="8" borderId="19" xfId="6" applyFont="1" applyFill="1" applyBorder="1" applyAlignment="1">
      <alignment horizontal="center" vertical="center" wrapText="1"/>
    </xf>
    <xf numFmtId="9" fontId="17" fillId="8" borderId="32" xfId="6" applyFont="1" applyFill="1" applyBorder="1" applyAlignment="1">
      <alignment horizontal="center" vertical="center" wrapText="1"/>
    </xf>
    <xf numFmtId="0" fontId="0" fillId="10" borderId="0" xfId="0" applyFill="1" applyAlignment="1">
      <alignment horizontal="center"/>
    </xf>
    <xf numFmtId="0" fontId="7" fillId="6" borderId="0" xfId="0" applyFont="1" applyFill="1" applyAlignment="1">
      <alignment horizontal="center"/>
    </xf>
    <xf numFmtId="0" fontId="32" fillId="6" borderId="0" xfId="0" applyFont="1" applyFill="1" applyAlignment="1">
      <alignment horizontal="center"/>
    </xf>
    <xf numFmtId="0" fontId="33" fillId="6" borderId="0" xfId="0" applyFont="1" applyFill="1" applyAlignment="1">
      <alignment horizontal="center"/>
    </xf>
    <xf numFmtId="167" fontId="17" fillId="3" borderId="32" xfId="0" applyNumberFormat="1" applyFont="1" applyFill="1" applyBorder="1" applyAlignment="1">
      <alignment horizontal="center" vertical="center" wrapText="1"/>
    </xf>
    <xf numFmtId="0" fontId="17" fillId="3" borderId="19" xfId="0" applyFont="1" applyFill="1" applyBorder="1" applyAlignment="1">
      <alignment horizontal="center" vertical="center" textRotation="90"/>
    </xf>
    <xf numFmtId="0" fontId="17" fillId="3" borderId="32" xfId="0" applyFont="1" applyFill="1" applyBorder="1" applyAlignment="1">
      <alignment horizontal="center" vertical="center" textRotation="90"/>
    </xf>
    <xf numFmtId="0" fontId="17" fillId="3" borderId="31" xfId="0" applyFont="1" applyFill="1" applyBorder="1" applyAlignment="1">
      <alignment horizontal="center" vertical="center" textRotation="90"/>
    </xf>
    <xf numFmtId="0" fontId="17" fillId="3" borderId="8" xfId="0" applyFont="1" applyFill="1" applyBorder="1" applyAlignment="1">
      <alignment horizontal="center" vertical="center" textRotation="90"/>
    </xf>
    <xf numFmtId="0" fontId="17" fillId="3" borderId="10" xfId="0" applyFont="1" applyFill="1" applyBorder="1" applyAlignment="1">
      <alignment horizontal="center" vertical="center" textRotation="90"/>
    </xf>
    <xf numFmtId="0" fontId="17" fillId="3" borderId="9" xfId="0" applyFont="1" applyFill="1" applyBorder="1" applyAlignment="1">
      <alignment horizontal="center" vertical="center" textRotation="90"/>
    </xf>
    <xf numFmtId="9" fontId="17" fillId="3" borderId="10" xfId="6" applyFont="1" applyFill="1" applyBorder="1" applyAlignment="1">
      <alignment horizontal="center" vertical="center" wrapText="1"/>
    </xf>
    <xf numFmtId="0" fontId="19" fillId="4" borderId="33" xfId="0" applyFont="1" applyFill="1" applyBorder="1" applyAlignment="1">
      <alignment horizontal="center" vertical="center" wrapText="1"/>
    </xf>
    <xf numFmtId="0" fontId="19" fillId="4" borderId="20" xfId="0" applyFont="1" applyFill="1" applyBorder="1" applyAlignment="1">
      <alignment horizontal="center" vertical="center" wrapText="1"/>
    </xf>
    <xf numFmtId="0" fontId="19" fillId="4" borderId="34" xfId="0" applyFont="1" applyFill="1" applyBorder="1" applyAlignment="1">
      <alignment horizontal="center" vertical="center" wrapText="1"/>
    </xf>
    <xf numFmtId="0" fontId="17" fillId="4" borderId="33" xfId="0" applyFont="1" applyFill="1" applyBorder="1" applyAlignment="1">
      <alignment horizontal="center" vertical="center"/>
    </xf>
    <xf numFmtId="0" fontId="17" fillId="4" borderId="20" xfId="0" applyFont="1" applyFill="1" applyBorder="1" applyAlignment="1">
      <alignment horizontal="center" vertical="center"/>
    </xf>
    <xf numFmtId="0" fontId="7" fillId="6" borderId="0" xfId="0" applyFont="1" applyFill="1" applyBorder="1" applyAlignment="1">
      <alignment horizontal="center" vertical="center"/>
    </xf>
    <xf numFmtId="0" fontId="20" fillId="14" borderId="43" xfId="3" applyFont="1" applyFill="1" applyBorder="1" applyAlignment="1">
      <alignment horizontal="center" vertical="center" wrapText="1"/>
    </xf>
    <xf numFmtId="0" fontId="20" fillId="14" borderId="30" xfId="3" applyFont="1" applyFill="1" applyBorder="1" applyAlignment="1">
      <alignment horizontal="center" vertical="center" wrapText="1"/>
    </xf>
    <xf numFmtId="0" fontId="31" fillId="10" borderId="0" xfId="0" applyNumberFormat="1" applyFont="1" applyFill="1" applyBorder="1" applyAlignment="1">
      <alignment horizontal="center" vertical="center" wrapText="1"/>
    </xf>
    <xf numFmtId="0" fontId="34" fillId="10" borderId="0" xfId="0" applyNumberFormat="1" applyFont="1" applyFill="1" applyBorder="1" applyAlignment="1">
      <alignment horizontal="center" vertical="center" wrapText="1"/>
    </xf>
    <xf numFmtId="0" fontId="4" fillId="10" borderId="0" xfId="0" applyNumberFormat="1" applyFont="1" applyFill="1" applyBorder="1" applyAlignment="1">
      <alignment horizontal="center" vertical="center" wrapText="1"/>
    </xf>
    <xf numFmtId="0" fontId="20" fillId="14" borderId="35" xfId="4" applyFont="1" applyFill="1" applyBorder="1" applyAlignment="1">
      <alignment horizontal="center" vertical="center" textRotation="90" wrapText="1"/>
    </xf>
    <xf numFmtId="0" fontId="20" fillId="14" borderId="45" xfId="4" applyFont="1" applyFill="1" applyBorder="1" applyAlignment="1">
      <alignment horizontal="center" vertical="center" textRotation="90" wrapText="1"/>
    </xf>
    <xf numFmtId="9" fontId="17" fillId="14" borderId="22" xfId="6" applyFont="1" applyFill="1" applyBorder="1" applyAlignment="1">
      <alignment horizontal="center" vertical="center" wrapText="1"/>
    </xf>
    <xf numFmtId="9" fontId="17" fillId="14" borderId="46" xfId="6" applyFont="1" applyFill="1" applyBorder="1" applyAlignment="1">
      <alignment horizontal="center" vertical="center" wrapText="1"/>
    </xf>
    <xf numFmtId="4" fontId="20" fillId="14" borderId="22" xfId="3" applyNumberFormat="1" applyFont="1" applyFill="1" applyBorder="1" applyAlignment="1">
      <alignment horizontal="center" vertical="center" wrapText="1"/>
    </xf>
    <xf numFmtId="4" fontId="20" fillId="14" borderId="46" xfId="3" applyNumberFormat="1" applyFont="1" applyFill="1" applyBorder="1" applyAlignment="1">
      <alignment horizontal="center" vertical="center" wrapText="1"/>
    </xf>
    <xf numFmtId="0" fontId="20" fillId="14" borderId="22" xfId="3" applyFont="1" applyFill="1" applyBorder="1" applyAlignment="1">
      <alignment horizontal="center" vertical="center" wrapText="1"/>
    </xf>
    <xf numFmtId="0" fontId="20" fillId="14" borderId="46" xfId="3" applyFont="1" applyFill="1" applyBorder="1" applyAlignment="1">
      <alignment horizontal="center" vertical="center" wrapText="1"/>
    </xf>
    <xf numFmtId="0" fontId="20" fillId="14" borderId="40" xfId="3" applyFont="1" applyFill="1" applyBorder="1" applyAlignment="1">
      <alignment horizontal="center" vertical="center" wrapText="1"/>
    </xf>
    <xf numFmtId="0" fontId="20" fillId="14" borderId="42" xfId="3" applyFont="1" applyFill="1" applyBorder="1" applyAlignment="1">
      <alignment horizontal="center" vertical="center" wrapText="1"/>
    </xf>
    <xf numFmtId="0" fontId="3" fillId="10" borderId="0" xfId="0" applyFont="1" applyFill="1" applyAlignment="1">
      <alignment horizontal="left" vertical="top"/>
    </xf>
    <xf numFmtId="0" fontId="4" fillId="15" borderId="27" xfId="3" applyFont="1" applyFill="1" applyBorder="1" applyAlignment="1">
      <alignment horizontal="center" vertical="center" wrapText="1"/>
    </xf>
    <xf numFmtId="0" fontId="4" fillId="15" borderId="42" xfId="3" applyFont="1" applyFill="1" applyBorder="1" applyAlignment="1">
      <alignment horizontal="center" vertical="center" wrapText="1"/>
    </xf>
    <xf numFmtId="4" fontId="20" fillId="3" borderId="24" xfId="3" applyNumberFormat="1" applyFont="1" applyFill="1" applyBorder="1" applyAlignment="1">
      <alignment horizontal="center" vertical="center" wrapText="1"/>
    </xf>
    <xf numFmtId="4" fontId="20" fillId="3" borderId="46" xfId="3" applyNumberFormat="1" applyFont="1" applyFill="1" applyBorder="1" applyAlignment="1">
      <alignment horizontal="center" vertical="center" wrapText="1"/>
    </xf>
    <xf numFmtId="0" fontId="20" fillId="11" borderId="24" xfId="3" applyFont="1" applyFill="1" applyBorder="1" applyAlignment="1">
      <alignment horizontal="center" vertical="center" wrapText="1"/>
    </xf>
    <xf numFmtId="0" fontId="20" fillId="11" borderId="46" xfId="3" applyFont="1" applyFill="1" applyBorder="1" applyAlignment="1">
      <alignment horizontal="center" vertical="center" wrapText="1"/>
    </xf>
    <xf numFmtId="0" fontId="20" fillId="3" borderId="24" xfId="3" applyFont="1" applyFill="1" applyBorder="1" applyAlignment="1">
      <alignment horizontal="center" vertical="center" wrapText="1"/>
    </xf>
    <xf numFmtId="0" fontId="20" fillId="3" borderId="46" xfId="3" applyFont="1" applyFill="1" applyBorder="1" applyAlignment="1">
      <alignment horizontal="center" vertical="center" wrapText="1"/>
    </xf>
    <xf numFmtId="0" fontId="20" fillId="3" borderId="35" xfId="4" applyFont="1" applyFill="1" applyBorder="1" applyAlignment="1">
      <alignment horizontal="center" vertical="center" textRotation="90" wrapText="1"/>
    </xf>
    <xf numFmtId="0" fontId="20" fillId="3" borderId="36" xfId="4" applyFont="1" applyFill="1" applyBorder="1" applyAlignment="1">
      <alignment horizontal="center" vertical="center" textRotation="90" wrapText="1"/>
    </xf>
    <xf numFmtId="0" fontId="20" fillId="3" borderId="45" xfId="4" applyFont="1" applyFill="1" applyBorder="1" applyAlignment="1">
      <alignment horizontal="center" vertical="center" textRotation="90" wrapText="1"/>
    </xf>
    <xf numFmtId="9" fontId="17" fillId="3" borderId="22" xfId="6" applyFont="1" applyFill="1" applyBorder="1" applyAlignment="1">
      <alignment horizontal="center" vertical="center" wrapText="1"/>
    </xf>
    <xf numFmtId="9" fontId="17" fillId="3" borderId="25" xfId="6" applyFont="1" applyFill="1" applyBorder="1" applyAlignment="1">
      <alignment horizontal="center" vertical="center" wrapText="1"/>
    </xf>
    <xf numFmtId="9" fontId="17" fillId="3" borderId="46" xfId="6" applyFont="1" applyFill="1" applyBorder="1" applyAlignment="1">
      <alignment horizontal="center" vertical="center" wrapText="1"/>
    </xf>
    <xf numFmtId="171" fontId="17" fillId="3" borderId="22" xfId="1" applyNumberFormat="1" applyFont="1" applyFill="1" applyBorder="1" applyAlignment="1">
      <alignment horizontal="center" vertical="center" textRotation="90"/>
    </xf>
    <xf numFmtId="171" fontId="17" fillId="3" borderId="25" xfId="1" applyNumberFormat="1" applyFont="1" applyFill="1" applyBorder="1" applyAlignment="1">
      <alignment horizontal="center" vertical="center" textRotation="90"/>
    </xf>
    <xf numFmtId="171" fontId="17" fillId="3" borderId="46" xfId="1" applyNumberFormat="1" applyFont="1" applyFill="1" applyBorder="1" applyAlignment="1">
      <alignment horizontal="center" vertical="center" textRotation="90"/>
    </xf>
    <xf numFmtId="0" fontId="17" fillId="3" borderId="22" xfId="0" applyFont="1" applyFill="1" applyBorder="1" applyAlignment="1">
      <alignment horizontal="center" vertical="center" textRotation="90" wrapText="1"/>
    </xf>
    <xf numFmtId="0" fontId="17" fillId="3" borderId="25" xfId="0" applyFont="1" applyFill="1" applyBorder="1" applyAlignment="1">
      <alignment horizontal="center" vertical="center" textRotation="90" wrapText="1"/>
    </xf>
    <xf numFmtId="0" fontId="17" fillId="3" borderId="46" xfId="0" applyFont="1" applyFill="1" applyBorder="1" applyAlignment="1">
      <alignment horizontal="center" vertical="center" textRotation="90" wrapText="1"/>
    </xf>
  </cellXfs>
  <cellStyles count="33">
    <cellStyle name="Millares" xfId="1" builtinId="3"/>
    <cellStyle name="Millares 12" xfId="30" xr:uid="{00000000-0005-0000-0000-000001000000}"/>
    <cellStyle name="Millares 16 8" xfId="21" xr:uid="{00000000-0005-0000-0000-000002000000}"/>
    <cellStyle name="Millares 2" xfId="11" xr:uid="{00000000-0005-0000-0000-000003000000}"/>
    <cellStyle name="Millares 2 2" xfId="14" xr:uid="{00000000-0005-0000-0000-000004000000}"/>
    <cellStyle name="Millares 3" xfId="13" xr:uid="{00000000-0005-0000-0000-000005000000}"/>
    <cellStyle name="Millares 4" xfId="28" xr:uid="{00000000-0005-0000-0000-000006000000}"/>
    <cellStyle name="Millares 43" xfId="24" xr:uid="{00000000-0005-0000-0000-000007000000}"/>
    <cellStyle name="Millares 5" xfId="22" xr:uid="{00000000-0005-0000-0000-000008000000}"/>
    <cellStyle name="Millares 66" xfId="23" xr:uid="{00000000-0005-0000-0000-000009000000}"/>
    <cellStyle name="Moneda" xfId="2" builtinId="4"/>
    <cellStyle name="Moneda 2" xfId="9" xr:uid="{00000000-0005-0000-0000-00000B000000}"/>
    <cellStyle name="Normal" xfId="0" builtinId="0"/>
    <cellStyle name="Normal 10" xfId="20" xr:uid="{00000000-0005-0000-0000-00000D000000}"/>
    <cellStyle name="Normal 11 45 9" xfId="27" xr:uid="{00000000-0005-0000-0000-00000E000000}"/>
    <cellStyle name="Normal 12 2" xfId="26" xr:uid="{00000000-0005-0000-0000-00000F000000}"/>
    <cellStyle name="Normal 2" xfId="7" xr:uid="{00000000-0005-0000-0000-000010000000}"/>
    <cellStyle name="Normal 2 2" xfId="3" xr:uid="{00000000-0005-0000-0000-000011000000}"/>
    <cellStyle name="Normal 3" xfId="4" xr:uid="{00000000-0005-0000-0000-000012000000}"/>
    <cellStyle name="Normal 4" xfId="8" xr:uid="{00000000-0005-0000-0000-000013000000}"/>
    <cellStyle name="Normal 4 3 2" xfId="16" xr:uid="{00000000-0005-0000-0000-000014000000}"/>
    <cellStyle name="Normal 5" xfId="10" xr:uid="{00000000-0005-0000-0000-000015000000}"/>
    <cellStyle name="Normal 68 2 2" xfId="31" xr:uid="{00000000-0005-0000-0000-000016000000}"/>
    <cellStyle name="Normal 73" xfId="18" xr:uid="{00000000-0005-0000-0000-000017000000}"/>
    <cellStyle name="Normal_Los 100 Grupos Tramos - 4 ABR 2005" xfId="5" xr:uid="{00000000-0005-0000-0000-000018000000}"/>
    <cellStyle name="Porcentaje" xfId="6" builtinId="5"/>
    <cellStyle name="Porcentaje 2" xfId="19" xr:uid="{00000000-0005-0000-0000-00001A000000}"/>
    <cellStyle name="Porcentaje 3" xfId="15" xr:uid="{00000000-0005-0000-0000-00001B000000}"/>
    <cellStyle name="Porcentaje 3 2 2" xfId="17" xr:uid="{00000000-0005-0000-0000-00001C000000}"/>
    <cellStyle name="Porcentaje 8" xfId="25" xr:uid="{00000000-0005-0000-0000-00001D000000}"/>
    <cellStyle name="Porcentaje 8 2" xfId="29" xr:uid="{00000000-0005-0000-0000-00001E000000}"/>
    <cellStyle name="Porcentual 2" xfId="12" xr:uid="{00000000-0005-0000-0000-00001F000000}"/>
    <cellStyle name="Porcentual 2 2" xfId="32" xr:uid="{00000000-0005-0000-0000-000020000000}"/>
  </cellStyles>
  <dxfs count="375"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58" name="Button 34" descr="No. Propuestas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5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21505" name="Button 1" hidden="1">
              <a:extLst>
                <a:ext uri="{63B3BB69-23CF-44E3-9099-C40C66FF867C}">
                  <a14:compatExt spid="_x0000_s21505"/>
                </a:ext>
                <a:ext uri="{FF2B5EF4-FFF2-40B4-BE49-F238E27FC236}">
                  <a16:creationId xmlns:a16="http://schemas.microsoft.com/office/drawing/2014/main" id="{00000000-0008-0000-0600-000001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7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30721" name="Button 1" hidden="1">
              <a:extLst>
                <a:ext uri="{63B3BB69-23CF-44E3-9099-C40C66FF867C}">
                  <a14:compatExt spid="_x0000_s30721"/>
                </a:ext>
                <a:ext uri="{FF2B5EF4-FFF2-40B4-BE49-F238E27FC236}">
                  <a16:creationId xmlns:a16="http://schemas.microsoft.com/office/drawing/2014/main" id="{00000000-0008-0000-0800-000001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32769" name="Button 1" hidden="1">
              <a:extLst>
                <a:ext uri="{63B3BB69-23CF-44E3-9099-C40C66FF867C}">
                  <a14:compatExt spid="_x0000_s32769"/>
                </a:ext>
                <a:ext uri="{FF2B5EF4-FFF2-40B4-BE49-F238E27FC236}">
                  <a16:creationId xmlns:a16="http://schemas.microsoft.com/office/drawing/2014/main" id="{00000000-0008-0000-0900-0000018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34817" name="Button 1" hidden="1">
              <a:extLst>
                <a:ext uri="{63B3BB69-23CF-44E3-9099-C40C66FF867C}">
                  <a14:compatExt spid="_x0000_s34817"/>
                </a:ext>
                <a:ext uri="{FF2B5EF4-FFF2-40B4-BE49-F238E27FC236}">
                  <a16:creationId xmlns:a16="http://schemas.microsoft.com/office/drawing/2014/main" id="{00000000-0008-0000-0A00-000001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8202" name="Button 10" hidden="1">
              <a:extLst>
                <a:ext uri="{63B3BB69-23CF-44E3-9099-C40C66FF867C}">
                  <a14:compatExt spid="_x0000_s8202"/>
                </a:ext>
                <a:ext uri="{FF2B5EF4-FFF2-40B4-BE49-F238E27FC236}">
                  <a16:creationId xmlns:a16="http://schemas.microsoft.com/office/drawing/2014/main" id="{00000000-0008-0000-0B00-00000A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aria Teresa Gallego Palacio" refreshedDate="42299.80237824074" createdVersion="5" refreshedVersion="5" minRefreshableVersion="3" recordCount="412" xr:uid="{00000000-000A-0000-FFFF-FFFF00000000}">
  <cacheSource type="worksheet">
    <worksheetSource ref="A1:G413" sheet="BD"/>
  </cacheSource>
  <cacheFields count="7">
    <cacheField name="PROPONENTE" numFmtId="0">
      <sharedItems containsBlank="1" count="368">
        <m/>
        <s v="CESAR AUGUSTO TABARES RAMIREZ"/>
        <s v="DAMACA INGENIERIA SAS"/>
        <s v="JOHAN CAMILO SAENZ ROJAS"/>
        <s v="JOSE VICENTE MARIÑO BECERRA"/>
        <s v="INGEOBRAS INTEGRALES SAS"/>
        <s v="PEDRO ALFONSO VARGAS"/>
        <s v="LUISA FERNANDA OCAMPO REY"/>
        <s v="MILTON HUGO GARZON HERNANDEZ "/>
        <s v="CONSTRUCCIONES Y MONTAJES DE LOS ANDES SOCIEDAD POR ACCIONES SIMPLIFICADA"/>
        <s v="ISRAEL BERNAL GUERRERO"/>
        <s v="CIDEC INGENERIA SAS"/>
        <s v="TECCIVIL SAS"/>
        <s v="SM INGENIEROS SAS"/>
        <s v="SAUL HERNANDO MILLAN GONZALEZ"/>
        <s v="CASTOR ARMANDO VALENCIA VALENCIA"/>
        <s v="GOMEZ INGENIEROS CONSTRUCTORES SAS"/>
        <s v="CONSTRUVIAL SAS"/>
        <s v="GABRIEL ROBERTO PATIÑO TELLEZ"/>
        <s v="DISEÑOS Y CONSTRUCCIONES SA"/>
        <s v="PROCOPAL S.A"/>
        <s v="SYC LIMITADA-SERVICIOS INGENIERIA Y CONSTRUCCIONES"/>
        <s v="OTONIEL SARMIENTO MELO"/>
        <s v="ARMANDO MARTINEZ SPADAFORA"/>
        <s v="LUIS ALBERTO COBA CHOLE"/>
        <s v="JMV INGENIEROS SAS"/>
        <s v="ACERARQ SAS"/>
        <s v="FERNANDO AUGUSTO RAMIREZ RESTREPO"/>
        <s v="JUAN CAMILO RAMIREZ BARON"/>
        <s v="JORGE EIVAR TULCAN LOSADA"/>
        <s v="RAMON IVAN ARENAS CASTILLO"/>
        <s v="ARTURO JURADO ALVARAN"/>
        <s v="JUAN CARLOS RAMIREZ OSPINA"/>
        <s v="LEONARDO JALIL DAVID ORDOSGOITIA"/>
        <s v="MAGALI REYES PATIÑO"/>
        <s v="LEONARDO IVAN RAMIREZ BERNAL"/>
        <s v="HIDRAMA SAS"/>
        <s v="CUMBRE INGENIERIA SAS"/>
        <s v="EISENHOWER ZAMORA GONZALEZ"/>
        <s v="AVINCO LTDA"/>
        <s v="PAVIMENTACIONES MORALES SL SUCURSAL COLOMBIA"/>
        <s v="GLOBAL VALOR S.A"/>
        <s v="MEDINA  Y RIVERA INGENIEROS ASOCIADOS SAS"/>
        <s v="ORLANDO RIVERA MORA"/>
        <s v="URIEL EDGARDO HERNANDEZ GAITAN"/>
        <s v="JUAN CARLOS BRICEÑO CHAVES"/>
        <s v="ARQUITURBANZIZA SAS"/>
        <s v="PSI &amp; COMPAÑÍA SAS"/>
        <s v="CONSASU LTDA"/>
        <s v="OCTAVIO  AUGUSTO MORALES AYALA"/>
        <s v="RAFAEL HUMBERTO ALVAREZ BUSTILLO"/>
        <s v="ERNESTO JOSE CUERVO MADERO"/>
        <s v="FREDY ISAAC MEJIA JIMENEZ"/>
        <s v="PATRICIA HELENA MEJIA VERGEL"/>
        <s v="MAGDA CELENA MONTAÑEZ FUENTES"/>
        <s v="CONSTRUSOCIAL SAS"/>
        <s v="FERNANDO HERRERA RIVERA"/>
        <s v="JORGE DIAZ MURCIA"/>
        <s v="PAVIMENTOS EL DORADO SAS"/>
        <s v="EDUARDO CABRERA DUSSAN"/>
        <s v="INGEOCHO SAS"/>
        <s v="IDESTRA SA"/>
        <s v="INFERCAL SA"/>
        <s v="MANTENIMIENTO VIALES LTDA"/>
        <s v="FIDEL DIAZ RESTREPO"/>
        <s v="KMC SAS"/>
        <s v="JUAN CAMILO SILVA RODRIGUEZ"/>
        <s v="FERNANDO JIMENEZ ROA"/>
        <s v="PROFESIONALES ASOCIADOS LTDA"/>
        <s v="GTC INGENIERIA SAS"/>
        <s v="JUAN CARLOS LEDESMA GUTIERREZ"/>
        <s v="AURELIO GUTIRREZ CASTILLO"/>
        <s v="TIGOF Y CIA LTDA INGENIEROS CONTRATISTAS"/>
        <s v="INVIC INGENIEROS CONTRATISTAS S.A"/>
        <s v="DOBLE R ARQUITECTURA E INGENIERIA SAS"/>
        <s v="JAIRO ARIAS MENDEZ"/>
        <s v="VICPAR SA"/>
        <s v="P&amp;J CONSULTORIA Y CONSTRUCCIONES LTDA"/>
        <s v="JULIAN ANDRES COGOLLO BRICEÑO"/>
        <s v="GYP INGENIERIA SAS"/>
        <s v="INVERSIONES GABRA SAS"/>
        <s v="OFICINA DE DISEÑOS CALCULOS Y CONSTRUCCIONES LIMITADA ODICCO LTDA"/>
        <s v="INGECON S.A"/>
        <s v="ARA INGENIERIA SAS"/>
        <s v="ORGANIZACIÓN HAR SAS"/>
        <s v="GILBERTO ACERO ROMERO"/>
        <s v="INGENIERIA DE PROYECTOS AML SAS"/>
        <s v="VIAS Y CANALES SAS"/>
        <s v="REDES Y EDIFICACIONES S.A"/>
        <s v="EDGAR ADOLFO HOYOS GARCIA"/>
        <s v="SOCIEDAD MAVICOL MANTENIMIENTO DE VIAS DE COLOMBIA  SAS"/>
        <s v="EICON LTDA"/>
        <s v="LUIS ANTONIO ROJAS GIRON"/>
        <s v="VIACOL INGENIEROS CONTRATISTAS LTDA"/>
        <s v="PAVIMENTOS ANDINOS SA"/>
        <s v="BERNARDO ANCIZAR OSSA LOPEZ"/>
        <s v="BALLEN B Y CIA SAS"/>
        <s v="HORACIO VEGA CARDENAS"/>
        <s v="VNF SAS"/>
        <s v="JMS INGENIERIA SAS"/>
        <s v="EDIFICACIONES Y VIAS SA"/>
        <s v="BB INGENIEROS SAS"/>
        <s v="CESAR AUGUSTO VELASQUEZ TORO"/>
        <s v="CLARA LUZ FORERO IDARRAGA"/>
        <s v="JOHN ALEJANDRO TORO QUINTERO"/>
        <s v="SERVICIOS PETROLEROS- SERPEL SAS"/>
        <s v="INCOPAV S.A"/>
        <s v="INCITECO SAS"/>
        <s v="OBRECOL SAS"/>
        <s v="REYES RIVEROS LTDA"/>
        <s v="INVERSIONES Y CONSTRUCCIONES DE  ORIENTE SOCIEDAD LTDA "/>
        <s v="PROYECTOS Y VIAS SAS"/>
        <s v=" CASTOR ARMANDO VALENCIA VALENCIA"/>
        <s v="AULI FERNANDO VELANDIA MEDINA"/>
        <s v="CONSTRUCTORA INGEVISA SAS"/>
        <s v="MARIO GABRIEL JIMENEZ MARTINEZ"/>
        <s v="CONSTRUCCIONES AP SAS"/>
        <s v="MANOLO ARTEAGA ORTEGA"/>
        <s v="RDM INGENEIRIA SAS"/>
        <s v="EXPLANAN S.A"/>
        <s v="DIEGO FERNANDO BOHORQUEZ TELLEZ"/>
        <s v="LUIS FERNANDO BOTERO LONDOÑO"/>
        <s v="SARIA SAS"/>
        <s v="ALCA INGENIERIA SAS"/>
        <s v="CONSTRUCTORA VIAYCO SAS"/>
        <s v="OSCAR IVAN TORRES ROJAS"/>
        <s v="JORGE ENRIQUE ROJAS ABRIL"/>
        <s v="OSCAR ALBERTO GUZMAN TRIVIÑO"/>
        <s v="FREDY AUGUSTO CASTAÑEDA LUGO"/>
        <s v="VINCOL SOCIEDAD POR ACCIONES SIMPLIFICADA-VINCOL SAS"/>
        <s v="COINSO SAS"/>
        <s v="FERNANDO ALVARO LOZANO MENDEZ"/>
        <s v="YEBRAYL HERNAN CADENA LOZANO"/>
        <s v="GUSTAVO H VELANDIA POVEDA"/>
        <s v="JOSE RODRIGO ASTAIZA GALLEGO"/>
        <s v="PEDRO ALFONSO VARGAS "/>
        <s v="JORGE IVAN SANCHEZ ZULUAGA"/>
        <s v="INGENIERIA ALQUILER Y CONSTRUCCION INGENALCO SAS"/>
        <s v="CONSTRUCTORA POLIOBRAS SAS"/>
        <s v="TECNICIVIL SAS"/>
        <s v="A.E.M.C CONSTRUCCIONES Y CONSULTORIA SAS"/>
        <s v="RENE BORJA GARCIA"/>
        <s v="ARTURO EDUARDO MARTINEZ CORREA"/>
        <s v="RODRIGO SUAREZ QUIÑONES"/>
        <s v="GEOTECNIA VIAL Y PAVIMENTOS SA"/>
        <s v="EQUIPOS Y CONSTRUCCIONES VAREGA SAS"/>
        <s v=" VAREGO SOCIEDAD POR ACCIONES SIMPLIFICADA O VAREGO SAS"/>
        <s v="KEVIN ALBERTO VILLEGAS DE LA HOZ"/>
        <s v="JORGE IVAN SANCHES ZULUAGA"/>
        <s v="ARMANDO VALENCIA VALENCIA"/>
        <s v="CARLOS ALBERTO SANCHEZ ESCALANTE"/>
        <s v="NICOLAS ANDRES GOMEZ CARO"/>
        <s v="ADAIMEN ALFONSO DE ARCO RODRIGUEZ"/>
        <s v="MARTA CECILIA TRIVIÑO DELGADILLO"/>
        <s v="TRIDELSA INGENEIROS ASOCIADOS SAS"/>
        <s v="MANUEL ANTONIO MUÑOZ LEDEZMA"/>
        <s v="NOVA SARMIENTO CONSTRUCCIONES LTDA"/>
        <s v="SYC LIMITADA"/>
        <s v="CESAR AUGUSTO SARMIENTO SALAS"/>
        <s v="WILLIAN RICARDO MOJICA ROMO"/>
        <s v="CONCREARMADO LTDA"/>
        <s v="CONSTRUCTORA MP SA"/>
        <s v="ML INGENIEROS SA"/>
        <s v="MILTON HUGO GARZON HERNANDEZ"/>
        <s v="JULIO BAHAMON VANEGAS"/>
        <s v="MARLON ANDRES DE LOS RIOS DIEZ"/>
        <s v="CONSTRUCCIONES LAGO SAS"/>
        <s v="MULTISERVICIOS PROFESIONALES SAS"/>
        <s v="LUIS ALBERTO GONZALEZ CHAUX"/>
        <s v="JOHN FREDDY GONZALEZ CHAUX"/>
        <s v="PAVIMENTAR S.A"/>
        <s v="VALORES Y CONTRATOS S.A"/>
        <s v="SERGIO JOSE TORRES REATIGA"/>
        <s v="CONSTRUCCIONES E INVERSIONES BETA SAS"/>
        <s v="INGENIERIA Y CONSTRUCCIONES SAS-INGECON SAS"/>
        <s v="IKON GROUP SAS"/>
        <s v="CONVIAL SAS"/>
        <s v="CONSTRUCCIONES Y VIAS INGENIEROS CONTRATISTAS SAS-CONVIAL SAS"/>
        <s v="SOFAN INGENIERIA SAS"/>
        <s v="JORGE  ANTONIO DUMAR HABIB"/>
        <s v="ANDRES GABRIEL SOFAN SANCHEZ"/>
        <s v="CONGLOMERADO TECNICO COLOMBIANO S.A-CONTECSA S.A"/>
        <s v="CONIN S.A.S"/>
        <s v="INGENIEROS GF SAS"/>
        <s v="COMPAÑÍA DE INGENIEROS-CONSICAL SAS"/>
        <s v="CARLOS VENGAL PEREZ"/>
        <s v="SOCIEDAD PVC SAS"/>
        <s v="INFERCAL S.A"/>
        <s v="PROYECTOS Y VIAS S.A.S-PROVIAS S.A.S"/>
        <s v="CONSTRUCCIONES A.P S.A.S"/>
        <s v="VIAS S.A"/>
        <s v="CONSTRUCCIONES Y TRACTORES S.A-CONYTRAC"/>
        <s v="INGENIERIA Y CONTRATOS S.A.S"/>
        <s v="CONASFALTOS S.A"/>
        <s v="ASSIGNIA INFRAESTRUCTURAS S.A "/>
        <s v="SOCIEDAD CONSTRUCTORA DE OBRAS CIVILES LIMITADA-SOCOCIL S.A.S"/>
        <s v="EXCARVAR S.A.S"/>
        <s v="CONSTRUCCIONES VERA S.A"/>
        <s v="CONSTRUCCIONES VERA INTERNACIONAL S.A.S"/>
        <s v="CASTRO TCHERASSI S.A"/>
        <s v="GISAICO S.A"/>
        <s v="CROMAS S.A"/>
        <s v="CIVCOL S.A.S"/>
        <s v="CONSTRUCIONES COLOMBIANAS OHL SAS"/>
        <s v="AGRUPACION GUINOVART OBRAS Y SERVICIOS HISPANIA S.A SUCURSAL COLOMBIA"/>
        <s v="MOTA ENGIL COL S.A.S"/>
        <s v="MOTA-ENGIL ENGENHARIA"/>
        <s v="LA MACUIRA INVERSIONES Y CONSTRUCCIONES S.A"/>
        <s v="SP INGENIEROS S.A.S"/>
        <s v="CONCRETOS ASFALTICOS DE COLOMBIA S.A -CONCRESCOL S.A"/>
        <s v="UCOP CONSTRUCCIONES S.A-SUCURSAL COLOMBA"/>
        <s v="SAINC INGENIEROS CONSTRUCTORES S.A"/>
        <s v="SUBSUELOS S.A.S"/>
        <s v="INGETIERRAS DE COLOMBIA S.A EN REORGANIZACION"/>
        <s v="SOLARTE NACIONAL DE CONSTRUCCIONES"/>
        <s v="CONSTRUCTORA MONTECARLO VIAS  S.A.S"/>
        <s v="GRUPO EMPRESARIAL CAPITOL S.L (Sucursal extramjera)"/>
        <s v="COMSA COLOMBIA S.A.S"/>
        <s v="MINCIVIL S.A"/>
        <s v="CARLOS EDUARDO QUIROGA  ZAPATA"/>
        <s v="OR CONSTRUCCIONES E INGENIERIA S.A.S"/>
        <s v="OBRAS MAQUINAS Y EQUIPOS TRES A S.A.S"/>
        <s v="INVERSIONES GRANDES VIAS E INGENIERIA S.A.S"/>
        <s v="CONSTRUCTORA MP S.A"/>
        <s v="ML INGENIEROS S.A"/>
        <s v="ICM INGENIEROS S.A"/>
        <s v="TERMOTECNICA COINDUSTRIAL S.A"/>
        <s v="UNIDAD DE INFRAESTRUCTURA Y COSNTRUCCIONES ASOCIADAS S.A.S"/>
        <s v="VIAS Y CONSTRUCCIONES S.A"/>
        <s v="BOGOTANA DE ASFALTOS S.A"/>
        <s v="CONSTRUCCIONES LEZO S.A.S"/>
        <s v="INGENIERIA Y VIAS S.A.S-INGEVIAS S.A.S"/>
        <s v="CONSTRUCTORA MECO S.A-SUCURSAL COLOMBIA"/>
        <s v="MECO INFRAESTRUCTURA S.A.S"/>
        <s v="CI GRODCO INGENIEROS CIVILES SAS"/>
        <s v="TRAINCO S.A.S"/>
        <s v="LUIS GABRIEL NIETO GARCIA"/>
        <s v="ORLANDO FAJARDO CASTILLO"/>
        <s v="SERAVEZZA LIMITADA"/>
        <s v="LUIS ALBERTO MEZA GALEANO"/>
        <s v="JULIO CESAR SALGADO GALEANO"/>
        <s v="ALFONSO PARRA DE LOS RIOS"/>
        <s v="ADORNOS Y ACCESORIOS"/>
        <s v="INGENIERIA DE VIAS S.A"/>
        <s v="MEYAN S.A"/>
        <s v="CONSTRUCCIONES RUBAU S.A -SUCURSAL COLOMBAI"/>
        <s v="IDESTRA S.A"/>
        <s v="ROVER ALCISA SUCURSAL EN COLOMBIA"/>
        <s v="SARIA S.A.S"/>
        <s v="KMC S.A.S"/>
        <s v="FERNANDO JIMENEZ  ROA"/>
        <s v="SOCIEDAD P.V.C. S.A.S"/>
        <s v="AULI FERNANDO VELANDIA"/>
        <s v="ARQUITECTURA Y CONCRETOS S.A.S S.A"/>
        <s v="CONSTRUCCIONES CIVILES S.A"/>
        <s v="ESTYMA ESTUDIOS Y MANEJOS SOCIEDAD ANONIMA"/>
        <s v="EDIFICACIONES Y VIAS S.A"/>
        <s v="MARCO OBRA PUBLICA S.A-SUCURSAL COLOMBIA "/>
        <s v="KMA CONSTRUCCIONES S.A"/>
        <s v="ORTIZ CONSTRUCIONES Y PROYECTOS S.A-SUCURSAL COLOMBIA"/>
        <s v="CONSTRUCCIONES Y DRAGADOS DEL SURESTE S.A DE CV"/>
        <s v="CALZADA CONSTRUCIONES S.A DE C.V"/>
        <s v="CUBIDES Y MUÑOZ  LTDA"/>
        <s v="CONSTRUCTORA S&amp;L S.A.S"/>
        <s v="CONSTRUCTORA CRD S.A"/>
        <s v="JMS INGENIEIRA S.A.S"/>
        <s v="EMB SOLUCIONES S.A.S"/>
        <s v="HIDALGO E HIDALGO  S.A-SUCURSAL COLOMBIA"/>
        <s v="HIDALGO E HIDALGO S.A.S"/>
        <s v="LATINOAMERICANA DE CONSTRUCCIONES S.A"/>
        <s v="OBRAS CIVILES Y EQUIPOS LTDA- OCIEQUIPOS LIMITADA"/>
        <s v="ROSALES AMELL CARMELO JOAQUIN"/>
        <s v="TRAING S TRABAJOS DE INGENIERIA S.A.S"/>
        <s v="NACIONAL DE PAVIMENTOS S.A"/>
        <s v="RG INGENIERIA LTDA"/>
        <s v="GYP INGENIEIRA S.A.S"/>
        <s v="INVERSIONES GABRA S.A.S"/>
        <s v="OFICINA DE DISEÑOS CALCULOS Y CONSTRUCCIONES LIMITADA-ODICCO LTDA"/>
        <s v="TRADECO INFRAESTRUCTURA -SUCURSAL COLOMBIA"/>
        <s v="MIROAL INGENEIRIA S.A.S"/>
        <s v="PAVIMENTOS ANDINOS S.A"/>
        <s v="PAVIGAS S.A.S"/>
        <s v="ANDRES GILBERTO PEREZ PARRA"/>
        <s v="ANGEL ROA HERNANDEZ"/>
        <s v="MARIO ALBERTO HUERTAS COTES"/>
        <s v="PROYECTOS DE INGENIERIA Y CONSULTORIA S.A.S"/>
        <s v="RANSPORTE INGENIERIA CONSTRUCCIONES Y MAQUINARIA S.A"/>
        <s v="DECAR GABRIEL SOLANO SOLANO"/>
        <s v="CONSTRUCCIONES EL CONDOR S.A"/>
        <s v="ENGICO LTDA"/>
        <s v="ASSIGNIA COLOMBIA S.A.S"/>
        <s v="SOLARTE NACIONAL DE CONSTRUCIONES"/>
        <s v="EQUIPO UNIVERSAL S.A"/>
        <s v="PAVIMENTO UNIVERSAL S.A"/>
        <s v="CONSTRUVIAS DE COLOMBIA S.A-CONSTRUVICOL S.A"/>
        <s v="AZVI SUCURSAL COLOMBIA"/>
        <s v="CALCULO Y CONTRUCCIONES S.A"/>
        <s v="YAMIL SABBAGH CONSTRUCIONES S.A.S"/>
        <s v="D&amp;S S.A"/>
        <s v="CONSTRUCCIONES NAMUS S.A"/>
        <s v="VIURBA INGENIRIA S.A.S"/>
        <s v="CALZADA DE CONSTRUCCIONES S.A DE C.V"/>
        <s v="COMSA S.A SOCIEDAD UNIPERSONAL SUCURSAL COLOMBIA"/>
        <s v="KHB INGENIERIA S.A.S"/>
        <s v="ODEKA S.A.S"/>
        <s v="JUAN CARLOS RIOS URUETA"/>
        <s v="GAICO INGENIEROS CONSTRUCTORES S.A"/>
        <s v="JMV INGENIEROS S.A.S"/>
        <s v="CONSTRUCCION Y DESARROLLO INGENIERIA S.A.S"/>
        <s v="HL INGENIEROS S.A"/>
        <s v="INGENIERIA DE PROYECTOS  AML S.A.S"/>
        <s v="JOSE GUILLERMO GALAN GOMEZ"/>
        <s v="OCTAVIO AUGUSTO MORALES AYALA"/>
        <s v="CONSTRUCTORA MONTECARLO VIAS S.A.S"/>
        <s v="GRUPO EMPRESARIAL CAPITOL S.L- SUCURSAL EXTRANJERA"/>
        <s v="CASS CONSTRUCTORES &amp; CIA SCA"/>
        <s v="CARLOS ALBERTO SOLARTE SOLARTE"/>
        <s v="HB ESTRUCTURAS METALICAS S.A"/>
        <s v="EMPRESA DE PROYECTISTAS Y CONSTRUCTORES S.A.S"/>
        <s v="ELSAMEX S.A-SUCURSAL COLOMBIA"/>
        <s v="FUREL S.A"/>
        <s v="FERNANDO LEON  DIEZ CARDONA"/>
        <s v="DUMAR INGENIEROS S.A.S"/>
        <s v="OSVALDO ALFONSO ANGULO CALERO"/>
        <s v="CONCRETOS Y ASFALTOS S.A"/>
        <s v="CONSTRUCTORA CONCRETO S.A"/>
        <s v="ICEIN INGENIEROS CONSTRUCTORES S.A.S"/>
        <s v="INDUGRAVAS INGENIEROS CONSTRUCTORES S.A.S"/>
        <s v="MORENO VARGAS SOCIEDAD ANONIMA"/>
        <s v="SAN JOSE COLOMBIA S.A.S"/>
        <s v="CSS CONSTRUCTORES S.A"/>
        <s v="TRITURADOS Y CONCRETOS LTDA"/>
        <s v="HIFO S.A"/>
        <s v="COMANCO S.A"/>
        <s v="VERGEL Y CASTELLANOS "/>
        <s v="AMEZQUITA NARANJO INGENIERIA &amp; CIA SCA"/>
        <s v="HERDOISA CRESPO CONSTRUCCIONES S.A-SUCURSAL COLOMBIA"/>
        <s v="MARTINEZ Y HOYOS INGENIERIA LIMITADA"/>
        <s v="INVERSIONES BERMONT S.A.S"/>
        <s v="EQUIPOS Y TRITURADOS S.A"/>
        <s v="FOPECA SUCURSAL COLOMBIA"/>
        <s v="EXPLANEACIONES DEL SUR"/>
        <s v="HAG S.A"/>
        <s v="IKON GROUP S.A.S"/>
        <s v="XIE S.A"/>
        <s v="JAIME VARGAS GALINDO"/>
        <s v="MASAWA S.A.S"/>
        <s v="COINOBRAS LTDA"/>
        <s v="CONSULTORES DEL DESARROLLO S.A-CODESA"/>
        <s v="CONSTRUCCIONES Y TRITURACIONES S.A DE C.V"/>
        <s v="PROMOTORA E INVERSORA ADISA S.A DE C.V"/>
        <s v="HARINSA NAVASFALT S.A"/>
        <s v="CONSTRUCTORA COLPATRIA S.A"/>
        <s v="EDGARDO NAVARRO VIVES"/>
        <s v="TORRES CAMARA Y CIA DE OBRAS SA"/>
        <s v="GAICO INFRAESTRUCTIRA Y CONSECIONES SOCIEDAD POR ACCIONES SIMPLIFICADA"/>
        <s v="GNG INGENIERIA SAS"/>
        <s v="CONSULTORIA Y CONSTRUCCION SAS"/>
        <s v="DONADO ARCE &amp; COMPAÑÍA S.A.S"/>
        <s v="PACANO S.A.S"/>
        <s v="MURCIA MURCIA S.A"/>
        <s v="MOVIMIENTO DE TIERRA, VIAS Y CONSTRUCCIONES S.A-MOVICON S.A"/>
        <s v="EDUARDO ERENESTO CALDERON AWAKON"/>
        <s v="VIMAC S.A"/>
        <s v="CONSTRUCTORA YACAMAN VIVERO S.A"/>
        <s v="ASFALTO HORMMIGON S.A"/>
        <s v="SAVERA S.A.S"/>
        <s v="SYM INGENIERIA S.A.S" u="1"/>
      </sharedItems>
    </cacheField>
    <cacheField name="ACTIVO CORRIENTE" numFmtId="0">
      <sharedItems containsString="0" containsBlank="1" containsNumber="1" minValue="848485" maxValue="1868929277168" count="334">
        <m/>
        <n v="852078406"/>
        <n v="289057203"/>
        <n v="142591000"/>
        <n v="766000000"/>
        <n v="149343000"/>
        <n v="263168432"/>
        <n v="138176501"/>
        <n v="1175012240"/>
        <n v="459390877"/>
        <n v="230487882"/>
        <n v="3015413736"/>
        <n v="705709393"/>
        <n v="927000000"/>
        <n v="5482900540"/>
        <n v="2024909080"/>
        <n v="761732731"/>
        <n v="1111479678"/>
        <n v="2538469640"/>
        <n v="73479114298"/>
        <n v="443809926"/>
        <n v="1746720581"/>
        <n v="1364588281"/>
        <n v="2133144751"/>
        <n v="11919290102"/>
        <n v="1238090314"/>
        <n v="426559442"/>
        <n v="982003584"/>
        <n v="591961521"/>
        <n v="1016900000"/>
        <n v="2235116003"/>
        <n v="25490790073"/>
        <n v="762851174"/>
        <n v="692638784"/>
        <n v="1211600899"/>
        <n v="661623262"/>
        <n v="7051268191"/>
        <n v="685223771"/>
        <n v="11404621763"/>
        <n v="1205700840"/>
        <n v="4146676656"/>
        <n v="1896832665"/>
        <n v="826826577"/>
        <n v="365813663"/>
        <n v="366019009"/>
        <n v="971381569"/>
        <n v="2626485220"/>
        <n v="2015579172"/>
        <n v="753972817"/>
        <n v="1121000000"/>
        <n v="350000000"/>
        <n v="180300000"/>
        <n v="177203390"/>
        <n v="177203380"/>
        <n v="7403636734"/>
        <n v="14300112919"/>
        <n v="1626559960"/>
        <n v="463859609"/>
        <n v="13300607831"/>
        <n v="14926668529"/>
        <n v="726768821"/>
        <n v="1038347584"/>
        <n v="31882393558"/>
        <n v="5321753963"/>
        <n v="5237662405"/>
        <n v="5958317583"/>
        <n v="9937117675"/>
        <n v="781250151"/>
        <n v="2728503645"/>
        <n v="4124238544"/>
        <n v="1187412978"/>
        <n v="798016202"/>
        <n v="688383559"/>
        <n v="13723264435"/>
        <n v="1490781625"/>
        <n v="2217762117"/>
        <n v="484500238"/>
        <n v="7626109945"/>
        <n v="51487801911"/>
        <n v="26731552892"/>
        <n v="3015263011"/>
        <n v="1269132579"/>
        <n v="1813083000"/>
        <n v="3829588000"/>
        <n v="29435959326"/>
        <n v="2119476744"/>
        <n v="5173709291"/>
        <n v="5878909015"/>
        <n v="2453425821"/>
        <n v="364895055"/>
        <n v="7510966504"/>
        <n v="18034455000"/>
        <n v="3596990011"/>
        <n v="5851600000"/>
        <n v="7843483909"/>
        <n v="1137290460"/>
        <n v="5686171000"/>
        <n v="11264189797"/>
        <n v="1104924253"/>
        <n v="225784849"/>
        <n v="48801065"/>
        <n v="4681351480"/>
        <n v="27766335957"/>
        <n v="3194253098"/>
        <n v="396788410"/>
        <n v="3250004649"/>
        <n v="389916453"/>
        <n v="10104301960"/>
        <n v="6432171840"/>
        <n v="711673307"/>
        <n v="3699793604"/>
        <n v="8257995775"/>
        <n v="1034566000"/>
        <n v="461001000"/>
        <n v="21040353000"/>
        <n v="1677561527"/>
        <n v="3080666281"/>
        <n v="3952858602"/>
        <n v="16985456767"/>
        <n v="647467180"/>
        <n v="876531472"/>
        <n v="1833401563"/>
        <n v="880407661"/>
        <n v="931563295"/>
        <n v="1193988376"/>
        <n v="494576582"/>
        <n v="604310000"/>
        <n v="1779986928"/>
        <n v="6341516441"/>
        <n v="652871095"/>
        <n v="769427000"/>
        <n v="567599515"/>
        <n v="1353789805"/>
        <n v="162560000"/>
        <n v="581639838"/>
        <n v="511082812"/>
        <n v="510168491"/>
        <n v="138091562"/>
        <n v="1430718942"/>
        <n v="668817419"/>
        <n v="1256345000"/>
        <n v="1845145000"/>
        <n v="497952033"/>
        <n v="1086991116"/>
        <n v="669347660"/>
        <n v="1633335205"/>
        <n v="1240604124"/>
        <n v="2112674389"/>
        <n v="237332452"/>
        <n v="752781993"/>
        <n v="641837420"/>
        <n v="3578767991"/>
        <n v="8309489799"/>
        <n v="2696550498"/>
        <n v="3474270784"/>
        <n v="569811745"/>
        <n v="517769800"/>
        <n v="9279518156"/>
        <n v="4866170305"/>
        <n v="7014976071"/>
        <n v="1071199612"/>
        <n v="58087622756"/>
        <n v="452772797630"/>
        <n v="42134100953"/>
        <n v="78046556747"/>
        <n v="27351625000"/>
        <n v="1543789275"/>
        <n v="13816411000"/>
        <n v="6957597632"/>
        <n v="5442739558"/>
        <n v="6381766836"/>
        <n v="6915953796"/>
        <n v="10387886344"/>
        <n v="29925850667"/>
        <n v="3043824929"/>
        <n v="11938693622"/>
        <n v="22849089050"/>
        <n v="16732524000"/>
        <n v="11055031000"/>
        <n v="17142008000"/>
        <n v="53199181958"/>
        <n v="749824536336"/>
        <n v="1498499000"/>
        <n v="8382360773"/>
        <n v="257999278291"/>
        <n v="60061190"/>
        <n v="99708840151"/>
        <n v="36256750000"/>
        <n v="15258809814"/>
        <n v="2000000000"/>
        <n v="280000000"/>
        <n v="296936037000"/>
        <n v="128115279"/>
        <n v="1868929277168"/>
        <n v="21213716670"/>
        <n v="117464441677"/>
        <n v="21018426706"/>
        <n v="41547621887"/>
        <n v="153503416645"/>
        <n v="12381268447"/>
        <n v="5351342763"/>
        <n v="120025260459"/>
        <n v="135017621743"/>
        <n v="496858978650"/>
        <n v="1859748000"/>
        <n v="318802665013"/>
        <n v="872666346"/>
        <n v="100000000"/>
        <n v="14771508004"/>
        <n v="21251778877"/>
        <n v="8309480799"/>
        <n v="36887256163"/>
        <n v="326498314005"/>
        <n v="11027690314"/>
        <n v="19860658331"/>
        <n v="1057981017"/>
        <n v="136595559"/>
        <n v="46202113000"/>
        <n v="578297062375"/>
        <n v="7809930475"/>
        <n v="239621914000"/>
        <n v="7406062312"/>
        <n v="10107568724"/>
        <n v="5411782173"/>
        <n v="7147417522"/>
        <n v="1290104755"/>
        <n v="1487463117"/>
        <n v="2952589398"/>
        <n v="9555548431"/>
        <n v="138409458951"/>
        <n v="83218167723"/>
        <n v="282407622655"/>
        <n v="142547014022"/>
        <n v="31283903464"/>
        <n v="383334591720"/>
        <n v="177874314787"/>
        <n v="69066781084"/>
        <n v="54788063261"/>
        <n v="156329781000"/>
        <n v="1073615634280"/>
        <n v="42544167000"/>
        <n v="91924151000"/>
        <n v="1952382680"/>
        <n v="1390671581"/>
        <n v="13096104665"/>
        <n v="14196830702"/>
        <n v="5253520000"/>
        <n v="892352257577"/>
        <n v="81486705000"/>
        <n v="96485980000"/>
        <n v="12381324152"/>
        <n v="4459800960"/>
        <n v="11039283262"/>
        <n v="8145598000"/>
        <n v="5393904053"/>
        <n v="34159782315"/>
        <n v="1011864532907"/>
        <n v="21737942525"/>
        <n v="12729159107"/>
        <n v="2521575616"/>
        <n v="4074143882"/>
        <n v="334668860333"/>
        <n v="388590374"/>
        <n v="20324675928"/>
        <n v="15675191373"/>
        <n v="351633333000"/>
        <n v="9318681799"/>
        <n v="1959802297"/>
        <n v="78241247582"/>
        <n v="66243631447"/>
        <n v="53908410167"/>
        <n v="694511721270"/>
        <n v="12574254399"/>
        <n v="11451012901"/>
        <n v="7632471446"/>
        <n v="151464060"/>
        <n v="1760447203208"/>
        <n v="54031077477"/>
        <n v="31355393354"/>
        <n v="3299305277"/>
        <n v="32111381000"/>
        <n v="3177642705"/>
        <n v="66305501537"/>
        <n v="7581734000"/>
        <n v="125950737000"/>
        <n v="602862632000"/>
        <n v="105530450000"/>
        <n v="2295678127"/>
        <n v="315120631268"/>
        <n v="100770574941"/>
        <n v="9390500530"/>
        <n v="6358022883"/>
        <n v="870789423"/>
        <n v="486667190867"/>
        <n v="231857344801"/>
        <n v="3666733732"/>
        <n v="49734034325"/>
        <n v="121885774"/>
        <n v="394128889000"/>
        <n v="4375364311"/>
        <n v="4833313924"/>
        <n v="2537403409"/>
        <n v="92210018302"/>
        <n v="10279471308"/>
        <n v="290761927000"/>
        <n v="5764847795"/>
        <n v="7092081516"/>
        <n v="56272924150"/>
        <n v="132276555860"/>
        <n v="3118350903"/>
        <n v="20405185000"/>
        <n v="51730866000"/>
        <n v="7828006000"/>
        <n v="1422745700"/>
        <n v="5554017574"/>
        <n v="55627812486"/>
        <n v="111978227476"/>
        <n v="76130314543"/>
        <n v="36413462209.900002"/>
        <n v="521350644000"/>
        <n v="76091345579"/>
        <n v="122824223927"/>
        <n v="848485"/>
        <n v="5996400000"/>
        <n v="13012906000"/>
        <n v="18323991867"/>
        <n v="8393991959"/>
        <n v="46541112224"/>
        <n v="8659739250"/>
        <n v="5063629913"/>
        <n v="146117913000"/>
        <n v="6939486556"/>
        <n v="19586513438"/>
        <n v="9304934373"/>
      </sharedItems>
    </cacheField>
    <cacheField name="ACTIVO TOTAL" numFmtId="0">
      <sharedItems containsString="0" containsBlank="1" containsNumber="1" minValue="60061190" maxValue="3115400970445"/>
    </cacheField>
    <cacheField name="PASIVO CORRIENTE" numFmtId="0">
      <sharedItems containsString="0" containsBlank="1" containsNumber="1" minValue="0" maxValue="1644916588935"/>
    </cacheField>
    <cacheField name="PASIVO TOTAL" numFmtId="0">
      <sharedItems containsString="0" containsBlank="1" containsNumber="1" minValue="0" maxValue="2205932116997"/>
    </cacheField>
    <cacheField name="UTILIDAD / PERDIDA OPERACIONAL " numFmtId="0">
      <sharedItems containsString="0" containsBlank="1" containsNumber="1" minValue="0" maxValue="258424644273"/>
    </cacheField>
    <cacheField name="GASTOS INTERESES" numFmtId="0">
      <sharedItems containsString="0" containsBlank="1" containsNumber="1" minValue="0" maxValue="7258285415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12">
  <r>
    <x v="0"/>
    <x v="0"/>
    <m/>
    <m/>
    <m/>
    <m/>
    <m/>
  </r>
  <r>
    <x v="0"/>
    <x v="0"/>
    <m/>
    <m/>
    <m/>
    <m/>
    <m/>
  </r>
  <r>
    <x v="1"/>
    <x v="1"/>
    <n v="1356078410"/>
    <n v="65771359"/>
    <n v="378637143"/>
    <n v="482538419"/>
    <n v="28359625"/>
  </r>
  <r>
    <x v="2"/>
    <x v="2"/>
    <n v="289057203"/>
    <n v="13524534"/>
    <n v="63524534"/>
    <n v="123351835"/>
    <n v="0"/>
  </r>
  <r>
    <x v="3"/>
    <x v="3"/>
    <n v="276094000"/>
    <n v="24562000"/>
    <n v="44707000"/>
    <n v="64188000"/>
    <n v="3745000"/>
  </r>
  <r>
    <x v="4"/>
    <x v="4"/>
    <n v="1036000000"/>
    <n v="1500000"/>
    <n v="156500000"/>
    <n v="103887880"/>
    <n v="1250000"/>
  </r>
  <r>
    <x v="5"/>
    <x v="5"/>
    <n v="149343000"/>
    <n v="5743000"/>
    <n v="5743000"/>
    <n v="12974000"/>
    <n v="3000"/>
  </r>
  <r>
    <x v="6"/>
    <x v="6"/>
    <n v="1046168432"/>
    <n v="3070000"/>
    <n v="61124000"/>
    <n v="104919541"/>
    <n v="4825000"/>
  </r>
  <r>
    <x v="7"/>
    <x v="7"/>
    <n v="736631901"/>
    <n v="37659127"/>
    <n v="37659127"/>
    <n v="20777387"/>
    <n v="1485000"/>
  </r>
  <r>
    <x v="8"/>
    <x v="0"/>
    <m/>
    <m/>
    <m/>
    <m/>
    <m/>
  </r>
  <r>
    <x v="9"/>
    <x v="8"/>
    <n v="1491896790"/>
    <n v="198258785"/>
    <n v="754001868"/>
    <n v="63028840"/>
    <n v="159556"/>
  </r>
  <r>
    <x v="10"/>
    <x v="9"/>
    <n v="592615697"/>
    <n v="43539018"/>
    <n v="63539018"/>
    <n v="202840436"/>
    <n v="594832"/>
  </r>
  <r>
    <x v="11"/>
    <x v="10"/>
    <n v="330073967"/>
    <n v="18682000"/>
    <n v="35935000"/>
    <n v="84166700"/>
    <n v="3277000"/>
  </r>
  <r>
    <x v="12"/>
    <x v="11"/>
    <n v="3664734551"/>
    <n v="388862171"/>
    <n v="1325138636"/>
    <n v="409540539"/>
    <n v="289000"/>
  </r>
  <r>
    <x v="13"/>
    <x v="12"/>
    <n v="1230856038"/>
    <n v="102445880"/>
    <n v="373111425"/>
    <n v="200910706"/>
    <n v="861876"/>
  </r>
  <r>
    <x v="14"/>
    <x v="13"/>
    <n v="982000000"/>
    <n v="27002000"/>
    <n v="27002000"/>
    <n v="140000000"/>
    <n v="0"/>
  </r>
  <r>
    <x v="15"/>
    <x v="14"/>
    <n v="6074425978"/>
    <n v="1822584051"/>
    <n v="4135460909"/>
    <n v="245201081"/>
    <n v="489962"/>
  </r>
  <r>
    <x v="16"/>
    <x v="15"/>
    <n v="2338266228"/>
    <n v="17509800"/>
    <n v="695982147"/>
    <n v="441385791"/>
    <n v="129680093"/>
  </r>
  <r>
    <x v="17"/>
    <x v="16"/>
    <n v="1301710239"/>
    <n v="10073515"/>
    <n v="253812654"/>
    <n v="116767545"/>
    <n v="9701529"/>
  </r>
  <r>
    <x v="18"/>
    <x v="17"/>
    <n v="1329371714"/>
    <n v="148541177"/>
    <n v="267210568"/>
    <n v="62983261"/>
    <n v="14223251"/>
  </r>
  <r>
    <x v="19"/>
    <x v="18"/>
    <n v="3108943648"/>
    <n v="341804264"/>
    <n v="1133907917"/>
    <n v="348394530"/>
    <n v="9274373"/>
  </r>
  <r>
    <x v="15"/>
    <x v="14"/>
    <n v="6074425978"/>
    <n v="1822584051"/>
    <n v="4135460909"/>
    <n v="245201081"/>
    <n v="489962"/>
  </r>
  <r>
    <x v="20"/>
    <x v="19"/>
    <n v="188693818344"/>
    <n v="47395609972"/>
    <n v="69493070704"/>
    <n v="8940321738"/>
    <n v="1191781517"/>
  </r>
  <r>
    <x v="21"/>
    <x v="20"/>
    <n v="598001856"/>
    <n v="15343909"/>
    <n v="335634952"/>
    <n v="37597811"/>
    <n v="1524332"/>
  </r>
  <r>
    <x v="22"/>
    <x v="21"/>
    <n v="2448578739"/>
    <n v="21651709"/>
    <n v="1279704362"/>
    <n v="365087870"/>
    <n v="62910000"/>
  </r>
  <r>
    <x v="23"/>
    <x v="22"/>
    <n v="1844588281"/>
    <n v="9244889"/>
    <n v="9244889"/>
    <n v="233613552"/>
    <n v="1"/>
  </r>
  <r>
    <x v="24"/>
    <x v="23"/>
    <n v="3441404151"/>
    <n v="2381110"/>
    <n v="2381110"/>
    <n v="23238740"/>
    <n v="1"/>
  </r>
  <r>
    <x v="25"/>
    <x v="24"/>
    <n v="17650515206"/>
    <n v="1806552594"/>
    <n v="10331392289"/>
    <n v="2021726257"/>
    <n v="182883524"/>
  </r>
  <r>
    <x v="26"/>
    <x v="0"/>
    <m/>
    <m/>
    <m/>
    <m/>
    <m/>
  </r>
  <r>
    <x v="27"/>
    <x v="25"/>
    <n v="1342006314"/>
    <n v="34875200"/>
    <n v="380747200"/>
    <n v="334217137"/>
    <n v="2624150"/>
  </r>
  <r>
    <x v="28"/>
    <x v="26"/>
    <n v="446346442"/>
    <n v="7587000"/>
    <n v="67587000"/>
    <n v="198133442"/>
    <n v="942000"/>
  </r>
  <r>
    <x v="29"/>
    <x v="27"/>
    <n v="1241392259"/>
    <n v="101506396"/>
    <n v="261614613"/>
    <n v="316348771"/>
    <n v="5314000"/>
  </r>
  <r>
    <x v="30"/>
    <x v="28"/>
    <n v="1279505661"/>
    <n v="129767551"/>
    <n v="557767551"/>
    <n v="101563408"/>
    <n v="39086028"/>
  </r>
  <r>
    <x v="31"/>
    <x v="29"/>
    <n v="1170211000"/>
    <n v="12140000"/>
    <n v="310310000"/>
    <n v="147511000"/>
    <n v="1"/>
  </r>
  <r>
    <x v="32"/>
    <x v="30"/>
    <n v="2539251348"/>
    <n v="42782300"/>
    <n v="591564554"/>
    <n v="715444229"/>
    <n v="4587520"/>
  </r>
  <r>
    <x v="33"/>
    <x v="31"/>
    <n v="27354629073"/>
    <n v="2387076211"/>
    <n v="4460792575"/>
    <n v="4021114500"/>
    <n v="736215350"/>
  </r>
  <r>
    <x v="34"/>
    <x v="32"/>
    <n v="1053872348"/>
    <n v="70115005"/>
    <n v="565479099"/>
    <n v="81109738"/>
    <n v="7067314"/>
  </r>
  <r>
    <x v="35"/>
    <x v="33"/>
    <n v="1187953833"/>
    <n v="49837000"/>
    <n v="159237000"/>
    <n v="125654479"/>
    <n v="1"/>
  </r>
  <r>
    <x v="36"/>
    <x v="34"/>
    <n v="1217890899"/>
    <n v="63667916"/>
    <n v="73517916"/>
    <n v="119964452"/>
    <n v="1"/>
  </r>
  <r>
    <x v="37"/>
    <x v="35"/>
    <n v="721823015"/>
    <n v="25635886"/>
    <n v="56790086"/>
    <n v="188168600"/>
    <n v="1"/>
  </r>
  <r>
    <x v="38"/>
    <x v="36"/>
    <n v="11335175040"/>
    <n v="82504173"/>
    <n v="783628144"/>
    <n v="1700282260"/>
    <n v="7803313"/>
  </r>
  <r>
    <x v="39"/>
    <x v="37"/>
    <n v="826763082"/>
    <n v="78696964"/>
    <n v="277319795"/>
    <n v="329830323"/>
    <n v="1049566"/>
  </r>
  <r>
    <x v="40"/>
    <x v="38"/>
    <n v="23531849833"/>
    <n v="6485271068"/>
    <n v="8455999636"/>
    <n v="543279999"/>
    <n v="182974281"/>
  </r>
  <r>
    <x v="41"/>
    <x v="39"/>
    <n v="1856396558"/>
    <n v="429329241"/>
    <n v="828834861"/>
    <n v="211912498"/>
    <n v="22609718"/>
  </r>
  <r>
    <x v="42"/>
    <x v="40"/>
    <n v="4445898099"/>
    <n v="705614279"/>
    <n v="1204975684"/>
    <n v="1614237534"/>
    <n v="60548204"/>
  </r>
  <r>
    <x v="43"/>
    <x v="41"/>
    <n v="2251532665"/>
    <n v="58023996"/>
    <n v="290711303"/>
    <n v="151559891"/>
    <n v="34736463"/>
  </r>
  <r>
    <x v="44"/>
    <x v="42"/>
    <n v="997572499"/>
    <n v="49169325"/>
    <n v="49169325"/>
    <n v="108017878"/>
    <n v="1279393"/>
  </r>
  <r>
    <x v="45"/>
    <x v="43"/>
    <n v="631276663"/>
    <n v="42264030"/>
    <n v="60896866"/>
    <n v="103848401"/>
    <n v="10711995"/>
  </r>
  <r>
    <x v="46"/>
    <x v="0"/>
    <m/>
    <m/>
    <m/>
    <m/>
    <m/>
  </r>
  <r>
    <x v="47"/>
    <x v="44"/>
    <n v="833158197"/>
    <n v="16672164"/>
    <n v="97759003"/>
    <n v="118678641"/>
    <n v="1430400"/>
  </r>
  <r>
    <x v="48"/>
    <x v="45"/>
    <n v="1472585263"/>
    <n v="58300000"/>
    <n v="488674645"/>
    <n v="735545200"/>
    <n v="8247974"/>
  </r>
  <r>
    <x v="49"/>
    <x v="46"/>
    <n v="2847041020"/>
    <n v="753208917"/>
    <n v="1637940864"/>
    <n v="612835666"/>
    <n v="13541489"/>
  </r>
  <r>
    <x v="50"/>
    <x v="47"/>
    <n v="2263326115"/>
    <n v="40089303"/>
    <n v="535792179"/>
    <n v="194736380"/>
    <n v="382800"/>
  </r>
  <r>
    <x v="51"/>
    <x v="48"/>
    <n v="764492817"/>
    <n v="11745649"/>
    <n v="11745649"/>
    <n v="57193325"/>
    <n v="1"/>
  </r>
  <r>
    <x v="52"/>
    <x v="49"/>
    <n v="1964780612"/>
    <n v="101944280"/>
    <n v="101944280"/>
    <n v="56000000"/>
    <n v="1"/>
  </r>
  <r>
    <x v="53"/>
    <x v="50"/>
    <n v="957712515"/>
    <n v="20887015"/>
    <n v="20887015"/>
    <n v="43432000"/>
    <n v="1"/>
  </r>
  <r>
    <x v="54"/>
    <x v="51"/>
    <n v="226800000"/>
    <n v="4600000"/>
    <n v="9800000"/>
    <n v="72118000"/>
    <n v="2300000"/>
  </r>
  <r>
    <x v="55"/>
    <x v="52"/>
    <n v="1291108390"/>
    <n v="1"/>
    <n v="14504"/>
    <m/>
    <m/>
  </r>
  <r>
    <x v="56"/>
    <x v="53"/>
    <n v="1291108390"/>
    <n v="1"/>
    <n v="14504678"/>
    <n v="32196000"/>
    <n v="2996000"/>
  </r>
  <r>
    <x v="57"/>
    <x v="54"/>
    <n v="12701619195"/>
    <n v="163163611"/>
    <n v="5719525040"/>
    <n v="740104537"/>
    <n v="1"/>
  </r>
  <r>
    <x v="58"/>
    <x v="55"/>
    <n v="21704248617"/>
    <n v="881453927"/>
    <n v="14384638984"/>
    <n v="2186423825"/>
    <n v="1548259"/>
  </r>
  <r>
    <x v="59"/>
    <x v="56"/>
    <n v="2261486102"/>
    <n v="59434000"/>
    <n v="90925000"/>
    <n v="209226542"/>
    <n v="1"/>
  </r>
  <r>
    <x v="60"/>
    <x v="57"/>
    <n v="463859609"/>
    <n v="61878045"/>
    <n v="130624970"/>
    <n v="78732138"/>
    <n v="26554039"/>
  </r>
  <r>
    <x v="61"/>
    <x v="58"/>
    <n v="14296869048"/>
    <n v="4506543948"/>
    <n v="9712236217"/>
    <n v="1843833155"/>
    <n v="554801334"/>
  </r>
  <r>
    <x v="62"/>
    <x v="59"/>
    <n v="26364901501"/>
    <n v="2235153054"/>
    <n v="5633411780"/>
    <n v="4974021691"/>
    <n v="38255756"/>
  </r>
  <r>
    <x v="63"/>
    <x v="60"/>
    <n v="730117721"/>
    <n v="151229324"/>
    <n v="151229324"/>
    <n v="408596522"/>
    <n v="1"/>
  </r>
  <r>
    <x v="64"/>
    <x v="61"/>
    <n v="1189889669"/>
    <n v="30445000"/>
    <n v="30445000"/>
    <n v="228966509"/>
    <n v="1"/>
  </r>
  <r>
    <x v="65"/>
    <x v="62"/>
    <n v="39612696094"/>
    <n v="983339835"/>
    <n v="18507068095"/>
    <n v="1790185511"/>
    <n v="18920641"/>
  </r>
  <r>
    <x v="66"/>
    <x v="63"/>
    <n v="8605892986"/>
    <n v="245864674"/>
    <n v="3090848316"/>
    <n v="789763157"/>
    <n v="179412903"/>
  </r>
  <r>
    <x v="67"/>
    <x v="64"/>
    <n v="9104663531"/>
    <n v="518052000"/>
    <n v="4130738773"/>
    <n v="940112840"/>
    <n v="238420658"/>
  </r>
  <r>
    <x v="68"/>
    <x v="65"/>
    <n v="9209940306"/>
    <n v="1836029441"/>
    <n v="4970538177"/>
    <n v="1125424406"/>
    <n v="595462648"/>
  </r>
  <r>
    <x v="69"/>
    <x v="66"/>
    <n v="11478561998"/>
    <n v="5575918786"/>
    <n v="6058306130"/>
    <n v="2506851295"/>
    <n v="213096238"/>
  </r>
  <r>
    <x v="70"/>
    <x v="67"/>
    <n v="1377203737"/>
    <n v="36456900"/>
    <n v="231009037"/>
    <n v="154715913"/>
    <n v="1656580"/>
  </r>
  <r>
    <x v="71"/>
    <x v="68"/>
    <n v="3326135610"/>
    <n v="388870407"/>
    <n v="823368967"/>
    <n v="378433021"/>
    <n v="26676376"/>
  </r>
  <r>
    <x v="72"/>
    <x v="69"/>
    <n v="8281405183"/>
    <n v="670428104"/>
    <n v="3031967184"/>
    <n v="528094050"/>
    <n v="136337453"/>
  </r>
  <r>
    <x v="73"/>
    <x v="70"/>
    <n v="1610937360"/>
    <n v="522700131"/>
    <n v="522700131"/>
    <n v="133575116"/>
    <n v="139320"/>
  </r>
  <r>
    <x v="74"/>
    <x v="71"/>
    <n v="822282773"/>
    <n v="139908252"/>
    <n v="295932262"/>
    <n v="167456754"/>
    <n v="1"/>
  </r>
  <r>
    <x v="75"/>
    <x v="72"/>
    <n v="781305628"/>
    <n v="6428660"/>
    <n v="61268208"/>
    <n v="100119759"/>
    <n v="5194608"/>
  </r>
  <r>
    <x v="76"/>
    <x v="73"/>
    <n v="40229755836"/>
    <n v="6536943733"/>
    <n v="10137822023"/>
    <n v="7503376105"/>
    <n v="175557522"/>
  </r>
  <r>
    <x v="77"/>
    <x v="74"/>
    <n v="1857251907"/>
    <n v="51180556"/>
    <n v="236824813"/>
    <n v="268799708"/>
    <n v="1"/>
  </r>
  <r>
    <x v="78"/>
    <x v="75"/>
    <n v="4240726480"/>
    <n v="545779109"/>
    <n v="619665053"/>
    <n v="902101605"/>
    <n v="25941701"/>
  </r>
  <r>
    <x v="79"/>
    <x v="76"/>
    <n v="629500238"/>
    <n v="5000000"/>
    <n v="5000000"/>
    <n v="57272263"/>
    <n v="1"/>
  </r>
  <r>
    <x v="80"/>
    <x v="77"/>
    <n v="16970933887"/>
    <n v="323765900"/>
    <n v="6249957796"/>
    <n v="718419423"/>
    <n v="89375272"/>
  </r>
  <r>
    <x v="81"/>
    <x v="78"/>
    <n v="78051354773"/>
    <n v="5313788038"/>
    <n v="50185658438"/>
    <n v="2870327946"/>
    <n v="1311362099"/>
  </r>
  <r>
    <x v="82"/>
    <x v="79"/>
    <n v="39196745677"/>
    <n v="1588194564"/>
    <n v="8646021597"/>
    <n v="3973153431"/>
    <n v="43073326"/>
  </r>
  <r>
    <x v="83"/>
    <x v="80"/>
    <n v="3678630834"/>
    <n v="297394825"/>
    <n v="1102988472"/>
    <n v="397312270"/>
    <n v="14478717"/>
  </r>
  <r>
    <x v="84"/>
    <x v="0"/>
    <m/>
    <m/>
    <m/>
    <m/>
    <m/>
  </r>
  <r>
    <x v="85"/>
    <x v="81"/>
    <n v="2939932579"/>
    <n v="282356176"/>
    <n v="769850148"/>
    <n v="420933982"/>
    <n v="20000000"/>
  </r>
  <r>
    <x v="86"/>
    <x v="82"/>
    <n v="1890916000"/>
    <n v="722185000"/>
    <n v="722185000"/>
    <n v="372961000"/>
    <n v="241000"/>
  </r>
  <r>
    <x v="87"/>
    <x v="83"/>
    <n v="6034635000"/>
    <n v="198826000"/>
    <n v="3554587000"/>
    <n v="1436244000"/>
    <n v="199548000"/>
  </r>
  <r>
    <x v="88"/>
    <x v="84"/>
    <n v="43016585182"/>
    <n v="19031510028"/>
    <n v="26604545840"/>
    <n v="6644390239"/>
    <n v="1743909305"/>
  </r>
  <r>
    <x v="89"/>
    <x v="85"/>
    <n v="4806629584"/>
    <n v="176018488"/>
    <n v="1708248551"/>
    <n v="337666126"/>
    <n v="6026000"/>
  </r>
  <r>
    <x v="90"/>
    <x v="86"/>
    <n v="6418025187"/>
    <n v="142854571"/>
    <n v="628187443"/>
    <n v="356370871"/>
    <n v="22601745"/>
  </r>
  <r>
    <x v="91"/>
    <x v="87"/>
    <n v="8226756488"/>
    <n v="2075613949"/>
    <n v="4008370849"/>
    <n v="1891047868"/>
    <n v="151751435"/>
  </r>
  <r>
    <x v="92"/>
    <x v="88"/>
    <n v="3628197089"/>
    <n v="298887578"/>
    <n v="783598531"/>
    <n v="541501131"/>
    <n v="47239523"/>
  </r>
  <r>
    <x v="93"/>
    <x v="89"/>
    <n v="574574960"/>
    <n v="90739655"/>
    <n v="190739655"/>
    <n v="107999601"/>
    <n v="28068"/>
  </r>
  <r>
    <x v="94"/>
    <x v="90"/>
    <n v="15366427665"/>
    <n v="2406037123"/>
    <n v="8051850893"/>
    <n v="3203146406"/>
    <n v="593665102"/>
  </r>
  <r>
    <x v="95"/>
    <x v="91"/>
    <n v="27312769000"/>
    <n v="8958987000"/>
    <n v="12875861000"/>
    <n v="1878381000"/>
    <n v="1090815000"/>
  </r>
  <r>
    <x v="96"/>
    <x v="92"/>
    <n v="6174345294"/>
    <n v="1362601369"/>
    <n v="3617159092"/>
    <n v="584431071"/>
    <n v="281934390"/>
  </r>
  <r>
    <x v="97"/>
    <x v="93"/>
    <n v="8778424000"/>
    <n v="123765000"/>
    <n v="2618430000"/>
    <n v="560045000"/>
    <n v="27039000"/>
  </r>
  <r>
    <x v="98"/>
    <x v="94"/>
    <n v="13403059942"/>
    <n v="1603028178"/>
    <n v="3680773095"/>
    <n v="1100752305"/>
    <n v="12160243"/>
  </r>
  <r>
    <x v="99"/>
    <x v="95"/>
    <n v="1769366177"/>
    <n v="315106308"/>
    <n v="1028090909"/>
    <n v="741275268"/>
    <n v="816539499"/>
  </r>
  <r>
    <x v="100"/>
    <x v="96"/>
    <n v="5843203000"/>
    <n v="1079332000"/>
    <n v="2863333000"/>
    <n v="1048565000"/>
    <n v="34008000"/>
  </r>
  <r>
    <x v="101"/>
    <x v="97"/>
    <n v="11771793030"/>
    <n v="5323537651"/>
    <n v="6870950750"/>
    <n v="1667684017"/>
    <n v="174727194"/>
  </r>
  <r>
    <x v="102"/>
    <x v="98"/>
    <n v="1871427946"/>
    <n v="27799686"/>
    <n v="138726390"/>
    <n v="187534976"/>
    <n v="4736860"/>
  </r>
  <r>
    <x v="103"/>
    <x v="99"/>
    <n v="801124714"/>
    <n v="372000"/>
    <n v="13665011"/>
    <n v="41862405"/>
    <n v="1468511"/>
  </r>
  <r>
    <x v="104"/>
    <x v="100"/>
    <n v="221401065"/>
    <n v="1"/>
    <n v="1"/>
    <n v="31939677"/>
    <n v="1"/>
  </r>
  <r>
    <x v="105"/>
    <x v="101"/>
    <n v="11959312487"/>
    <n v="1234453842"/>
    <n v="6799945143"/>
    <n v="698486625"/>
    <n v="596527961"/>
  </r>
  <r>
    <x v="106"/>
    <x v="102"/>
    <n v="51604456195"/>
    <n v="11872064256"/>
    <n v="20173989296"/>
    <n v="3846962050"/>
    <n v="1235779143"/>
  </r>
  <r>
    <x v="107"/>
    <x v="103"/>
    <n v="4392019599"/>
    <n v="346093925"/>
    <n v="1313896402"/>
    <n v="1260914207"/>
    <n v="518297"/>
  </r>
  <r>
    <x v="108"/>
    <x v="104"/>
    <n v="406720506"/>
    <n v="9982930"/>
    <n v="100334538"/>
    <n v="107398052"/>
    <n v="230500"/>
  </r>
  <r>
    <x v="109"/>
    <x v="105"/>
    <n v="4369690728"/>
    <n v="834890506"/>
    <n v="1689998329"/>
    <n v="304409884"/>
    <n v="104688325"/>
  </r>
  <r>
    <x v="110"/>
    <x v="106"/>
    <n v="403448813"/>
    <n v="20197456"/>
    <n v="129584432"/>
    <n v="58238906"/>
    <n v="2573453"/>
  </r>
  <r>
    <x v="111"/>
    <x v="107"/>
    <n v="17186668508"/>
    <n v="2029015680"/>
    <n v="7484677828"/>
    <n v="1721093753"/>
    <n v="55927245"/>
  </r>
  <r>
    <x v="112"/>
    <x v="14"/>
    <n v="6074425978"/>
    <n v="1822584051"/>
    <n v="4135460909"/>
    <n v="245201081"/>
    <n v="489962"/>
  </r>
  <r>
    <x v="113"/>
    <x v="108"/>
    <n v="7694229812"/>
    <n v="889838369"/>
    <n v="1197097825"/>
    <n v="250319101"/>
    <n v="1"/>
  </r>
  <r>
    <x v="114"/>
    <x v="109"/>
    <n v="935973307"/>
    <n v="9950000"/>
    <n v="70950000"/>
    <n v="73042610"/>
    <n v="1"/>
  </r>
  <r>
    <x v="115"/>
    <x v="110"/>
    <n v="4985206638"/>
    <n v="315844517"/>
    <n v="1830039661"/>
    <n v="21178079"/>
    <n v="14978608"/>
  </r>
  <r>
    <x v="116"/>
    <x v="111"/>
    <n v="13859134696"/>
    <n v="3245269708"/>
    <n v="7523902580"/>
    <n v="2779146245"/>
    <n v="698070197"/>
  </r>
  <r>
    <x v="117"/>
    <x v="112"/>
    <n v="1497333000"/>
    <n v="132081000"/>
    <n v="330140000"/>
    <n v="96523000"/>
    <n v="5035000"/>
  </r>
  <r>
    <x v="118"/>
    <x v="113"/>
    <n v="737652000"/>
    <n v="108624000"/>
    <n v="196533000"/>
    <n v="66653000"/>
    <n v="15200000"/>
  </r>
  <r>
    <x v="119"/>
    <x v="114"/>
    <n v="37725272000"/>
    <n v="5020073000"/>
    <n v="8253666000"/>
    <n v="2874434000"/>
    <n v="286572000"/>
  </r>
  <r>
    <x v="120"/>
    <x v="115"/>
    <n v="2322331854"/>
    <n v="56959424"/>
    <n v="635007996"/>
    <n v="337174340"/>
    <n v="21573416"/>
  </r>
  <r>
    <x v="121"/>
    <x v="116"/>
    <n v="4292721914"/>
    <n v="232047263"/>
    <n v="1286455282"/>
    <n v="324324123"/>
    <n v="106324123"/>
  </r>
  <r>
    <x v="122"/>
    <x v="117"/>
    <n v="7675849245"/>
    <n v="912918765"/>
    <n v="3797835218"/>
    <n v="562386206"/>
    <n v="22063909"/>
  </r>
  <r>
    <x v="123"/>
    <x v="118"/>
    <n v="32316363079"/>
    <n v="8223868947"/>
    <n v="18542157464"/>
    <n v="3762826226"/>
    <n v="359375410"/>
  </r>
  <r>
    <x v="124"/>
    <x v="119"/>
    <n v="848817180"/>
    <n v="10726140"/>
    <n v="198716220"/>
    <n v="90986620"/>
    <n v="452300"/>
  </r>
  <r>
    <x v="125"/>
    <x v="120"/>
    <n v="1107131472"/>
    <n v="45788124"/>
    <n v="193015345"/>
    <n v="220601905"/>
    <n v="1492503"/>
  </r>
  <r>
    <x v="126"/>
    <x v="121"/>
    <n v="2087569896"/>
    <n v="101513196"/>
    <n v="252654155"/>
    <n v="61774549"/>
    <n v="1860264"/>
  </r>
  <r>
    <x v="127"/>
    <x v="122"/>
    <n v="1357390417"/>
    <n v="11750051"/>
    <n v="560219531"/>
    <n v="101808434"/>
    <n v="21880000"/>
  </r>
  <r>
    <x v="128"/>
    <x v="123"/>
    <n v="2383013295"/>
    <n v="88684110"/>
    <n v="445607171"/>
    <n v="240797247"/>
    <n v="15747492"/>
  </r>
  <r>
    <x v="129"/>
    <x v="124"/>
    <n v="1926024172"/>
    <n v="193163989"/>
    <n v="919574434"/>
    <n v="349529530"/>
    <n v="52700996"/>
  </r>
  <r>
    <x v="130"/>
    <x v="125"/>
    <n v="770565979"/>
    <n v="56772362"/>
    <n v="213798643"/>
    <n v="135143637"/>
    <n v="821409"/>
  </r>
  <r>
    <x v="131"/>
    <x v="126"/>
    <n v="1012305000"/>
    <n v="14500000"/>
    <n v="15480000"/>
    <n v="97398700"/>
    <n v="1"/>
  </r>
  <r>
    <x v="132"/>
    <x v="127"/>
    <n v="2230779608"/>
    <n v="24948322"/>
    <n v="433515782"/>
    <n v="648103471"/>
    <n v="4440000"/>
  </r>
  <r>
    <x v="133"/>
    <x v="128"/>
    <n v="14195480125"/>
    <n v="517900841"/>
    <n v="2943332841"/>
    <n v="704350511"/>
    <n v="1"/>
  </r>
  <r>
    <x v="134"/>
    <x v="129"/>
    <n v="1783343477"/>
    <n v="13561223"/>
    <n v="167256951"/>
    <n v="80260584"/>
    <n v="1"/>
  </r>
  <r>
    <x v="135"/>
    <x v="6"/>
    <n v="1046168432"/>
    <n v="3070000"/>
    <n v="61124000"/>
    <n v="104919541"/>
    <n v="4825000"/>
  </r>
  <r>
    <x v="136"/>
    <x v="130"/>
    <n v="886926000"/>
    <n v="9618000"/>
    <n v="64748000"/>
    <n v="39645000"/>
    <n v="1"/>
  </r>
  <r>
    <x v="137"/>
    <x v="131"/>
    <n v="884699141"/>
    <n v="84531103"/>
    <n v="84531103"/>
    <n v="8295329"/>
    <n v="1878229"/>
  </r>
  <r>
    <x v="138"/>
    <x v="132"/>
    <n v="2046220031"/>
    <n v="332938789"/>
    <n v="406871319"/>
    <n v="152388017"/>
    <n v="94447446"/>
  </r>
  <r>
    <x v="139"/>
    <x v="11"/>
    <n v="3664734551"/>
    <n v="188862171"/>
    <n v="1325138636"/>
    <n v="409540539"/>
    <n v="289000"/>
  </r>
  <r>
    <x v="140"/>
    <x v="133"/>
    <n v="206871908"/>
    <n v="2239860"/>
    <n v="57068473"/>
    <n v="51693888"/>
    <n v="1568441"/>
  </r>
  <r>
    <x v="141"/>
    <x v="134"/>
    <n v="714539838"/>
    <n v="54381000"/>
    <n v="169381000"/>
    <n v="93484800"/>
    <n v="1"/>
  </r>
  <r>
    <x v="142"/>
    <x v="135"/>
    <n v="689129321"/>
    <n v="1674441"/>
    <n v="5234441"/>
    <n v="32275881"/>
    <n v="3128441"/>
  </r>
  <r>
    <x v="143"/>
    <x v="136"/>
    <n v="912521926"/>
    <n v="7099437"/>
    <n v="125725190"/>
    <n v="71857434"/>
    <n v="3286337"/>
  </r>
  <r>
    <x v="144"/>
    <x v="137"/>
    <n v="447191562"/>
    <n v="7387544"/>
    <n v="171475501"/>
    <n v="19138017"/>
    <n v="4840642"/>
  </r>
  <r>
    <x v="145"/>
    <x v="138"/>
    <n v="1522635799"/>
    <n v="93059803"/>
    <n v="431945877"/>
    <n v="76320160"/>
    <n v="93850"/>
  </r>
  <r>
    <x v="146"/>
    <x v="139"/>
    <n v="1922426848"/>
    <n v="118646415"/>
    <n v="717953923"/>
    <n v="120967202"/>
    <n v="2684003"/>
  </r>
  <r>
    <x v="147"/>
    <x v="140"/>
    <n v="1286345000"/>
    <n v="1040000"/>
    <n v="19440000"/>
    <n v="227550000"/>
    <n v="24500000"/>
  </r>
  <r>
    <x v="148"/>
    <x v="130"/>
    <n v="886926000"/>
    <n v="9618000"/>
    <n v="64748000"/>
    <n v="39645000"/>
    <n v="1"/>
  </r>
  <r>
    <x v="26"/>
    <x v="141"/>
    <n v="3561853000"/>
    <n v="943487000"/>
    <n v="1337114000"/>
    <n v="372401000"/>
    <n v="63793121"/>
  </r>
  <r>
    <x v="149"/>
    <x v="14"/>
    <n v="6074425978"/>
    <n v="1822584051"/>
    <n v="4135460909"/>
    <n v="245201081"/>
    <n v="489962"/>
  </r>
  <r>
    <x v="150"/>
    <x v="142"/>
    <n v="797708849"/>
    <n v="90311735"/>
    <n v="90311735"/>
    <n v="216256295"/>
    <n v="1"/>
  </r>
  <r>
    <x v="151"/>
    <x v="143"/>
    <n v="1970347216"/>
    <n v="15914516"/>
    <n v="753123841"/>
    <n v="263979304"/>
    <n v="1"/>
  </r>
  <r>
    <x v="152"/>
    <x v="144"/>
    <n v="992651660"/>
    <n v="22356230"/>
    <n v="22356230"/>
    <n v="85551165"/>
    <n v="2956230"/>
  </r>
  <r>
    <x v="153"/>
    <x v="145"/>
    <n v="2113439726"/>
    <n v="461654566"/>
    <n v="1090475400"/>
    <n v="200976738"/>
    <n v="41981971"/>
  </r>
  <r>
    <x v="154"/>
    <x v="146"/>
    <n v="1301747030"/>
    <n v="238335357"/>
    <n v="778953038"/>
    <n v="91799779"/>
    <n v="4500314"/>
  </r>
  <r>
    <x v="155"/>
    <x v="147"/>
    <n v="2707722953"/>
    <n v="112200742"/>
    <n v="788200742"/>
    <n v="486020324"/>
    <n v="37796000"/>
  </r>
  <r>
    <x v="156"/>
    <x v="148"/>
    <n v="259265369"/>
    <n v="28803030"/>
    <n v="44850776"/>
    <n v="178724666"/>
    <n v="105200"/>
  </r>
  <r>
    <x v="157"/>
    <x v="20"/>
    <n v="598001856"/>
    <n v="15343909"/>
    <n v="335634952"/>
    <n v="37597811"/>
    <n v="1524332"/>
  </r>
  <r>
    <x v="158"/>
    <x v="149"/>
    <n v="853293044"/>
    <n v="191708805"/>
    <n v="241515134"/>
    <n v="125946923"/>
    <n v="447750"/>
  </r>
  <r>
    <x v="159"/>
    <x v="150"/>
    <n v="1235852300"/>
    <n v="5000000"/>
    <n v="210000000"/>
    <n v="154920150"/>
    <n v="9819850"/>
  </r>
  <r>
    <x v="160"/>
    <x v="151"/>
    <n v="10078678227"/>
    <n v="1302920031"/>
    <n v="4077052468"/>
    <n v="835211120"/>
    <n v="120045806"/>
  </r>
  <r>
    <x v="161"/>
    <x v="152"/>
    <n v="13878619351"/>
    <n v="705702360"/>
    <n v="2938029149"/>
    <n v="802521570"/>
    <n v="13892033"/>
  </r>
  <r>
    <x v="162"/>
    <x v="153"/>
    <n v="7685484985"/>
    <n v="213831489"/>
    <n v="1455121698"/>
    <n v="418473105"/>
    <n v="6941667"/>
  </r>
  <r>
    <x v="163"/>
    <x v="154"/>
    <n v="4755756587"/>
    <n v="252067318"/>
    <n v="252067318"/>
    <n v="510088278"/>
    <n v="24953000"/>
  </r>
  <r>
    <x v="164"/>
    <x v="155"/>
    <n v="759473309"/>
    <n v="127132499"/>
    <n v="249665397"/>
    <n v="29946563"/>
    <n v="2125465"/>
  </r>
  <r>
    <x v="165"/>
    <x v="156"/>
    <n v="629269800"/>
    <n v="26406000"/>
    <n v="268384972"/>
    <n v="36885520"/>
    <n v="1"/>
  </r>
  <r>
    <x v="0"/>
    <x v="0"/>
    <m/>
    <m/>
    <m/>
    <m/>
    <m/>
  </r>
  <r>
    <x v="166"/>
    <x v="157"/>
    <n v="24212966306"/>
    <n v="71387183"/>
    <n v="11709244133"/>
    <n v="1552244741"/>
    <n v="488656866"/>
  </r>
  <r>
    <x v="167"/>
    <x v="158"/>
    <n v="11101052398"/>
    <n v="9474233"/>
    <n v="4165099306"/>
    <n v="773463002"/>
    <n v="134528176"/>
  </r>
  <r>
    <x v="168"/>
    <x v="159"/>
    <n v="15634999702"/>
    <n v="107184555"/>
    <n v="7154067802"/>
    <n v="973027816"/>
    <n v="103710036"/>
  </r>
  <r>
    <x v="169"/>
    <x v="160"/>
    <n v="3037406022"/>
    <n v="12984678"/>
    <n v="1422432551"/>
    <n v="432868077"/>
    <n v="0"/>
  </r>
  <r>
    <x v="170"/>
    <x v="161"/>
    <n v="143775162989"/>
    <n v="26390189764"/>
    <n v="62429857315"/>
    <n v="11038857989"/>
    <n v="2397847799"/>
  </r>
  <r>
    <x v="171"/>
    <x v="162"/>
    <n v="702098884398"/>
    <n v="230526532527"/>
    <n v="398861475050"/>
    <n v="35964860038"/>
    <n v="18291140884"/>
  </r>
  <r>
    <x v="172"/>
    <x v="163"/>
    <n v="46527674260"/>
    <n v="5266671532"/>
    <n v="9447315104"/>
    <n v="974772437"/>
    <n v="365165053"/>
  </r>
  <r>
    <x v="173"/>
    <x v="164"/>
    <n v="86272070879"/>
    <n v="16180875214"/>
    <n v="57040251034"/>
    <n v="7163158204"/>
    <n v="3940421395"/>
  </r>
  <r>
    <x v="174"/>
    <x v="165"/>
    <n v="38625146000"/>
    <n v="11408766000"/>
    <n v="20493766000"/>
    <n v="5211201000"/>
    <n v="829966803"/>
  </r>
  <r>
    <x v="175"/>
    <x v="166"/>
    <n v="5558734303"/>
    <n v="902623373"/>
    <n v="3304950585"/>
    <n v="1203342284"/>
    <n v="122803194"/>
  </r>
  <r>
    <x v="176"/>
    <x v="0"/>
    <m/>
    <m/>
    <m/>
    <m/>
    <m/>
  </r>
  <r>
    <x v="177"/>
    <x v="167"/>
    <n v="27637698000"/>
    <n v="4798774000"/>
    <n v="15029237000"/>
    <n v="4513796000"/>
    <n v="560375000"/>
  </r>
  <r>
    <x v="178"/>
    <x v="168"/>
    <n v="9330038756"/>
    <n v="1897821176"/>
    <n v="2474254905"/>
    <n v="1743364744"/>
    <n v="69730549"/>
  </r>
  <r>
    <x v="179"/>
    <x v="169"/>
    <n v="9383744180"/>
    <n v="88250620"/>
    <n v="2203250620"/>
    <n v="594413792"/>
    <n v="17690605"/>
  </r>
  <r>
    <x v="180"/>
    <x v="170"/>
    <n v="9012753000"/>
    <n v="542417062"/>
    <n v="4201904904"/>
    <n v="423144797"/>
    <n v="46541606"/>
  </r>
  <r>
    <x v="181"/>
    <x v="171"/>
    <n v="11134370173"/>
    <n v="985013478"/>
    <n v="4046055334"/>
    <n v="1637245137"/>
    <n v="32666456"/>
  </r>
  <r>
    <x v="182"/>
    <x v="172"/>
    <n v="43832432329"/>
    <n v="372286426"/>
    <n v="10407151567"/>
    <n v="70204738"/>
    <n v="933303"/>
  </r>
  <r>
    <x v="183"/>
    <x v="173"/>
    <n v="66093954385"/>
    <n v="9894731299"/>
    <n v="26066364396"/>
    <n v="3895632558"/>
    <n v="1872597202"/>
  </r>
  <r>
    <x v="184"/>
    <x v="174"/>
    <n v="3350424485"/>
    <n v="487583654"/>
    <n v="1620232943"/>
    <n v="1050584776"/>
    <n v="0"/>
  </r>
  <r>
    <x v="185"/>
    <x v="175"/>
    <n v="14823899914"/>
    <n v="3107174709"/>
    <n v="5764545093"/>
    <n v="3698311977"/>
    <n v="379149462"/>
  </r>
  <r>
    <x v="186"/>
    <x v="176"/>
    <n v="24404844550"/>
    <n v="3440396396"/>
    <n v="5240396396"/>
    <n v="1482844363"/>
    <n v="111962733"/>
  </r>
  <r>
    <x v="187"/>
    <x v="59"/>
    <n v="26364901501"/>
    <n v="2235153054"/>
    <n v="5633411780"/>
    <n v="4974021691"/>
    <n v="38255756"/>
  </r>
  <r>
    <x v="188"/>
    <x v="107"/>
    <n v="17186668808"/>
    <n v="2029015680"/>
    <n v="7484677828"/>
    <n v="1721093753"/>
    <n v="55927245"/>
  </r>
  <r>
    <x v="189"/>
    <x v="111"/>
    <n v="13859134696"/>
    <n v="3245269708"/>
    <n v="7523902580"/>
    <n v="2779146245"/>
    <n v="698070197"/>
  </r>
  <r>
    <x v="190"/>
    <x v="177"/>
    <n v="20822448000"/>
    <n v="5713844000"/>
    <n v="10489602000"/>
    <n v="1527297000"/>
    <n v="293783000"/>
  </r>
  <r>
    <x v="191"/>
    <x v="178"/>
    <n v="26776206000"/>
    <n v="1560590000"/>
    <n v="7878499000"/>
    <n v="2051751000"/>
    <n v="22086000"/>
  </r>
  <r>
    <x v="192"/>
    <x v="179"/>
    <n v="29592460000"/>
    <n v="4725950000"/>
    <n v="6404872000"/>
    <n v="1749025000"/>
    <n v="95834000"/>
  </r>
  <r>
    <x v="193"/>
    <x v="180"/>
    <n v="311761028501"/>
    <n v="20696361955"/>
    <n v="68642587160"/>
    <n v="10319400025"/>
    <n v="4361412118"/>
  </r>
  <r>
    <x v="194"/>
    <x v="181"/>
    <n v="938542173707"/>
    <n v="268514271200"/>
    <n v="446535198470"/>
    <n v="74666780002"/>
    <n v="15673012709"/>
  </r>
  <r>
    <x v="195"/>
    <x v="182"/>
    <n v="1814623000"/>
    <n v="509143000"/>
    <n v="509143000"/>
    <n v="484011000"/>
    <n v="24735000"/>
  </r>
  <r>
    <x v="196"/>
    <x v="183"/>
    <n v="11207224525"/>
    <n v="1065523970"/>
    <n v="3923099109"/>
    <n v="706003439"/>
    <n v="32637504"/>
  </r>
  <r>
    <x v="197"/>
    <x v="184"/>
    <n v="343409009043"/>
    <n v="109721736317"/>
    <n v="255400361090"/>
    <n v="26669340686"/>
    <n v="2137351046"/>
  </r>
  <r>
    <x v="198"/>
    <x v="185"/>
    <n v="60061190"/>
    <n v="1982000"/>
    <n v="1982000"/>
    <n v="0"/>
    <n v="0"/>
  </r>
  <r>
    <x v="199"/>
    <x v="186"/>
    <n v="169772806631"/>
    <n v="52782667480"/>
    <n v="70091400004"/>
    <n v="9082108219"/>
    <n v="4236622637"/>
  </r>
  <r>
    <x v="200"/>
    <x v="187"/>
    <n v="57608633000"/>
    <n v="11367549000"/>
    <n v="11367549000"/>
    <n v="7577345000"/>
    <n v="256073000"/>
  </r>
  <r>
    <x v="201"/>
    <x v="188"/>
    <n v="22897015779"/>
    <n v="1788239361"/>
    <n v="8599916196"/>
    <n v="2005549750"/>
    <n v="115917126"/>
  </r>
  <r>
    <x v="202"/>
    <x v="189"/>
    <n v="2000000000"/>
    <n v="0"/>
    <n v="0"/>
    <n v="0"/>
    <n v="0"/>
  </r>
  <r>
    <x v="203"/>
    <x v="190"/>
    <n v="280000000"/>
    <n v="0"/>
    <n v="0"/>
    <n v="0"/>
    <n v="0"/>
  </r>
  <r>
    <x v="204"/>
    <x v="191"/>
    <n v="357883262000"/>
    <n v="146849515000"/>
    <n v="156433141000"/>
    <n v="13660285000"/>
    <n v="2478424000"/>
  </r>
  <r>
    <x v="205"/>
    <x v="192"/>
    <n v="128115279"/>
    <n v="36434947"/>
    <n v="36434947"/>
    <n v="108486534"/>
    <n v="631"/>
  </r>
  <r>
    <x v="206"/>
    <x v="193"/>
    <n v="2692912344789"/>
    <n v="1453230749721"/>
    <n v="2094610246696"/>
    <n v="92862722711"/>
    <n v="72582854154"/>
  </r>
  <r>
    <x v="207"/>
    <x v="194"/>
    <n v="78041923850"/>
    <n v="9302104396"/>
    <n v="36375586255"/>
    <n v="9412185233"/>
    <n v="904587657"/>
  </r>
  <r>
    <x v="208"/>
    <x v="195"/>
    <n v="207721507459"/>
    <n v="31694667168"/>
    <n v="57333352312"/>
    <n v="11519719143"/>
    <n v="804503503"/>
  </r>
  <r>
    <x v="209"/>
    <x v="196"/>
    <n v="34555614155"/>
    <n v="12825653551"/>
    <n v="17008250613"/>
    <n v="4268677400"/>
    <n v="641955898"/>
  </r>
  <r>
    <x v="210"/>
    <x v="197"/>
    <n v="50428566677"/>
    <n v="26497780338"/>
    <n v="30019013513"/>
    <n v="2153302107"/>
    <n v="71008665"/>
  </r>
  <r>
    <x v="211"/>
    <x v="198"/>
    <n v="231886150568"/>
    <n v="69028737418"/>
    <n v="147140048469"/>
    <n v="9718459772"/>
    <n v="7225475893"/>
  </r>
  <r>
    <x v="212"/>
    <x v="199"/>
    <n v="49010952703"/>
    <n v="7236895654"/>
    <n v="26174303356"/>
    <n v="4918470566"/>
    <n v="2566520032"/>
  </r>
  <r>
    <x v="213"/>
    <x v="200"/>
    <n v="32137648526"/>
    <n v="1129461044"/>
    <n v="7125201028"/>
    <n v="3214810395"/>
    <n v="84732301"/>
  </r>
  <r>
    <x v="214"/>
    <x v="201"/>
    <n v="218052225821"/>
    <n v="64271245"/>
    <n v="134801790205"/>
    <n v="13814548113"/>
    <n v="1820099771"/>
  </r>
  <r>
    <x v="215"/>
    <x v="202"/>
    <n v="171531298278"/>
    <n v="42733975435"/>
    <n v="123859975951"/>
    <n v="5091593753"/>
    <n v="4085250132"/>
  </r>
  <r>
    <x v="216"/>
    <x v="203"/>
    <n v="781860712052"/>
    <n v="97772478978"/>
    <n v="381413057278"/>
    <n v="86185861868"/>
    <n v="19328876505"/>
  </r>
  <r>
    <x v="217"/>
    <x v="204"/>
    <n v="2103799000"/>
    <n v="713046000"/>
    <n v="946969000"/>
    <n v="407919000"/>
    <n v="14257000"/>
  </r>
  <r>
    <x v="218"/>
    <x v="205"/>
    <n v="822617276653"/>
    <n v="107998408367"/>
    <n v="185084712286"/>
    <n v="41215339776"/>
    <n v="1229259797"/>
  </r>
  <r>
    <x v="219"/>
    <x v="206"/>
    <n v="1949382677"/>
    <n v="241382102"/>
    <n v="717088454"/>
    <n v="100014673"/>
    <n v="0"/>
  </r>
  <r>
    <x v="220"/>
    <x v="207"/>
    <n v="100000000"/>
    <n v="0"/>
    <n v="0"/>
    <n v="0"/>
    <n v="0"/>
  </r>
  <r>
    <x v="221"/>
    <x v="208"/>
    <n v="15558050100"/>
    <n v="2136759096"/>
    <n v="4539999451"/>
    <n v="1244630457"/>
    <n v="20770600"/>
  </r>
  <r>
    <x v="222"/>
    <x v="209"/>
    <n v="21291952740"/>
    <n v="4935754947"/>
    <n v="5747369923"/>
    <n v="648603606"/>
    <n v="717222"/>
  </r>
  <r>
    <x v="223"/>
    <x v="210"/>
    <n v="13878619351"/>
    <n v="705702360"/>
    <n v="2938029149"/>
    <n v="802521570"/>
    <n v="13892033"/>
  </r>
  <r>
    <x v="224"/>
    <x v="153"/>
    <n v="7685484985"/>
    <n v="213831489"/>
    <n v="1455121698"/>
    <n v="418473105"/>
    <n v="6941667"/>
  </r>
  <r>
    <x v="225"/>
    <x v="211"/>
    <n v="67279567176"/>
    <n v="9896770355"/>
    <n v="20896244066"/>
    <n v="6238597733"/>
    <n v="401317867"/>
  </r>
  <r>
    <x v="226"/>
    <x v="212"/>
    <n v="487893199252"/>
    <n v="166926017078"/>
    <n v="211721204949"/>
    <n v="20076115686"/>
    <n v="3829524907"/>
  </r>
  <r>
    <x v="227"/>
    <x v="213"/>
    <n v="15862371813"/>
    <n v="1184283832"/>
    <n v="9489299672"/>
    <n v="509483947"/>
    <n v="3171577"/>
  </r>
  <r>
    <x v="228"/>
    <x v="214"/>
    <n v="52569899645"/>
    <n v="890736916"/>
    <n v="16571579644"/>
    <n v="3531160793"/>
    <n v="423652259"/>
  </r>
  <r>
    <x v="229"/>
    <x v="215"/>
    <n v="8505910578"/>
    <n v="250174706"/>
    <n v="838806892"/>
    <n v="86629331"/>
    <n v="10487904"/>
  </r>
  <r>
    <x v="230"/>
    <x v="216"/>
    <n v="148652005"/>
    <n v="38983169"/>
    <n v="38983169"/>
    <n v="10577005"/>
    <n v="442817"/>
  </r>
  <r>
    <x v="231"/>
    <x v="217"/>
    <n v="61843363000"/>
    <n v="20681186000"/>
    <n v="36678358000"/>
    <n v="12006425000"/>
    <n v="1111753000"/>
  </r>
  <r>
    <x v="232"/>
    <x v="218"/>
    <n v="1079188897375"/>
    <n v="208828730091"/>
    <n v="434250505274"/>
    <n v="91311474229"/>
    <n v="15417012240"/>
  </r>
  <r>
    <x v="233"/>
    <x v="219"/>
    <n v="12675901420"/>
    <n v="3691379798"/>
    <n v="5372835732"/>
    <n v="7303065688"/>
    <n v="0"/>
  </r>
  <r>
    <x v="234"/>
    <x v="220"/>
    <n v="288408482000"/>
    <n v="92082312000"/>
    <n v="151334870000"/>
    <n v="15251952000"/>
    <n v="4845170000"/>
  </r>
  <r>
    <x v="235"/>
    <x v="221"/>
    <n v="10326292370"/>
    <n v="1261202416"/>
    <n v="4629091246"/>
    <n v="376111806"/>
    <n v="7387236"/>
  </r>
  <r>
    <x v="236"/>
    <x v="222"/>
    <n v="19412502705"/>
    <n v="745966437"/>
    <n v="2482836303"/>
    <n v="779538098"/>
    <n v="48170572"/>
  </r>
  <r>
    <x v="237"/>
    <x v="223"/>
    <n v="23377081462"/>
    <n v="354001966"/>
    <n v="5909814024"/>
    <n v="1680896927"/>
    <n v="67717061"/>
  </r>
  <r>
    <x v="238"/>
    <x v="224"/>
    <n v="9322533832"/>
    <n v="2110845715"/>
    <n v="2765609108"/>
    <n v="1389519731"/>
    <n v="76560172"/>
  </r>
  <r>
    <x v="239"/>
    <x v="225"/>
    <n v="2352632971"/>
    <n v="216132029"/>
    <n v="427302375"/>
    <n v="536874041"/>
    <n v="3331592"/>
  </r>
  <r>
    <x v="240"/>
    <x v="226"/>
    <n v="2573115643"/>
    <n v="255940625"/>
    <n v="1129337669"/>
    <n v="281727013"/>
    <n v="7004068"/>
  </r>
  <r>
    <x v="241"/>
    <x v="227"/>
    <n v="3919048222"/>
    <n v="956457876"/>
    <n v="2171168110"/>
    <n v="308560542"/>
    <n v="34958464"/>
  </r>
  <r>
    <x v="242"/>
    <x v="228"/>
    <n v="37149005515"/>
    <n v="837169749"/>
    <n v="9071800712"/>
    <n v="519236471"/>
    <n v="606784150"/>
  </r>
  <r>
    <x v="243"/>
    <x v="229"/>
    <n v="236707674005"/>
    <n v="41265522354"/>
    <n v="91921840208"/>
    <n v="35615287652"/>
    <n v="105966266"/>
  </r>
  <r>
    <x v="244"/>
    <x v="230"/>
    <n v="168849062864"/>
    <n v="32565800247"/>
    <n v="70031520923"/>
    <n v="17612619195"/>
    <n v="626044234"/>
  </r>
  <r>
    <x v="245"/>
    <x v="231"/>
    <n v="470366195452"/>
    <n v="234467889283"/>
    <n v="272510570974"/>
    <n v="6710385945"/>
    <n v="429842068"/>
  </r>
  <r>
    <x v="246"/>
    <x v="58"/>
    <n v="14296869048"/>
    <n v="4506543948"/>
    <n v="9712236217"/>
    <n v="1843833155"/>
    <n v="554801334"/>
  </r>
  <r>
    <x v="247"/>
    <x v="232"/>
    <n v="157876151235"/>
    <n v="91456864816"/>
    <n v="108836803256"/>
    <n v="17168661363"/>
    <n v="292728632"/>
  </r>
  <r>
    <x v="248"/>
    <x v="117"/>
    <n v="7675849245"/>
    <n v="912918765"/>
    <n v="3797835218"/>
    <n v="562386206"/>
    <n v="22063909"/>
  </r>
  <r>
    <x v="249"/>
    <x v="233"/>
    <n v="39612696094"/>
    <n v="782942783"/>
    <n v="18306671043"/>
    <n v="1191695417"/>
    <n v="18920641"/>
  </r>
  <r>
    <x v="250"/>
    <x v="64"/>
    <n v="9104653531"/>
    <n v="518052000"/>
    <n v="4130738773"/>
    <n v="940172840"/>
    <n v="238420658"/>
  </r>
  <r>
    <x v="251"/>
    <x v="176"/>
    <n v="24404844550"/>
    <n v="3440396396"/>
    <n v="5240396396"/>
    <n v="1482844363"/>
    <n v="111962713"/>
  </r>
  <r>
    <x v="252"/>
    <x v="108"/>
    <n v="7694229812"/>
    <n v="889838369"/>
    <n v="1197097825"/>
    <n v="250319101"/>
    <n v="0"/>
  </r>
  <r>
    <x v="253"/>
    <x v="234"/>
    <n v="554897185782"/>
    <n v="149984182672"/>
    <n v="259060997505"/>
    <n v="31879385958"/>
    <n v="3690832343"/>
  </r>
  <r>
    <x v="254"/>
    <x v="235"/>
    <n v="221020437891"/>
    <n v="37607442339"/>
    <n v="204577632424"/>
    <n v="4605445914"/>
    <n v="935246445"/>
  </r>
  <r>
    <x v="255"/>
    <x v="236"/>
    <n v="121981505282"/>
    <n v="37232031462"/>
    <n v="71620219688"/>
    <n v="14667760157"/>
    <n v="2932026884"/>
  </r>
  <r>
    <x v="256"/>
    <x v="96"/>
    <n v="5843203000"/>
    <n v="1079332000"/>
    <n v="2863333000"/>
    <n v="1048656000"/>
    <n v="34008000"/>
  </r>
  <r>
    <x v="257"/>
    <x v="237"/>
    <n v="57203525242"/>
    <n v="37874552470"/>
    <n v="39324814993"/>
    <n v="1448262328"/>
    <n v="750585255"/>
  </r>
  <r>
    <x v="57"/>
    <x v="54"/>
    <n v="12701619195"/>
    <n v="163163611"/>
    <n v="5719625040"/>
    <n v="740104537"/>
    <n v="0"/>
  </r>
  <r>
    <x v="258"/>
    <x v="238"/>
    <n v="386206039000"/>
    <n v="113468866000"/>
    <n v="211958513000"/>
    <n v="57969217000"/>
    <n v="5010725000"/>
  </r>
  <r>
    <x v="259"/>
    <x v="239"/>
    <n v="1712269030080"/>
    <n v="724765460860"/>
    <n v="1195434677080"/>
    <n v="54807064172"/>
    <n v="25471814560"/>
  </r>
  <r>
    <x v="260"/>
    <x v="240"/>
    <n v="50915590000"/>
    <n v="16817734000"/>
    <n v="18871024000"/>
    <n v="2997592000"/>
    <n v="203378000"/>
  </r>
  <r>
    <x v="261"/>
    <x v="241"/>
    <n v="148937884000"/>
    <n v="56335634000"/>
    <n v="74335488000"/>
    <n v="8449312000"/>
    <n v="0"/>
  </r>
  <r>
    <x v="229"/>
    <x v="242"/>
    <n v="3151452028"/>
    <n v="161716440"/>
    <n v="1376434599"/>
    <n v="502713704"/>
    <n v="0"/>
  </r>
  <r>
    <x v="262"/>
    <x v="243"/>
    <n v="1775581568"/>
    <n v="89785529"/>
    <n v="572445609"/>
    <n v="4607513"/>
    <n v="4307580"/>
  </r>
  <r>
    <x v="263"/>
    <x v="244"/>
    <n v="13144838199"/>
    <n v="4298434752"/>
    <n v="11453472032"/>
    <n v="3338933857"/>
    <n v="109300"/>
  </r>
  <r>
    <x v="264"/>
    <x v="245"/>
    <n v="18005091636"/>
    <n v="4419798585"/>
    <n v="10413250902"/>
    <n v="2071437419"/>
    <n v="191454495"/>
  </r>
  <r>
    <x v="265"/>
    <x v="95"/>
    <n v="1769366177"/>
    <n v="315106308"/>
    <n v="741275268"/>
    <n v="816539499"/>
    <n v="0"/>
  </r>
  <r>
    <x v="266"/>
    <x v="246"/>
    <n v="5516005000"/>
    <n v="256106000"/>
    <n v="479203000"/>
    <n v="686943000"/>
    <n v="21194000"/>
  </r>
  <r>
    <x v="267"/>
    <x v="247"/>
    <n v="1097454937494"/>
    <n v="140508928108"/>
    <n v="371333472042"/>
    <n v="258424644273"/>
    <n v="0"/>
  </r>
  <r>
    <x v="268"/>
    <x v="248"/>
    <n v="161365368000"/>
    <n v="71546221000"/>
    <n v="134348032000"/>
    <n v="11762422000"/>
    <n v="4565937000"/>
  </r>
  <r>
    <x v="269"/>
    <x v="249"/>
    <n v="179439085000"/>
    <n v="34246934000"/>
    <n v="93895943000"/>
    <n v="13773125000"/>
    <n v="5011496000"/>
  </r>
  <r>
    <x v="270"/>
    <x v="250"/>
    <n v="16355485569"/>
    <n v="3817008388"/>
    <n v="10686428693"/>
    <n v="1841644161"/>
    <n v="114579721"/>
  </r>
  <r>
    <x v="271"/>
    <x v="251"/>
    <n v="8272940631"/>
    <n v="1486522446"/>
    <n v="3063537990"/>
    <n v="368063895"/>
    <n v="58005914"/>
  </r>
  <r>
    <x v="272"/>
    <x v="252"/>
    <n v="13523541541"/>
    <n v="4794287757"/>
    <n v="5144287757"/>
    <n v="1806492902"/>
    <n v="124208422"/>
  </r>
  <r>
    <x v="273"/>
    <x v="253"/>
    <n v="13161811000"/>
    <n v="2243571000"/>
    <n v="6579083000"/>
    <n v="253204000"/>
    <n v="19334000"/>
  </r>
  <r>
    <x v="274"/>
    <x v="254"/>
    <n v="9265345064"/>
    <n v="798967509"/>
    <n v="2259203912"/>
    <n v="1410435939"/>
    <n v="203062554"/>
  </r>
  <r>
    <x v="275"/>
    <x v="76"/>
    <n v="629500238"/>
    <n v="5000000"/>
    <n v="5000000"/>
    <n v="57272263"/>
    <n v="0"/>
  </r>
  <r>
    <x v="276"/>
    <x v="77"/>
    <n v="16970933887"/>
    <n v="323765900"/>
    <n v="6249957796"/>
    <n v="718419423"/>
    <n v="89375272"/>
  </r>
  <r>
    <x v="277"/>
    <x v="255"/>
    <n v="62281035474"/>
    <n v="20102061046"/>
    <n v="48229355948"/>
    <n v="1865498400"/>
    <n v="534441361"/>
  </r>
  <r>
    <x v="278"/>
    <x v="256"/>
    <n v="1330265904630"/>
    <n v="776988282478"/>
    <n v="946008961735"/>
    <n v="83042565061"/>
    <n v="18308360651"/>
  </r>
  <r>
    <x v="279"/>
    <x v="257"/>
    <n v="26624696942"/>
    <n v="3466122831"/>
    <n v="7930686276"/>
    <n v="10195388994"/>
    <n v="71625779"/>
  </r>
  <r>
    <x v="280"/>
    <x v="90"/>
    <n v="15366427665"/>
    <n v="2406037123"/>
    <n v="8051850893"/>
    <n v="3203146406"/>
    <n v="593665102"/>
  </r>
  <r>
    <x v="281"/>
    <x v="258"/>
    <n v="17508400512"/>
    <n v="4036542470"/>
    <n v="9419070394"/>
    <n v="1471048671"/>
    <n v="646620657"/>
  </r>
  <r>
    <x v="282"/>
    <x v="259"/>
    <n v="3480727107"/>
    <n v="284553418"/>
    <n v="1369539011"/>
    <n v="543189292"/>
    <n v="133972634"/>
  </r>
  <r>
    <x v="283"/>
    <x v="260"/>
    <n v="4949275851"/>
    <n v="376409856"/>
    <n v="1456502766"/>
    <n v="826737125"/>
    <n v="122057578"/>
  </r>
  <r>
    <x v="284"/>
    <x v="261"/>
    <n v="794675903614"/>
    <n v="84613910328"/>
    <n v="249990026516"/>
    <n v="37605401974"/>
    <n v="9179664907"/>
  </r>
  <r>
    <x v="285"/>
    <x v="262"/>
    <n v="875849109"/>
    <n v="110628551"/>
    <n v="156595691"/>
    <n v="93395030"/>
    <n v="1"/>
  </r>
  <r>
    <x v="286"/>
    <x v="263"/>
    <n v="37550006595"/>
    <n v="7182271948"/>
    <n v="16873420298"/>
    <n v="3253455566"/>
    <n v="793555830"/>
  </r>
  <r>
    <x v="287"/>
    <x v="264"/>
    <n v="22625191373"/>
    <n v="330000000"/>
    <n v="330000000"/>
    <n v="1310317691"/>
    <n v="1856362"/>
  </r>
  <r>
    <x v="288"/>
    <x v="265"/>
    <n v="1058781667000"/>
    <n v="272114523000"/>
    <n v="366471325000"/>
    <n v="57454859000"/>
    <n v="8102625000"/>
  </r>
  <r>
    <x v="289"/>
    <x v="266"/>
    <n v="10604889235"/>
    <n v="745772549"/>
    <n v="1093337843"/>
    <n v="835241262"/>
    <n v="56691218"/>
  </r>
  <r>
    <x v="290"/>
    <x v="267"/>
    <n v="1961442980"/>
    <n v="76251555"/>
    <n v="76251555"/>
    <n v="460473366"/>
    <n v="1147839"/>
  </r>
  <r>
    <x v="291"/>
    <x v="201"/>
    <n v="218052225821"/>
    <n v="64271661245"/>
    <n v="134801790205"/>
    <n v="13814548113"/>
    <n v="1820099771"/>
  </r>
  <r>
    <x v="292"/>
    <x v="268"/>
    <n v="127729710063"/>
    <n v="7485963545"/>
    <n v="68374298790"/>
    <n v="2621354437"/>
    <n v="27348839"/>
  </r>
  <r>
    <x v="293"/>
    <x v="269"/>
    <n v="91299528860"/>
    <n v="32972176485"/>
    <n v="55140597726"/>
    <n v="4857598266"/>
    <n v="1581255913"/>
  </r>
  <r>
    <x v="294"/>
    <x v="270"/>
    <n v="202888103863"/>
    <n v="35731393959"/>
    <n v="95972276486"/>
    <n v="9619081672"/>
    <n v="6638257987"/>
  </r>
  <r>
    <x v="295"/>
    <x v="271"/>
    <n v="1060701756540"/>
    <n v="539219350930"/>
    <n v="798773458140"/>
    <n v="4033229630"/>
    <n v="27537722280"/>
  </r>
  <r>
    <x v="296"/>
    <x v="114"/>
    <n v="37725272000"/>
    <n v="5020073000"/>
    <n v="8253666000"/>
    <n v="2874434000"/>
    <n v="286572000"/>
  </r>
  <r>
    <x v="297"/>
    <x v="272"/>
    <n v="15629711644"/>
    <n v="3857860522"/>
    <n v="5615220522"/>
    <n v="2343435320"/>
    <n v="378501555"/>
  </r>
  <r>
    <x v="298"/>
    <x v="273"/>
    <n v="11760766581"/>
    <n v="2021237596"/>
    <n v="3346029551"/>
    <n v="2535077849"/>
    <n v="211743557"/>
  </r>
  <r>
    <x v="299"/>
    <x v="274"/>
    <n v="10067844661"/>
    <n v="915130427"/>
    <n v="2727112673"/>
    <n v="1268768173"/>
    <n v="174428330"/>
  </r>
  <r>
    <x v="300"/>
    <x v="275"/>
    <n v="152068160"/>
    <n v="14826300"/>
    <n v="14826300"/>
    <n v="143098822"/>
    <n v="0"/>
  </r>
  <r>
    <x v="301"/>
    <x v="241"/>
    <n v="148937884000"/>
    <n v="56335634000"/>
    <n v="74335488000"/>
    <n v="11413735000"/>
    <n v="5589543"/>
  </r>
  <r>
    <x v="302"/>
    <x v="276"/>
    <n v="3115400970445"/>
    <n v="1644916588935"/>
    <n v="2205932116997"/>
    <n v="151877291852"/>
    <n v="66787562865"/>
  </r>
  <r>
    <x v="303"/>
    <x v="277"/>
    <n v="54105956987"/>
    <n v="27392031643"/>
    <n v="27504856856"/>
    <n v="1745363231"/>
    <n v="34855999"/>
  </r>
  <r>
    <x v="304"/>
    <x v="278"/>
    <n v="31885204664"/>
    <n v="6161508632"/>
    <n v="13717370632"/>
    <n v="215340143"/>
    <n v="3410000"/>
  </r>
  <r>
    <x v="305"/>
    <x v="279"/>
    <n v="9730303781"/>
    <n v="761453926"/>
    <n v="3362720988"/>
    <n v="995167613"/>
    <n v="142507746"/>
  </r>
  <r>
    <x v="306"/>
    <x v="280"/>
    <n v="66650408000"/>
    <n v="9730927000"/>
    <n v="30546513000"/>
    <n v="1835577000"/>
    <n v="1081507000"/>
  </r>
  <r>
    <x v="307"/>
    <x v="24"/>
    <n v="17650515206"/>
    <n v="1806552594"/>
    <n v="10331392289"/>
    <n v="2021726257"/>
    <n v="182883524"/>
  </r>
  <r>
    <x v="308"/>
    <x v="281"/>
    <n v="7429665134"/>
    <n v="1773324438"/>
    <n v="5143171043"/>
    <n v="394044768"/>
    <n v="245786168"/>
  </r>
  <r>
    <x v="309"/>
    <x v="282"/>
    <n v="102144414944"/>
    <n v="54420655903"/>
    <n v="71069963955"/>
    <n v="6215562644"/>
    <n v="4114352466"/>
  </r>
  <r>
    <x v="310"/>
    <x v="82"/>
    <n v="1890916000"/>
    <n v="722185000"/>
    <n v="722185000"/>
    <n v="372961000"/>
    <n v="241000"/>
  </r>
  <r>
    <x v="311"/>
    <x v="283"/>
    <n v="9327376000"/>
    <n v="562951000"/>
    <n v="4582834000"/>
    <n v="1979803000"/>
    <n v="124517000"/>
  </r>
  <r>
    <x v="312"/>
    <x v="46"/>
    <n v="2847041020"/>
    <n v="753208917"/>
    <n v="1637940664"/>
    <n v="612835666"/>
    <n v="13541489"/>
  </r>
  <r>
    <x v="313"/>
    <x v="202"/>
    <n v="171531298278"/>
    <n v="42733975435"/>
    <n v="123859975951"/>
    <n v="5091593753"/>
    <n v="4085250132"/>
  </r>
  <r>
    <x v="314"/>
    <x v="203"/>
    <n v="781860712052"/>
    <n v="97772478978"/>
    <n v="381413057278"/>
    <n v="86185861868"/>
    <n v="19328876505"/>
  </r>
  <r>
    <x v="315"/>
    <x v="284"/>
    <n v="306023121000"/>
    <n v="55794569000"/>
    <n v="182058901000"/>
    <n v="26941160000"/>
    <n v="2810852000"/>
  </r>
  <r>
    <x v="316"/>
    <x v="285"/>
    <n v="1221438563000"/>
    <n v="90838895000"/>
    <n v="313672256000"/>
    <n v="12260354000"/>
    <n v="1685385836"/>
  </r>
  <r>
    <x v="317"/>
    <x v="286"/>
    <n v="177709159000"/>
    <n v="26597174000"/>
    <n v="86264821000"/>
    <n v="10965783000"/>
    <n v="851217000"/>
  </r>
  <r>
    <x v="318"/>
    <x v="287"/>
    <n v="2295678127"/>
    <n v="348900763"/>
    <n v="770266924"/>
    <n v="655872197"/>
    <n v="0"/>
  </r>
  <r>
    <x v="319"/>
    <x v="288"/>
    <n v="543278488364"/>
    <n v="167620420272"/>
    <n v="372815514726"/>
    <n v="15439009067"/>
    <n v="11706907316"/>
  </r>
  <r>
    <x v="320"/>
    <x v="289"/>
    <n v="110372836990"/>
    <n v="34706671910"/>
    <n v="71961267307"/>
    <n v="12667769546"/>
    <n v="4386783624"/>
  </r>
  <r>
    <x v="321"/>
    <x v="290"/>
    <n v="14320336874"/>
    <n v="2752492796"/>
    <n v="8377689888"/>
    <n v="2976922996"/>
    <n v="530214099"/>
  </r>
  <r>
    <x v="322"/>
    <x v="291"/>
    <n v="8825805702"/>
    <n v="2153085818"/>
    <n v="4939292735"/>
    <n v="503003184"/>
    <n v="21117099"/>
  </r>
  <r>
    <x v="323"/>
    <x v="292"/>
    <n v="1124189423"/>
    <n v="83688021"/>
    <n v="288580833"/>
    <n v="467074516"/>
    <n v="55932711"/>
  </r>
  <r>
    <x v="324"/>
    <x v="180"/>
    <n v="311761028501"/>
    <n v="20696361955"/>
    <n v="68642587160"/>
    <n v="10319400025"/>
    <n v="4361412118"/>
  </r>
  <r>
    <x v="325"/>
    <x v="293"/>
    <n v="1908965170327"/>
    <n v="350751874184"/>
    <n v="845091437313"/>
    <n v="73667163134"/>
    <n v="22275576796"/>
  </r>
  <r>
    <x v="326"/>
    <x v="294"/>
    <n v="411109702022"/>
    <n v="49632709586"/>
    <n v="126660057846"/>
    <n v="23280992461"/>
    <n v="6815957043"/>
  </r>
  <r>
    <x v="327"/>
    <x v="295"/>
    <n v="13661582505"/>
    <n v="96195850"/>
    <n v="5065005781"/>
    <n v="481833215"/>
    <n v="500000"/>
  </r>
  <r>
    <x v="328"/>
    <x v="296"/>
    <n v="107338076638"/>
    <n v="3013452767"/>
    <n v="24892808699"/>
    <n v="5804641386"/>
    <n v="83504729"/>
  </r>
  <r>
    <x v="329"/>
    <x v="297"/>
    <n v="741561294"/>
    <n v="6513147"/>
    <n v="370628004"/>
    <n v="0"/>
    <n v="0"/>
  </r>
  <r>
    <x v="330"/>
    <x v="298"/>
    <n v="1491064801000"/>
    <n v="140080983000"/>
    <n v="599760750000"/>
    <n v="50832164000"/>
    <n v="3877615000"/>
  </r>
  <r>
    <x v="331"/>
    <x v="299"/>
    <n v="10382273674"/>
    <n v="1156594417"/>
    <n v="5736392654"/>
    <n v="1366225613"/>
    <n v="110272608"/>
  </r>
  <r>
    <x v="332"/>
    <x v="300"/>
    <n v="7875626209"/>
    <n v="546552691"/>
    <n v="2884335122"/>
    <n v="912328718"/>
    <n v="1500000"/>
  </r>
  <r>
    <x v="333"/>
    <x v="301"/>
    <n v="3613708206"/>
    <n v="479585581"/>
    <n v="1616042978"/>
    <n v="456874899"/>
    <n v="56236150"/>
  </r>
  <r>
    <x v="334"/>
    <x v="302"/>
    <n v="94420009743"/>
    <n v="34140838840"/>
    <n v="34140838840"/>
    <n v="2489239647"/>
    <n v="5222098099"/>
  </r>
  <r>
    <x v="335"/>
    <x v="303"/>
    <n v="27122575080"/>
    <n v="4092703017"/>
    <n v="15523985135"/>
    <n v="1996747722"/>
    <n v="1071752026"/>
  </r>
  <r>
    <x v="336"/>
    <x v="304"/>
    <n v="839390986000"/>
    <n v="164104562000"/>
    <n v="182984498000"/>
    <n v="77434830000"/>
    <n v="1950187000"/>
  </r>
  <r>
    <x v="337"/>
    <x v="305"/>
    <n v="10697899225"/>
    <n v="2954669233"/>
    <n v="4112213210"/>
    <n v="1252480904"/>
    <n v="170192593"/>
  </r>
  <r>
    <x v="338"/>
    <x v="306"/>
    <n v="13037355389"/>
    <n v="1797013280"/>
    <n v="4248976354"/>
    <n v="509855897"/>
    <n v="135113816"/>
  </r>
  <r>
    <x v="339"/>
    <x v="307"/>
    <n v="65341159673"/>
    <n v="5928263213"/>
    <n v="28780814798"/>
    <n v="1977528434"/>
    <n v="32950"/>
  </r>
  <r>
    <x v="340"/>
    <x v="308"/>
    <n v="288671503372"/>
    <n v="38949212913"/>
    <n v="152538802016"/>
    <n v="21450353754"/>
    <n v="8526562360"/>
  </r>
  <r>
    <x v="341"/>
    <x v="309"/>
    <n v="7079734577"/>
    <n v="356201396"/>
    <n v="2041525278"/>
    <n v="573022122"/>
    <n v="83716244"/>
  </r>
  <r>
    <x v="342"/>
    <x v="310"/>
    <n v="29540745000"/>
    <n v="5020229000"/>
    <n v="18055550000"/>
    <n v="1674558000"/>
    <n v="489919000"/>
  </r>
  <r>
    <x v="343"/>
    <x v="166"/>
    <n v="5558734303"/>
    <n v="902623373"/>
    <n v="3304950585"/>
    <n v="1203342284"/>
    <n v="122803194"/>
  </r>
  <r>
    <x v="344"/>
    <x v="311"/>
    <n v="56370700000"/>
    <n v="7445068000"/>
    <n v="47487413000"/>
    <n v="78334000"/>
    <n v="22165000"/>
  </r>
  <r>
    <x v="345"/>
    <x v="312"/>
    <n v="13116804000"/>
    <n v="1102639000"/>
    <n v="1252432000"/>
    <n v="613054000"/>
    <n v="1000"/>
  </r>
  <r>
    <x v="346"/>
    <x v="313"/>
    <n v="1422745700"/>
    <n v="59065138"/>
    <n v="59065138"/>
    <n v="384800000"/>
    <n v="50000000"/>
  </r>
  <r>
    <x v="347"/>
    <x v="314"/>
    <n v="7757739398"/>
    <n v="1129034465"/>
    <n v="4826890136"/>
    <n v="1398158323"/>
    <n v="165085237"/>
  </r>
  <r>
    <x v="348"/>
    <x v="315"/>
    <n v="73935811615"/>
    <n v="8325702602"/>
    <n v="43861216959"/>
    <n v="17822436877"/>
    <n v="2654547251"/>
  </r>
  <r>
    <x v="349"/>
    <x v="316"/>
    <n v="121783955706"/>
    <n v="61117912924"/>
    <n v="61668502811"/>
    <n v="1780689851"/>
    <n v="37831743"/>
  </r>
  <r>
    <x v="350"/>
    <x v="317"/>
    <n v="203133047552"/>
    <n v="15521673696"/>
    <n v="146978831380"/>
    <n v="24925260996"/>
    <n v="1369931326"/>
  </r>
  <r>
    <x v="351"/>
    <x v="318"/>
    <n v="40793501745.879997"/>
    <n v="13172884175.15"/>
    <n v="13349177864.959999"/>
    <n v="12282762182.379999"/>
    <n v="77527998.769999996"/>
  </r>
  <r>
    <x v="352"/>
    <x v="319"/>
    <n v="1090713489000"/>
    <n v="275138540000"/>
    <n v="660498140000"/>
    <n v="64784370000"/>
    <n v="6561098000"/>
  </r>
  <r>
    <x v="353"/>
    <x v="320"/>
    <n v="82430675639"/>
    <n v="14535220841"/>
    <n v="60914583723"/>
    <n v="7029893934"/>
    <n v="468329500"/>
  </r>
  <r>
    <x v="354"/>
    <x v="321"/>
    <n v="152112152235"/>
    <n v="70062372878"/>
    <n v="92742797975"/>
    <n v="4598777041"/>
    <n v="1473463479"/>
  </r>
  <r>
    <x v="355"/>
    <x v="322"/>
    <n v="16874000000"/>
    <n v="1"/>
    <n v="1"/>
    <n v="1"/>
    <n v="1"/>
  </r>
  <r>
    <x v="356"/>
    <x v="323"/>
    <n v="7646460000"/>
    <n v="1170821000"/>
    <n v="2241252000"/>
    <n v="1655058000"/>
    <n v="77670000"/>
  </r>
  <r>
    <x v="357"/>
    <x v="324"/>
    <n v="13798726000"/>
    <n v="3049462000"/>
    <n v="6197792000"/>
    <n v="1707296000"/>
    <n v="249516000"/>
  </r>
  <r>
    <x v="358"/>
    <x v="325"/>
    <n v="21093128213"/>
    <n v="1195281763"/>
    <n v="6509918816"/>
    <n v="2655089978"/>
    <n v="210157362"/>
  </r>
  <r>
    <x v="359"/>
    <x v="326"/>
    <n v="8543515815"/>
    <n v="66452554"/>
    <n v="594248007"/>
    <n v="1351495331"/>
    <n v="631346"/>
  </r>
  <r>
    <x v="360"/>
    <x v="327"/>
    <n v="83800682174"/>
    <n v="22737050480"/>
    <n v="43312727754"/>
    <n v="3958615375"/>
    <n v="751725076"/>
  </r>
  <r>
    <x v="361"/>
    <x v="328"/>
    <n v="20107409884"/>
    <n v="1513789319"/>
    <n v="3442836721"/>
    <n v="2415937704"/>
    <n v="1329650"/>
  </r>
  <r>
    <x v="362"/>
    <x v="329"/>
    <n v="5233728046"/>
    <n v="543392116"/>
    <n v="819015649"/>
    <n v="1832351977"/>
    <n v="37882686"/>
  </r>
  <r>
    <x v="363"/>
    <x v="330"/>
    <n v="228410239000"/>
    <n v="61530297000"/>
    <n v="132660764000"/>
    <n v="20385551000"/>
    <n v="4202470644"/>
  </r>
  <r>
    <x v="364"/>
    <x v="331"/>
    <n v="13947711832"/>
    <n v="2271013313"/>
    <n v="5546924544"/>
    <n v="1322022221"/>
    <n v="301632220"/>
  </r>
  <r>
    <x v="365"/>
    <x v="332"/>
    <n v="20616997694"/>
    <n v="12442968779"/>
    <n v="13555055313"/>
    <n v="1910985185"/>
    <n v="281287463"/>
  </r>
  <r>
    <x v="366"/>
    <x v="333"/>
    <n v="10707102193"/>
    <n v="2997593872"/>
    <n v="3597593872"/>
    <n v="2231615466"/>
    <n v="95232557"/>
  </r>
  <r>
    <x v="0"/>
    <x v="0"/>
    <m/>
    <m/>
    <m/>
    <m/>
    <m/>
  </r>
  <r>
    <x v="0"/>
    <x v="0"/>
    <m/>
    <m/>
    <m/>
    <m/>
    <m/>
  </r>
  <r>
    <x v="0"/>
    <x v="0"/>
    <m/>
    <m/>
    <m/>
    <m/>
    <m/>
  </r>
  <r>
    <x v="0"/>
    <x v="0"/>
    <m/>
    <m/>
    <m/>
    <m/>
    <m/>
  </r>
  <r>
    <x v="0"/>
    <x v="0"/>
    <m/>
    <m/>
    <m/>
    <m/>
    <m/>
  </r>
  <r>
    <x v="0"/>
    <x v="0"/>
    <m/>
    <m/>
    <m/>
    <m/>
    <m/>
  </r>
  <r>
    <x v="0"/>
    <x v="0"/>
    <m/>
    <m/>
    <m/>
    <m/>
    <m/>
  </r>
  <r>
    <x v="0"/>
    <x v="0"/>
    <m/>
    <m/>
    <m/>
    <m/>
    <m/>
  </r>
  <r>
    <x v="0"/>
    <x v="0"/>
    <m/>
    <m/>
    <m/>
    <m/>
    <m/>
  </r>
  <r>
    <x v="0"/>
    <x v="0"/>
    <m/>
    <m/>
    <m/>
    <m/>
    <m/>
  </r>
  <r>
    <x v="0"/>
    <x v="0"/>
    <m/>
    <m/>
    <m/>
    <m/>
    <m/>
  </r>
  <r>
    <x v="0"/>
    <x v="0"/>
    <m/>
    <m/>
    <m/>
    <m/>
    <m/>
  </r>
  <r>
    <x v="0"/>
    <x v="0"/>
    <m/>
    <m/>
    <m/>
    <m/>
    <m/>
  </r>
  <r>
    <x v="0"/>
    <x v="0"/>
    <m/>
    <m/>
    <m/>
    <m/>
    <m/>
  </r>
  <r>
    <x v="0"/>
    <x v="0"/>
    <m/>
    <m/>
    <m/>
    <m/>
    <m/>
  </r>
  <r>
    <x v="0"/>
    <x v="0"/>
    <m/>
    <m/>
    <m/>
    <m/>
    <m/>
  </r>
  <r>
    <x v="0"/>
    <x v="0"/>
    <m/>
    <m/>
    <m/>
    <m/>
    <m/>
  </r>
  <r>
    <x v="0"/>
    <x v="0"/>
    <m/>
    <m/>
    <m/>
    <m/>
    <m/>
  </r>
  <r>
    <x v="0"/>
    <x v="0"/>
    <m/>
    <m/>
    <m/>
    <m/>
    <m/>
  </r>
  <r>
    <x v="0"/>
    <x v="0"/>
    <m/>
    <m/>
    <m/>
    <m/>
    <m/>
  </r>
  <r>
    <x v="0"/>
    <x v="0"/>
    <m/>
    <m/>
    <m/>
    <m/>
    <m/>
  </r>
  <r>
    <x v="0"/>
    <x v="0"/>
    <m/>
    <m/>
    <m/>
    <m/>
    <m/>
  </r>
  <r>
    <x v="0"/>
    <x v="0"/>
    <m/>
    <m/>
    <m/>
    <m/>
    <m/>
  </r>
  <r>
    <x v="0"/>
    <x v="0"/>
    <m/>
    <m/>
    <m/>
    <m/>
    <m/>
  </r>
  <r>
    <x v="0"/>
    <x v="0"/>
    <m/>
    <m/>
    <m/>
    <m/>
    <m/>
  </r>
  <r>
    <x v="0"/>
    <x v="0"/>
    <m/>
    <m/>
    <m/>
    <m/>
    <m/>
  </r>
  <r>
    <x v="0"/>
    <x v="0"/>
    <m/>
    <m/>
    <m/>
    <m/>
    <m/>
  </r>
  <r>
    <x v="0"/>
    <x v="0"/>
    <m/>
    <m/>
    <m/>
    <m/>
    <m/>
  </r>
  <r>
    <x v="0"/>
    <x v="0"/>
    <m/>
    <m/>
    <m/>
    <m/>
    <m/>
  </r>
  <r>
    <x v="0"/>
    <x v="0"/>
    <m/>
    <m/>
    <m/>
    <m/>
    <m/>
  </r>
  <r>
    <x v="0"/>
    <x v="0"/>
    <m/>
    <m/>
    <m/>
    <m/>
    <m/>
  </r>
  <r>
    <x v="0"/>
    <x v="0"/>
    <m/>
    <m/>
    <m/>
    <m/>
    <m/>
  </r>
  <r>
    <x v="0"/>
    <x v="0"/>
    <m/>
    <m/>
    <m/>
    <m/>
    <m/>
  </r>
  <r>
    <x v="0"/>
    <x v="0"/>
    <m/>
    <m/>
    <m/>
    <m/>
    <m/>
  </r>
  <r>
    <x v="0"/>
    <x v="0"/>
    <m/>
    <m/>
    <m/>
    <m/>
    <m/>
  </r>
  <r>
    <x v="0"/>
    <x v="0"/>
    <m/>
    <m/>
    <m/>
    <m/>
    <m/>
  </r>
  <r>
    <x v="0"/>
    <x v="0"/>
    <m/>
    <m/>
    <m/>
    <m/>
    <m/>
  </r>
  <r>
    <x v="0"/>
    <x v="0"/>
    <m/>
    <m/>
    <m/>
    <m/>
    <m/>
  </r>
  <r>
    <x v="0"/>
    <x v="0"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Tabla dinámica1" cacheId="0" applyNumberFormats="0" applyBorderFormats="0" applyFontFormats="0" applyPatternFormats="0" applyAlignmentFormats="0" applyWidthHeightFormats="1" dataCaption="Datos" updatedVersion="5" minRefreshableVersion="3" showMemberPropertyTips="0" useAutoFormatting="1" itemPrintTitles="1" createdVersion="3" indent="0" compact="0" compactData="0" gridDropZones="1">
  <location ref="A3:G372" firstHeaderRow="1" firstDataRow="2" firstDataCol="1"/>
  <pivotFields count="7">
    <pivotField axis="axisRow" compact="0" outline="0" subtotalTop="0" showAll="0" includeNewItemsInFilter="1" sortType="ascending" rankBy="0">
      <items count="369">
        <item x="112"/>
        <item x="146"/>
        <item x="140"/>
        <item x="26"/>
        <item x="152"/>
        <item x="242"/>
        <item x="204"/>
        <item x="123"/>
        <item x="241"/>
        <item x="335"/>
        <item x="180"/>
        <item x="282"/>
        <item x="283"/>
        <item x="83"/>
        <item x="23"/>
        <item x="149"/>
        <item x="253"/>
        <item x="46"/>
        <item x="142"/>
        <item x="31"/>
        <item x="365"/>
        <item x="290"/>
        <item x="194"/>
        <item x="252"/>
        <item x="113"/>
        <item x="71"/>
        <item x="39"/>
        <item x="295"/>
        <item x="96"/>
        <item x="101"/>
        <item x="95"/>
        <item x="229"/>
        <item x="296"/>
        <item x="261"/>
        <item x="301"/>
        <item x="150"/>
        <item x="316"/>
        <item x="219"/>
        <item x="185"/>
        <item x="315"/>
        <item x="15"/>
        <item x="199"/>
        <item x="158"/>
        <item x="1"/>
        <item x="102"/>
        <item x="234"/>
        <item x="11"/>
        <item x="202"/>
        <item x="103"/>
        <item x="347"/>
        <item x="130"/>
        <item x="333"/>
        <item x="184"/>
        <item x="217"/>
        <item x="302"/>
        <item x="193"/>
        <item x="160"/>
        <item x="209"/>
        <item x="324"/>
        <item x="181"/>
        <item x="182"/>
        <item x="48"/>
        <item x="308"/>
        <item x="189"/>
        <item x="116"/>
        <item x="254"/>
        <item x="173"/>
        <item x="288"/>
        <item x="166"/>
        <item x="230"/>
        <item x="299"/>
        <item x="245"/>
        <item x="198"/>
        <item x="197"/>
        <item x="260"/>
        <item x="9"/>
        <item x="191"/>
        <item x="349"/>
        <item x="177"/>
        <item x="203"/>
        <item x="352"/>
        <item x="325"/>
        <item x="264"/>
        <item x="114"/>
        <item x="232"/>
        <item x="215"/>
        <item x="313"/>
        <item x="223"/>
        <item x="161"/>
        <item x="138"/>
        <item x="263"/>
        <item x="124"/>
        <item x="364"/>
        <item x="55"/>
        <item x="17"/>
        <item x="294"/>
        <item x="348"/>
        <item x="357"/>
        <item x="176"/>
        <item x="201"/>
        <item x="330"/>
        <item x="262"/>
        <item x="37"/>
        <item x="298"/>
        <item x="2"/>
        <item x="287"/>
        <item x="120"/>
        <item x="19"/>
        <item x="74"/>
        <item x="358"/>
        <item x="322"/>
        <item x="89"/>
        <item x="353"/>
        <item x="256"/>
        <item x="100"/>
        <item x="59"/>
        <item x="362"/>
        <item x="91"/>
        <item x="38"/>
        <item x="319"/>
        <item x="266"/>
        <item x="318"/>
        <item x="289"/>
        <item x="292"/>
        <item x="145"/>
        <item x="339"/>
        <item x="51"/>
        <item x="255"/>
        <item x="196"/>
        <item x="119"/>
        <item x="341"/>
        <item x="131"/>
        <item x="27"/>
        <item x="56"/>
        <item x="250"/>
        <item x="67"/>
        <item x="321"/>
        <item x="64"/>
        <item x="340"/>
        <item x="128"/>
        <item x="52"/>
        <item x="320"/>
        <item x="18"/>
        <item x="355"/>
        <item x="306"/>
        <item x="144"/>
        <item x="85"/>
        <item x="200"/>
        <item x="41"/>
        <item x="356"/>
        <item x="16"/>
        <item x="216"/>
        <item x="314"/>
        <item x="69"/>
        <item x="133"/>
        <item x="275"/>
        <item x="79"/>
        <item x="342"/>
        <item x="351"/>
        <item x="317"/>
        <item x="336"/>
        <item x="267"/>
        <item x="268"/>
        <item x="36"/>
        <item x="332"/>
        <item x="309"/>
        <item x="97"/>
        <item x="326"/>
        <item x="225"/>
        <item x="246"/>
        <item x="61"/>
        <item x="343"/>
        <item x="175"/>
        <item x="107"/>
        <item x="106"/>
        <item x="327"/>
        <item x="187"/>
        <item x="62"/>
        <item x="82"/>
        <item x="137"/>
        <item x="310"/>
        <item x="86"/>
        <item x="243"/>
        <item x="174"/>
        <item x="192"/>
        <item x="231"/>
        <item x="183"/>
        <item x="5"/>
        <item x="60"/>
        <item x="213"/>
        <item x="338"/>
        <item x="276"/>
        <item x="80"/>
        <item x="222"/>
        <item x="110"/>
        <item x="73"/>
        <item x="10"/>
        <item x="345"/>
        <item x="75"/>
        <item x="265"/>
        <item x="99"/>
        <item x="307"/>
        <item x="25"/>
        <item x="3"/>
        <item x="104"/>
        <item x="169"/>
        <item x="179"/>
        <item x="57"/>
        <item x="29"/>
        <item x="126"/>
        <item x="148"/>
        <item x="136"/>
        <item x="311"/>
        <item x="134"/>
        <item x="4"/>
        <item x="28"/>
        <item x="66"/>
        <item x="45"/>
        <item x="70"/>
        <item x="32"/>
        <item x="305"/>
        <item x="78"/>
        <item x="164"/>
        <item x="240"/>
        <item x="147"/>
        <item x="303"/>
        <item x="258"/>
        <item x="249"/>
        <item x="65"/>
        <item x="207"/>
        <item x="269"/>
        <item x="35"/>
        <item x="33"/>
        <item x="24"/>
        <item x="168"/>
        <item x="239"/>
        <item x="92"/>
        <item x="121"/>
        <item x="236"/>
        <item x="7"/>
        <item x="34"/>
        <item x="54"/>
        <item x="117"/>
        <item x="63"/>
        <item x="155"/>
        <item x="257"/>
        <item x="284"/>
        <item x="115"/>
        <item x="165"/>
        <item x="153"/>
        <item x="337"/>
        <item x="346"/>
        <item x="233"/>
        <item x="42"/>
        <item x="244"/>
        <item x="163"/>
        <item x="8"/>
        <item x="218"/>
        <item x="279"/>
        <item x="224"/>
        <item x="162"/>
        <item x="328"/>
        <item x="205"/>
        <item x="206"/>
        <item x="361"/>
        <item x="167"/>
        <item x="360"/>
        <item x="273"/>
        <item x="151"/>
        <item x="156"/>
        <item x="270"/>
        <item x="221"/>
        <item x="108"/>
        <item x="49"/>
        <item x="312"/>
        <item x="304"/>
        <item x="81"/>
        <item x="277"/>
        <item x="220"/>
        <item x="84"/>
        <item x="237"/>
        <item x="43"/>
        <item x="259"/>
        <item x="127"/>
        <item x="125"/>
        <item x="323"/>
        <item x="22"/>
        <item x="77"/>
        <item x="359"/>
        <item x="53"/>
        <item x="281"/>
        <item x="40"/>
        <item x="170"/>
        <item x="293"/>
        <item x="280"/>
        <item x="94"/>
        <item x="58"/>
        <item x="6"/>
        <item x="135"/>
        <item x="20"/>
        <item x="68"/>
        <item x="350"/>
        <item x="285"/>
        <item x="188"/>
        <item x="111"/>
        <item x="47"/>
        <item x="50"/>
        <item x="30"/>
        <item x="286"/>
        <item x="118"/>
        <item x="88"/>
        <item x="141"/>
        <item x="109"/>
        <item x="274"/>
        <item x="143"/>
        <item x="271"/>
        <item x="247"/>
        <item x="211"/>
        <item x="329"/>
        <item x="248"/>
        <item x="122"/>
        <item x="14"/>
        <item x="366"/>
        <item x="238"/>
        <item x="172"/>
        <item x="105"/>
        <item x="13"/>
        <item x="195"/>
        <item x="90"/>
        <item x="251"/>
        <item x="186"/>
        <item x="178"/>
        <item x="214"/>
        <item x="291"/>
        <item x="208"/>
        <item x="212"/>
        <item x="157"/>
        <item x="21"/>
        <item m="1" x="367"/>
        <item x="12"/>
        <item x="139"/>
        <item x="226"/>
        <item x="72"/>
        <item x="354"/>
        <item x="278"/>
        <item x="235"/>
        <item x="272"/>
        <item x="154"/>
        <item x="331"/>
        <item x="210"/>
        <item x="227"/>
        <item x="44"/>
        <item x="171"/>
        <item x="334"/>
        <item x="93"/>
        <item x="190"/>
        <item x="87"/>
        <item x="228"/>
        <item x="76"/>
        <item x="363"/>
        <item x="129"/>
        <item x="300"/>
        <item x="98"/>
        <item x="159"/>
        <item x="344"/>
        <item x="297"/>
        <item x="132"/>
        <item x="0"/>
        <item t="default"/>
      </items>
    </pivotField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howAll="0" defaultSubtotal="0"/>
    <pivotField dataField="1" compact="0" outline="0" showAll="0" defaultSubtotal="0"/>
  </pivotFields>
  <rowFields count="1">
    <field x="0"/>
  </rowFields>
  <rowItems count="36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>
      <x v="296"/>
    </i>
    <i>
      <x v="297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1"/>
    </i>
    <i>
      <x v="312"/>
    </i>
    <i>
      <x v="313"/>
    </i>
    <i>
      <x v="314"/>
    </i>
    <i>
      <x v="315"/>
    </i>
    <i>
      <x v="316"/>
    </i>
    <i>
      <x v="317"/>
    </i>
    <i>
      <x v="318"/>
    </i>
    <i>
      <x v="319"/>
    </i>
    <i>
      <x v="320"/>
    </i>
    <i>
      <x v="321"/>
    </i>
    <i>
      <x v="322"/>
    </i>
    <i>
      <x v="323"/>
    </i>
    <i>
      <x v="324"/>
    </i>
    <i>
      <x v="325"/>
    </i>
    <i>
      <x v="326"/>
    </i>
    <i>
      <x v="327"/>
    </i>
    <i>
      <x v="328"/>
    </i>
    <i>
      <x v="329"/>
    </i>
    <i>
      <x v="330"/>
    </i>
    <i>
      <x v="331"/>
    </i>
    <i>
      <x v="332"/>
    </i>
    <i>
      <x v="333"/>
    </i>
    <i>
      <x v="334"/>
    </i>
    <i>
      <x v="335"/>
    </i>
    <i>
      <x v="336"/>
    </i>
    <i>
      <x v="337"/>
    </i>
    <i>
      <x v="339"/>
    </i>
    <i>
      <x v="340"/>
    </i>
    <i>
      <x v="341"/>
    </i>
    <i>
      <x v="342"/>
    </i>
    <i>
      <x v="343"/>
    </i>
    <i>
      <x v="344"/>
    </i>
    <i>
      <x v="345"/>
    </i>
    <i>
      <x v="346"/>
    </i>
    <i>
      <x v="347"/>
    </i>
    <i>
      <x v="348"/>
    </i>
    <i>
      <x v="349"/>
    </i>
    <i>
      <x v="350"/>
    </i>
    <i>
      <x v="351"/>
    </i>
    <i>
      <x v="352"/>
    </i>
    <i>
      <x v="353"/>
    </i>
    <i>
      <x v="354"/>
    </i>
    <i>
      <x v="355"/>
    </i>
    <i>
      <x v="356"/>
    </i>
    <i>
      <x v="357"/>
    </i>
    <i>
      <x v="358"/>
    </i>
    <i>
      <x v="359"/>
    </i>
    <i>
      <x v="360"/>
    </i>
    <i>
      <x v="361"/>
    </i>
    <i>
      <x v="362"/>
    </i>
    <i>
      <x v="363"/>
    </i>
    <i>
      <x v="364"/>
    </i>
    <i>
      <x v="365"/>
    </i>
    <i>
      <x v="366"/>
    </i>
    <i>
      <x v="367"/>
    </i>
    <i t="grand">
      <x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dataFields count="6">
    <dataField name="Suma de ACTIVO CORRIENTE" fld="1" baseField="0" baseItem="0" numFmtId="173"/>
    <dataField name="Suma de ACTIVO TOTAL" fld="2" baseField="0" baseItem="0" numFmtId="173"/>
    <dataField name="Suma de PASIVO CORRIENTE" fld="3" baseField="0" baseItem="0" numFmtId="173"/>
    <dataField name="Suma de PASIVO TOTAL" fld="4" baseField="0" baseItem="0" numFmtId="173"/>
    <dataField name="Suma de UTILIDAD / PERDIDA OPERACIONAL " fld="5" baseField="0" baseItem="4" numFmtId="3"/>
    <dataField name="Suma de GASTOS INTERESES" fld="6" baseField="0" baseItem="4" numFmtId="3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2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Relationship Id="rId4" Type="http://schemas.openxmlformats.org/officeDocument/2006/relationships/ctrlProp" Target="../ctrlProps/ctrlProp3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9.bin"/><Relationship Id="rId4" Type="http://schemas.openxmlformats.org/officeDocument/2006/relationships/ctrlProp" Target="../ctrlProps/ctrlProp4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0.bin"/><Relationship Id="rId4" Type="http://schemas.openxmlformats.org/officeDocument/2006/relationships/ctrlProp" Target="../ctrlProps/ctrlProp5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1.bin"/><Relationship Id="rId4" Type="http://schemas.openxmlformats.org/officeDocument/2006/relationships/ctrlProp" Target="../ctrlProps/ctrlProp6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2.bin"/><Relationship Id="rId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/>
  <dimension ref="A3:AF39"/>
  <sheetViews>
    <sheetView topLeftCell="B2" zoomScale="75" workbookViewId="0">
      <pane xSplit="3" ySplit="5" topLeftCell="M7" activePane="bottomRight" state="frozen"/>
      <selection activeCell="E34" sqref="E34"/>
      <selection pane="topRight" activeCell="E34" sqref="E34"/>
      <selection pane="bottomLeft" activeCell="E34" sqref="E34"/>
      <selection pane="bottomRight" activeCell="C35" sqref="C35:V38"/>
    </sheetView>
  </sheetViews>
  <sheetFormatPr baseColWidth="10" defaultRowHeight="12.75" x14ac:dyDescent="0.2"/>
  <cols>
    <col min="2" max="2" width="3.7109375" customWidth="1"/>
    <col min="3" max="3" width="6.85546875" customWidth="1"/>
    <col min="4" max="4" width="43" bestFit="1" customWidth="1"/>
    <col min="5" max="5" width="14.140625" bestFit="1" customWidth="1"/>
    <col min="6" max="6" width="13.85546875" bestFit="1" customWidth="1"/>
    <col min="7" max="7" width="14.140625" bestFit="1" customWidth="1"/>
    <col min="8" max="8" width="14" bestFit="1" customWidth="1"/>
    <col min="9" max="9" width="14.140625" bestFit="1" customWidth="1"/>
    <col min="10" max="11" width="13.85546875" bestFit="1" customWidth="1"/>
    <col min="12" max="12" width="14.140625" bestFit="1" customWidth="1"/>
    <col min="13" max="13" width="13.85546875" bestFit="1" customWidth="1"/>
    <col min="14" max="15" width="13.140625" bestFit="1" customWidth="1"/>
    <col min="16" max="18" width="14.140625" bestFit="1" customWidth="1"/>
    <col min="19" max="19" width="13.140625" bestFit="1" customWidth="1"/>
  </cols>
  <sheetData>
    <row r="3" spans="1:32" ht="13.5" thickBot="1" x14ac:dyDescent="0.25"/>
    <row r="4" spans="1:32" x14ac:dyDescent="0.2">
      <c r="B4" s="340" t="s">
        <v>12</v>
      </c>
      <c r="C4" s="341"/>
      <c r="D4" s="344" t="s">
        <v>13</v>
      </c>
      <c r="E4" s="346" t="s">
        <v>115</v>
      </c>
      <c r="F4" s="347"/>
      <c r="G4" s="347"/>
      <c r="H4" s="347"/>
      <c r="I4" s="347"/>
      <c r="J4" s="347"/>
      <c r="K4" s="347"/>
      <c r="L4" s="347"/>
      <c r="M4" s="347"/>
      <c r="N4" s="347"/>
      <c r="O4" s="348"/>
      <c r="P4" s="337" t="s">
        <v>119</v>
      </c>
      <c r="Q4" s="338"/>
      <c r="R4" s="338"/>
      <c r="S4" s="339"/>
      <c r="T4" s="337" t="s">
        <v>120</v>
      </c>
      <c r="U4" s="338"/>
      <c r="V4" s="338"/>
      <c r="W4" s="339"/>
    </row>
    <row r="5" spans="1:32" ht="39" thickBot="1" x14ac:dyDescent="0.25">
      <c r="B5" s="342"/>
      <c r="C5" s="343"/>
      <c r="D5" s="345"/>
      <c r="E5" s="34" t="s">
        <v>104</v>
      </c>
      <c r="F5" s="35" t="s">
        <v>105</v>
      </c>
      <c r="G5" s="35" t="s">
        <v>106</v>
      </c>
      <c r="H5" s="35" t="s">
        <v>107</v>
      </c>
      <c r="I5" s="35" t="s">
        <v>108</v>
      </c>
      <c r="J5" s="35" t="s">
        <v>109</v>
      </c>
      <c r="K5" s="35" t="s">
        <v>110</v>
      </c>
      <c r="L5" s="35" t="s">
        <v>111</v>
      </c>
      <c r="M5" s="35" t="s">
        <v>112</v>
      </c>
      <c r="N5" s="35" t="s">
        <v>113</v>
      </c>
      <c r="O5" s="36" t="s">
        <v>114</v>
      </c>
      <c r="P5" s="37" t="s">
        <v>116</v>
      </c>
      <c r="Q5" s="38" t="s">
        <v>110</v>
      </c>
      <c r="R5" s="38" t="s">
        <v>117</v>
      </c>
      <c r="S5" s="39" t="s">
        <v>118</v>
      </c>
      <c r="T5" s="37" t="s">
        <v>116</v>
      </c>
      <c r="U5" s="38" t="s">
        <v>110</v>
      </c>
      <c r="V5" s="38" t="s">
        <v>117</v>
      </c>
      <c r="W5" s="39" t="s">
        <v>118</v>
      </c>
      <c r="X5" s="25"/>
      <c r="Y5" s="25"/>
      <c r="Z5" s="25"/>
      <c r="AA5" s="25"/>
      <c r="AB5" s="25"/>
      <c r="AC5" s="25"/>
      <c r="AD5" s="25"/>
      <c r="AE5" s="25"/>
      <c r="AF5" s="25"/>
    </row>
    <row r="6" spans="1:32" ht="13.5" thickBot="1" x14ac:dyDescent="0.25">
      <c r="A6" s="12"/>
      <c r="B6" s="10"/>
      <c r="C6" s="10"/>
      <c r="D6" s="11"/>
      <c r="L6" s="63"/>
      <c r="T6" s="26"/>
      <c r="U6" s="26"/>
      <c r="V6" s="26"/>
      <c r="W6" s="26"/>
    </row>
    <row r="7" spans="1:32" ht="15" x14ac:dyDescent="0.2">
      <c r="B7" s="349">
        <v>1</v>
      </c>
      <c r="C7" s="51"/>
      <c r="D7" s="70" t="s">
        <v>130</v>
      </c>
      <c r="E7" s="53"/>
      <c r="F7" s="53"/>
      <c r="G7" s="53"/>
      <c r="H7" s="54"/>
      <c r="I7" s="53"/>
      <c r="J7" s="53"/>
      <c r="K7" s="54"/>
      <c r="L7" s="53"/>
      <c r="M7" s="54"/>
      <c r="N7" s="67"/>
      <c r="O7" s="67"/>
      <c r="P7" s="67"/>
      <c r="Q7" s="67"/>
      <c r="R7" s="67"/>
      <c r="S7" s="67"/>
      <c r="T7" s="55"/>
      <c r="U7" s="55"/>
      <c r="V7" s="55"/>
      <c r="W7" s="56"/>
    </row>
    <row r="8" spans="1:32" ht="14.25" x14ac:dyDescent="0.2">
      <c r="B8" s="350"/>
      <c r="C8" s="68">
        <v>1.1000000000000001</v>
      </c>
      <c r="D8" s="62" t="s">
        <v>131</v>
      </c>
      <c r="E8" s="52">
        <v>661279000</v>
      </c>
      <c r="F8" s="52">
        <v>586850000</v>
      </c>
      <c r="G8" s="52"/>
      <c r="H8" s="41">
        <f>SUM(E8:G8)</f>
        <v>1248129000</v>
      </c>
      <c r="I8" s="52">
        <v>133995725</v>
      </c>
      <c r="J8" s="52">
        <v>243009275</v>
      </c>
      <c r="K8" s="41">
        <f>SUM(I8:J8)</f>
        <v>377005000</v>
      </c>
      <c r="L8" s="52">
        <f>+H8-K8</f>
        <v>871124000</v>
      </c>
      <c r="M8" s="41">
        <f>+K8+L8</f>
        <v>1248129000</v>
      </c>
      <c r="N8" s="52">
        <v>89170000</v>
      </c>
      <c r="O8" s="52">
        <v>65583000</v>
      </c>
      <c r="P8" s="52">
        <v>1248129000</v>
      </c>
      <c r="Q8" s="52">
        <v>353418000</v>
      </c>
      <c r="R8" s="52">
        <v>894711000</v>
      </c>
      <c r="S8" s="52">
        <v>93656000</v>
      </c>
      <c r="T8" s="27">
        <f>(H8-P8)/P8</f>
        <v>0</v>
      </c>
      <c r="U8" s="27">
        <f>+(K8-Q8)/Q8</f>
        <v>6.673966804180885E-2</v>
      </c>
      <c r="V8" s="27">
        <f>(L8-R8)/R8</f>
        <v>-2.6362702593351373E-2</v>
      </c>
      <c r="W8" s="57">
        <f>(O8-S8)/S8</f>
        <v>-0.29974587853421031</v>
      </c>
    </row>
    <row r="9" spans="1:32" ht="14.25" x14ac:dyDescent="0.2">
      <c r="B9" s="350"/>
      <c r="C9" s="68">
        <v>1.2</v>
      </c>
      <c r="D9" s="62" t="s">
        <v>132</v>
      </c>
      <c r="E9" s="52">
        <v>902790808</v>
      </c>
      <c r="F9" s="52">
        <v>22582416</v>
      </c>
      <c r="G9" s="52">
        <v>15532940</v>
      </c>
      <c r="H9" s="41">
        <f t="shared" ref="H9:H31" si="0">SUM(E9:G9)</f>
        <v>940906164</v>
      </c>
      <c r="I9" s="52">
        <v>69497421</v>
      </c>
      <c r="J9" s="52">
        <v>467428657</v>
      </c>
      <c r="K9" s="41">
        <f t="shared" ref="K9:K31" si="1">SUM(I9:J9)</f>
        <v>536926078</v>
      </c>
      <c r="L9" s="52">
        <v>403980086</v>
      </c>
      <c r="M9" s="41">
        <f t="shared" ref="M9:M31" si="2">+K9+L9</f>
        <v>940906164</v>
      </c>
      <c r="N9" s="52">
        <v>18766695</v>
      </c>
      <c r="O9" s="52">
        <v>20396695</v>
      </c>
      <c r="P9" s="52"/>
      <c r="Q9" s="52"/>
      <c r="R9" s="52"/>
      <c r="S9" s="52"/>
      <c r="T9" s="27" t="e">
        <f t="shared" ref="T9:T31" si="3">(H9-P9)/P9</f>
        <v>#DIV/0!</v>
      </c>
      <c r="U9" s="27" t="e">
        <f t="shared" ref="U9:U31" si="4">+(K9-Q9)/Q9</f>
        <v>#DIV/0!</v>
      </c>
      <c r="V9" s="27" t="e">
        <f t="shared" ref="V9:V31" si="5">(L9-R9)/R9</f>
        <v>#DIV/0!</v>
      </c>
      <c r="W9" s="57" t="e">
        <f t="shared" ref="W9:W31" si="6">(O9-S9)/S9</f>
        <v>#DIV/0!</v>
      </c>
    </row>
    <row r="10" spans="1:32" ht="14.25" x14ac:dyDescent="0.2">
      <c r="B10" s="350"/>
      <c r="C10" s="68">
        <v>1.3</v>
      </c>
      <c r="D10" s="62" t="s">
        <v>133</v>
      </c>
      <c r="E10" s="52">
        <v>300353422</v>
      </c>
      <c r="F10" s="52">
        <v>251940082</v>
      </c>
      <c r="G10" s="52">
        <v>69532472</v>
      </c>
      <c r="H10" s="41">
        <f t="shared" si="0"/>
        <v>621825976</v>
      </c>
      <c r="I10" s="52">
        <v>153716887</v>
      </c>
      <c r="J10" s="52">
        <v>54587444</v>
      </c>
      <c r="K10" s="41">
        <f t="shared" si="1"/>
        <v>208304331</v>
      </c>
      <c r="L10" s="52">
        <v>413521645</v>
      </c>
      <c r="M10" s="41">
        <f t="shared" si="2"/>
        <v>621825976</v>
      </c>
      <c r="N10" s="52">
        <v>16241438</v>
      </c>
      <c r="O10" s="52">
        <v>16221673</v>
      </c>
      <c r="P10" s="52">
        <v>611957000</v>
      </c>
      <c r="Q10" s="52">
        <v>208285000</v>
      </c>
      <c r="R10" s="52">
        <v>403672000</v>
      </c>
      <c r="S10" s="52">
        <v>17042000</v>
      </c>
      <c r="T10" s="27">
        <f t="shared" si="3"/>
        <v>1.6126910877725067E-2</v>
      </c>
      <c r="U10" s="27">
        <f t="shared" si="4"/>
        <v>9.2810331997023312E-5</v>
      </c>
      <c r="V10" s="27">
        <f t="shared" si="5"/>
        <v>2.4400119403872451E-2</v>
      </c>
      <c r="W10" s="57">
        <f t="shared" si="6"/>
        <v>-4.8135606149512969E-2</v>
      </c>
    </row>
    <row r="11" spans="1:32" ht="14.25" x14ac:dyDescent="0.2">
      <c r="B11" s="350"/>
      <c r="C11" s="68">
        <v>1.4</v>
      </c>
      <c r="D11" s="62" t="s">
        <v>134</v>
      </c>
      <c r="E11" s="52">
        <v>506655816</v>
      </c>
      <c r="F11" s="52">
        <v>152054516</v>
      </c>
      <c r="G11" s="52">
        <v>245059330</v>
      </c>
      <c r="H11" s="41">
        <f t="shared" si="0"/>
        <v>903769662</v>
      </c>
      <c r="I11" s="52">
        <v>137779007</v>
      </c>
      <c r="J11" s="52">
        <v>42562365</v>
      </c>
      <c r="K11" s="41">
        <f t="shared" si="1"/>
        <v>180341372</v>
      </c>
      <c r="L11" s="52">
        <v>723428291</v>
      </c>
      <c r="M11" s="41">
        <f t="shared" si="2"/>
        <v>903769663</v>
      </c>
      <c r="N11" s="52">
        <v>50395207</v>
      </c>
      <c r="O11" s="52">
        <v>42647207</v>
      </c>
      <c r="P11" s="52">
        <v>903769000</v>
      </c>
      <c r="Q11" s="52">
        <v>180341000</v>
      </c>
      <c r="R11" s="52">
        <v>723428000</v>
      </c>
      <c r="S11" s="52">
        <v>46988000</v>
      </c>
      <c r="T11" s="27">
        <f t="shared" si="3"/>
        <v>7.3248805834234188E-7</v>
      </c>
      <c r="U11" s="27">
        <f t="shared" si="4"/>
        <v>2.0627588845575881E-6</v>
      </c>
      <c r="V11" s="27">
        <f t="shared" si="5"/>
        <v>4.0225150256832744E-7</v>
      </c>
      <c r="W11" s="57">
        <f t="shared" si="6"/>
        <v>-9.2380884481144121E-2</v>
      </c>
    </row>
    <row r="12" spans="1:32" ht="14.25" x14ac:dyDescent="0.2">
      <c r="B12" s="350"/>
      <c r="C12" s="68">
        <v>1.5</v>
      </c>
      <c r="D12" s="62" t="s">
        <v>135</v>
      </c>
      <c r="E12" s="52">
        <v>378072865</v>
      </c>
      <c r="F12" s="52">
        <v>103601233</v>
      </c>
      <c r="G12" s="52">
        <v>955950</v>
      </c>
      <c r="H12" s="41">
        <f t="shared" si="0"/>
        <v>482630048</v>
      </c>
      <c r="I12" s="52">
        <v>36771662</v>
      </c>
      <c r="J12" s="52">
        <v>134085789</v>
      </c>
      <c r="K12" s="41">
        <f t="shared" si="1"/>
        <v>170857451</v>
      </c>
      <c r="L12" s="52">
        <v>311772597</v>
      </c>
      <c r="M12" s="41">
        <f t="shared" si="2"/>
        <v>482630048</v>
      </c>
      <c r="N12" s="52">
        <v>15703386</v>
      </c>
      <c r="O12" s="52">
        <v>7048986</v>
      </c>
      <c r="P12" s="52">
        <v>482631000</v>
      </c>
      <c r="Q12" s="52">
        <v>170858000</v>
      </c>
      <c r="R12" s="52">
        <v>311773000</v>
      </c>
      <c r="S12" s="52">
        <v>22479000</v>
      </c>
      <c r="T12" s="27">
        <f t="shared" si="3"/>
        <v>-1.9725214501347823E-6</v>
      </c>
      <c r="U12" s="27">
        <f t="shared" si="4"/>
        <v>-3.2131945826358732E-6</v>
      </c>
      <c r="V12" s="27">
        <f t="shared" si="5"/>
        <v>-1.2926071212067754E-6</v>
      </c>
      <c r="W12" s="57">
        <f t="shared" si="6"/>
        <v>-0.68641905778726808</v>
      </c>
    </row>
    <row r="13" spans="1:32" ht="14.25" x14ac:dyDescent="0.2">
      <c r="B13" s="350"/>
      <c r="C13" s="68">
        <v>1.6</v>
      </c>
      <c r="D13" s="62" t="s">
        <v>136</v>
      </c>
      <c r="E13" s="52">
        <v>69932426</v>
      </c>
      <c r="F13" s="52">
        <v>460250218</v>
      </c>
      <c r="G13" s="52">
        <v>107112095</v>
      </c>
      <c r="H13" s="41">
        <f t="shared" si="0"/>
        <v>637294739</v>
      </c>
      <c r="I13" s="52">
        <v>29489669</v>
      </c>
      <c r="J13" s="52">
        <v>80572256</v>
      </c>
      <c r="K13" s="41">
        <f t="shared" si="1"/>
        <v>110061925</v>
      </c>
      <c r="L13" s="52">
        <v>527232814</v>
      </c>
      <c r="M13" s="41">
        <f t="shared" si="2"/>
        <v>637294739</v>
      </c>
      <c r="N13" s="52">
        <v>8363847</v>
      </c>
      <c r="O13" s="52">
        <v>3783847</v>
      </c>
      <c r="P13" s="52">
        <v>637294000</v>
      </c>
      <c r="Q13" s="52">
        <v>110061000</v>
      </c>
      <c r="R13" s="52">
        <v>527233000</v>
      </c>
      <c r="S13" s="52">
        <v>11897000</v>
      </c>
      <c r="T13" s="27">
        <f t="shared" si="3"/>
        <v>1.1595903931309569E-6</v>
      </c>
      <c r="U13" s="27">
        <f t="shared" si="4"/>
        <v>8.4044302704863674E-6</v>
      </c>
      <c r="V13" s="27">
        <f t="shared" si="5"/>
        <v>-3.527852012298168E-7</v>
      </c>
      <c r="W13" s="57">
        <f t="shared" si="6"/>
        <v>-0.681949483062957</v>
      </c>
    </row>
    <row r="14" spans="1:32" ht="15" x14ac:dyDescent="0.2">
      <c r="B14" s="50">
        <v>2</v>
      </c>
      <c r="C14" s="68"/>
      <c r="D14" s="64" t="s">
        <v>137</v>
      </c>
      <c r="E14" s="52">
        <v>40069494079</v>
      </c>
      <c r="F14" s="52">
        <v>5482697057</v>
      </c>
      <c r="G14" s="52">
        <v>13667555753</v>
      </c>
      <c r="H14" s="41">
        <f t="shared" si="0"/>
        <v>59219746889</v>
      </c>
      <c r="I14" s="52">
        <v>21914617588</v>
      </c>
      <c r="J14" s="52">
        <v>7301680273</v>
      </c>
      <c r="K14" s="41">
        <f t="shared" si="1"/>
        <v>29216297861</v>
      </c>
      <c r="L14" s="52">
        <v>30003449028</v>
      </c>
      <c r="M14" s="41">
        <f t="shared" si="2"/>
        <v>59219746889</v>
      </c>
      <c r="N14" s="52">
        <v>6682012591</v>
      </c>
      <c r="O14" s="52">
        <v>6273203591</v>
      </c>
      <c r="P14" s="52">
        <v>42778874000</v>
      </c>
      <c r="Q14" s="52">
        <v>22139102000</v>
      </c>
      <c r="R14" s="52">
        <v>20639772000</v>
      </c>
      <c r="S14" s="52">
        <v>1168027000</v>
      </c>
      <c r="T14" s="27">
        <f t="shared" si="3"/>
        <v>0.3843222448772261</v>
      </c>
      <c r="U14" s="27">
        <f t="shared" si="4"/>
        <v>0.31966950877230704</v>
      </c>
      <c r="V14" s="27">
        <f t="shared" si="5"/>
        <v>0.453671534162296</v>
      </c>
      <c r="W14" s="57">
        <f t="shared" si="6"/>
        <v>4.3707693323870078</v>
      </c>
    </row>
    <row r="15" spans="1:32" ht="14.25" x14ac:dyDescent="0.2">
      <c r="B15" s="350">
        <v>3</v>
      </c>
      <c r="C15" s="68"/>
      <c r="D15" s="64" t="s">
        <v>138</v>
      </c>
      <c r="E15" s="52"/>
      <c r="F15" s="52"/>
      <c r="G15" s="52"/>
      <c r="H15" s="41"/>
      <c r="I15" s="52"/>
      <c r="J15" s="52"/>
      <c r="K15" s="41"/>
      <c r="L15" s="52"/>
      <c r="M15" s="41"/>
      <c r="N15" s="52"/>
      <c r="O15" s="52"/>
      <c r="P15" s="52"/>
      <c r="Q15" s="52"/>
      <c r="R15" s="52"/>
      <c r="S15" s="52"/>
      <c r="T15" s="27"/>
      <c r="U15" s="27"/>
      <c r="V15" s="27"/>
      <c r="W15" s="57"/>
    </row>
    <row r="16" spans="1:32" ht="14.25" x14ac:dyDescent="0.2">
      <c r="B16" s="350"/>
      <c r="C16" s="68">
        <v>3.1</v>
      </c>
      <c r="D16" s="62" t="s">
        <v>139</v>
      </c>
      <c r="E16" s="52">
        <v>1044688000</v>
      </c>
      <c r="F16" s="52">
        <v>114208000</v>
      </c>
      <c r="G16" s="52">
        <v>507125000</v>
      </c>
      <c r="H16" s="41">
        <f t="shared" si="0"/>
        <v>1666021000</v>
      </c>
      <c r="I16" s="52">
        <v>89341000</v>
      </c>
      <c r="J16" s="52">
        <v>920563000</v>
      </c>
      <c r="K16" s="41">
        <f t="shared" si="1"/>
        <v>1009904000</v>
      </c>
      <c r="L16" s="52">
        <v>656117000</v>
      </c>
      <c r="M16" s="41">
        <f t="shared" si="2"/>
        <v>1666021000</v>
      </c>
      <c r="N16" s="52">
        <v>82940000</v>
      </c>
      <c r="O16" s="52">
        <v>65192000</v>
      </c>
      <c r="P16" s="52">
        <v>1666021000</v>
      </c>
      <c r="Q16" s="52">
        <v>1009904000</v>
      </c>
      <c r="R16" s="52">
        <v>656117000</v>
      </c>
      <c r="S16" s="52">
        <v>82940000</v>
      </c>
      <c r="T16" s="27">
        <f t="shared" si="3"/>
        <v>0</v>
      </c>
      <c r="U16" s="27">
        <f t="shared" si="4"/>
        <v>0</v>
      </c>
      <c r="V16" s="27">
        <f t="shared" si="5"/>
        <v>0</v>
      </c>
      <c r="W16" s="57">
        <f t="shared" si="6"/>
        <v>-0.213986013986014</v>
      </c>
    </row>
    <row r="17" spans="2:23" ht="14.25" x14ac:dyDescent="0.2">
      <c r="B17" s="350"/>
      <c r="C17" s="68">
        <v>3.2</v>
      </c>
      <c r="D17" s="62" t="s">
        <v>140</v>
      </c>
      <c r="E17" s="52">
        <v>2210583412</v>
      </c>
      <c r="F17" s="52">
        <v>1796245413</v>
      </c>
      <c r="G17" s="52">
        <v>950172658</v>
      </c>
      <c r="H17" s="41">
        <f t="shared" si="0"/>
        <v>4957001483</v>
      </c>
      <c r="I17" s="52">
        <v>578205453</v>
      </c>
      <c r="J17" s="52">
        <v>2306752990</v>
      </c>
      <c r="K17" s="41">
        <f t="shared" si="1"/>
        <v>2884958443</v>
      </c>
      <c r="L17" s="52">
        <v>2072043050</v>
      </c>
      <c r="M17" s="41">
        <f t="shared" si="2"/>
        <v>4957001493</v>
      </c>
      <c r="N17" s="52">
        <v>126050800</v>
      </c>
      <c r="O17" s="52">
        <v>81933020</v>
      </c>
      <c r="P17" s="52">
        <v>4957002000</v>
      </c>
      <c r="Q17" s="52">
        <v>2884958000</v>
      </c>
      <c r="R17" s="52">
        <v>2072044000</v>
      </c>
      <c r="S17" s="52">
        <v>126051000</v>
      </c>
      <c r="T17" s="27">
        <f t="shared" si="3"/>
        <v>-1.042969117220449E-7</v>
      </c>
      <c r="U17" s="27">
        <f t="shared" si="4"/>
        <v>1.5355509508284004E-7</v>
      </c>
      <c r="V17" s="27">
        <f t="shared" si="5"/>
        <v>-4.5848447233746003E-7</v>
      </c>
      <c r="W17" s="57">
        <f t="shared" si="6"/>
        <v>-0.35000103132858923</v>
      </c>
    </row>
    <row r="18" spans="2:23" ht="14.25" x14ac:dyDescent="0.2">
      <c r="B18" s="350"/>
      <c r="C18" s="68">
        <v>3.3</v>
      </c>
      <c r="D18" s="62" t="s">
        <v>141</v>
      </c>
      <c r="E18" s="52">
        <v>1128389590</v>
      </c>
      <c r="F18" s="52">
        <v>497010730</v>
      </c>
      <c r="G18" s="52">
        <v>450516529</v>
      </c>
      <c r="H18" s="41">
        <f t="shared" si="0"/>
        <v>2075916849</v>
      </c>
      <c r="I18" s="52">
        <v>843827380</v>
      </c>
      <c r="J18" s="52">
        <v>171544974</v>
      </c>
      <c r="K18" s="41">
        <f t="shared" si="1"/>
        <v>1015372354</v>
      </c>
      <c r="L18" s="52">
        <v>1060544495</v>
      </c>
      <c r="M18" s="41">
        <f t="shared" si="2"/>
        <v>2075916849</v>
      </c>
      <c r="N18" s="52">
        <v>150152888</v>
      </c>
      <c r="O18" s="52">
        <v>84818888</v>
      </c>
      <c r="P18" s="52">
        <v>2075917000</v>
      </c>
      <c r="Q18" s="52">
        <v>1014364000</v>
      </c>
      <c r="R18" s="52">
        <v>1061553000</v>
      </c>
      <c r="S18" s="52">
        <v>186669000</v>
      </c>
      <c r="T18" s="27">
        <f t="shared" si="3"/>
        <v>-7.2738938984554782E-8</v>
      </c>
      <c r="U18" s="27">
        <f t="shared" si="4"/>
        <v>9.9407510518906435E-4</v>
      </c>
      <c r="V18" s="27">
        <f t="shared" si="5"/>
        <v>-9.5002793077689012E-4</v>
      </c>
      <c r="W18" s="57">
        <f t="shared" si="6"/>
        <v>-0.54561877976525297</v>
      </c>
    </row>
    <row r="19" spans="2:23" ht="14.25" x14ac:dyDescent="0.2">
      <c r="B19" s="350"/>
      <c r="C19" s="68">
        <v>3.4</v>
      </c>
      <c r="D19" s="62" t="s">
        <v>142</v>
      </c>
      <c r="E19" s="52"/>
      <c r="F19" s="52"/>
      <c r="G19" s="52"/>
      <c r="H19" s="41">
        <f t="shared" si="0"/>
        <v>0</v>
      </c>
      <c r="I19" s="52"/>
      <c r="J19" s="52"/>
      <c r="K19" s="41">
        <f t="shared" si="1"/>
        <v>0</v>
      </c>
      <c r="L19" s="52"/>
      <c r="M19" s="41">
        <f t="shared" si="2"/>
        <v>0</v>
      </c>
      <c r="N19" s="52"/>
      <c r="O19" s="52"/>
      <c r="P19" s="52"/>
      <c r="Q19" s="52"/>
      <c r="R19" s="52"/>
      <c r="S19" s="52"/>
      <c r="T19" s="27" t="e">
        <f t="shared" si="3"/>
        <v>#DIV/0!</v>
      </c>
      <c r="U19" s="27" t="e">
        <f t="shared" si="4"/>
        <v>#DIV/0!</v>
      </c>
      <c r="V19" s="27" t="e">
        <f t="shared" si="5"/>
        <v>#DIV/0!</v>
      </c>
      <c r="W19" s="57" t="e">
        <f t="shared" si="6"/>
        <v>#DIV/0!</v>
      </c>
    </row>
    <row r="20" spans="2:23" ht="14.25" x14ac:dyDescent="0.2">
      <c r="B20" s="350"/>
      <c r="C20" s="68">
        <v>3.5</v>
      </c>
      <c r="D20" s="62" t="s">
        <v>143</v>
      </c>
      <c r="E20" s="52">
        <v>397516649</v>
      </c>
      <c r="F20" s="52">
        <v>44535519</v>
      </c>
      <c r="G20" s="52"/>
      <c r="H20" s="41">
        <f t="shared" si="0"/>
        <v>442052168</v>
      </c>
      <c r="I20" s="52">
        <v>205584360</v>
      </c>
      <c r="J20" s="52"/>
      <c r="K20" s="41">
        <f t="shared" si="1"/>
        <v>205584360</v>
      </c>
      <c r="L20" s="52">
        <v>236467808</v>
      </c>
      <c r="M20" s="41">
        <f t="shared" si="2"/>
        <v>442052168</v>
      </c>
      <c r="N20" s="52">
        <v>52120000</v>
      </c>
      <c r="O20" s="52">
        <v>52120000</v>
      </c>
      <c r="P20" s="52">
        <v>442053000</v>
      </c>
      <c r="Q20" s="52">
        <v>205584000</v>
      </c>
      <c r="R20" s="52">
        <f>P20-Q20</f>
        <v>236469000</v>
      </c>
      <c r="S20" s="52">
        <v>52120000</v>
      </c>
      <c r="T20" s="27">
        <f t="shared" si="3"/>
        <v>-1.8821272562339809E-6</v>
      </c>
      <c r="U20" s="27">
        <f t="shared" si="4"/>
        <v>1.7511090357226243E-6</v>
      </c>
      <c r="V20" s="27">
        <f t="shared" si="5"/>
        <v>-5.0408298762205619E-6</v>
      </c>
      <c r="W20" s="57">
        <f t="shared" si="6"/>
        <v>0</v>
      </c>
    </row>
    <row r="21" spans="2:23" ht="14.25" x14ac:dyDescent="0.2">
      <c r="B21" s="350"/>
      <c r="C21" s="68">
        <v>3.6</v>
      </c>
      <c r="D21" s="62" t="s">
        <v>144</v>
      </c>
      <c r="E21" s="52">
        <v>230187357</v>
      </c>
      <c r="F21" s="52">
        <v>487735892</v>
      </c>
      <c r="G21" s="52">
        <v>9625046</v>
      </c>
      <c r="H21" s="41">
        <f t="shared" si="0"/>
        <v>727548295</v>
      </c>
      <c r="I21" s="52">
        <v>117145481</v>
      </c>
      <c r="J21" s="52">
        <v>76862715</v>
      </c>
      <c r="K21" s="41">
        <f t="shared" si="1"/>
        <v>194008196</v>
      </c>
      <c r="L21" s="52">
        <v>533540099</v>
      </c>
      <c r="M21" s="41">
        <f t="shared" si="2"/>
        <v>727548295</v>
      </c>
      <c r="N21" s="52"/>
      <c r="O21" s="52"/>
      <c r="P21" s="52">
        <v>727548000</v>
      </c>
      <c r="Q21" s="52">
        <v>194008000</v>
      </c>
      <c r="R21" s="52">
        <v>533540000</v>
      </c>
      <c r="S21" s="52"/>
      <c r="T21" s="27">
        <f t="shared" si="3"/>
        <v>4.0547152902626356E-7</v>
      </c>
      <c r="U21" s="27">
        <f t="shared" si="4"/>
        <v>1.0102676178301925E-6</v>
      </c>
      <c r="V21" s="27">
        <f t="shared" si="5"/>
        <v>1.855530981744574E-7</v>
      </c>
      <c r="W21" s="57" t="e">
        <f t="shared" si="6"/>
        <v>#DIV/0!</v>
      </c>
    </row>
    <row r="22" spans="2:23" ht="14.25" x14ac:dyDescent="0.2">
      <c r="B22" s="350">
        <v>4</v>
      </c>
      <c r="C22" s="68"/>
      <c r="D22" s="64" t="s">
        <v>145</v>
      </c>
      <c r="E22" s="52"/>
      <c r="F22" s="52"/>
      <c r="G22" s="52"/>
      <c r="H22" s="41"/>
      <c r="I22" s="52"/>
      <c r="J22" s="52"/>
      <c r="K22" s="41"/>
      <c r="L22" s="52"/>
      <c r="M22" s="41"/>
      <c r="N22" s="52"/>
      <c r="O22" s="52"/>
      <c r="P22" s="52"/>
      <c r="Q22" s="52"/>
      <c r="R22" s="52"/>
      <c r="S22" s="52"/>
      <c r="T22" s="27"/>
      <c r="U22" s="27"/>
      <c r="V22" s="27"/>
      <c r="W22" s="57"/>
    </row>
    <row r="23" spans="2:23" ht="14.25" x14ac:dyDescent="0.2">
      <c r="B23" s="350"/>
      <c r="C23" s="68">
        <v>4.0999999999999996</v>
      </c>
      <c r="D23" s="62" t="s">
        <v>146</v>
      </c>
      <c r="E23" s="52">
        <v>940500000</v>
      </c>
      <c r="F23" s="52">
        <v>220000000</v>
      </c>
      <c r="G23" s="52">
        <v>19500000</v>
      </c>
      <c r="H23" s="41">
        <f t="shared" si="0"/>
        <v>1180000000</v>
      </c>
      <c r="I23" s="52">
        <v>50000000</v>
      </c>
      <c r="J23" s="52">
        <v>50000000</v>
      </c>
      <c r="K23" s="41">
        <f t="shared" si="1"/>
        <v>100000000</v>
      </c>
      <c r="L23" s="52">
        <v>1080000000</v>
      </c>
      <c r="M23" s="41">
        <f t="shared" si="2"/>
        <v>1180000000</v>
      </c>
      <c r="N23" s="52">
        <v>38000000</v>
      </c>
      <c r="O23" s="52">
        <v>38000000</v>
      </c>
      <c r="P23" s="52">
        <v>1180000000</v>
      </c>
      <c r="Q23" s="52">
        <v>100000000</v>
      </c>
      <c r="R23" s="52">
        <v>1080000000</v>
      </c>
      <c r="S23" s="52">
        <v>35000000</v>
      </c>
      <c r="T23" s="27">
        <f t="shared" si="3"/>
        <v>0</v>
      </c>
      <c r="U23" s="27">
        <f t="shared" si="4"/>
        <v>0</v>
      </c>
      <c r="V23" s="27">
        <f t="shared" si="5"/>
        <v>0</v>
      </c>
      <c r="W23" s="57">
        <f t="shared" si="6"/>
        <v>8.5714285714285715E-2</v>
      </c>
    </row>
    <row r="24" spans="2:23" ht="14.25" x14ac:dyDescent="0.2">
      <c r="B24" s="350"/>
      <c r="C24" s="68">
        <v>4.2</v>
      </c>
      <c r="D24" s="62" t="s">
        <v>147</v>
      </c>
      <c r="E24" s="52">
        <v>1215892000</v>
      </c>
      <c r="F24" s="52">
        <v>443008000</v>
      </c>
      <c r="G24" s="52">
        <v>283790000</v>
      </c>
      <c r="H24" s="41">
        <f t="shared" si="0"/>
        <v>1942690000</v>
      </c>
      <c r="I24" s="52">
        <v>374625000</v>
      </c>
      <c r="J24" s="52">
        <v>55000000</v>
      </c>
      <c r="K24" s="41">
        <f t="shared" si="1"/>
        <v>429625000</v>
      </c>
      <c r="L24" s="52">
        <v>1513065000</v>
      </c>
      <c r="M24" s="41">
        <f t="shared" si="2"/>
        <v>1942690000</v>
      </c>
      <c r="N24" s="52">
        <v>47375000</v>
      </c>
      <c r="O24" s="52">
        <v>47375000</v>
      </c>
      <c r="P24" s="52">
        <v>1942690000</v>
      </c>
      <c r="Q24" s="52">
        <v>429625000</v>
      </c>
      <c r="R24" s="52">
        <v>1513065000</v>
      </c>
      <c r="S24" s="52">
        <v>47375000</v>
      </c>
      <c r="T24" s="27">
        <f t="shared" si="3"/>
        <v>0</v>
      </c>
      <c r="U24" s="27">
        <f t="shared" si="4"/>
        <v>0</v>
      </c>
      <c r="V24" s="27">
        <f t="shared" si="5"/>
        <v>0</v>
      </c>
      <c r="W24" s="57">
        <f t="shared" si="6"/>
        <v>0</v>
      </c>
    </row>
    <row r="25" spans="2:23" ht="14.25" x14ac:dyDescent="0.2">
      <c r="B25" s="350"/>
      <c r="C25" s="68">
        <v>4.3</v>
      </c>
      <c r="D25" s="62" t="s">
        <v>148</v>
      </c>
      <c r="E25" s="52">
        <v>2149248232</v>
      </c>
      <c r="F25" s="52">
        <v>390736722</v>
      </c>
      <c r="G25" s="52"/>
      <c r="H25" s="41">
        <f t="shared" si="0"/>
        <v>2539984954</v>
      </c>
      <c r="I25" s="52">
        <v>1922763807</v>
      </c>
      <c r="J25" s="52">
        <v>93405043</v>
      </c>
      <c r="K25" s="41">
        <f t="shared" si="1"/>
        <v>2016168850</v>
      </c>
      <c r="L25" s="52">
        <v>523816104</v>
      </c>
      <c r="M25" s="41">
        <f t="shared" si="2"/>
        <v>2539984954</v>
      </c>
      <c r="N25" s="52">
        <v>41060626</v>
      </c>
      <c r="O25" s="52">
        <v>54549620</v>
      </c>
      <c r="P25" s="52">
        <v>2539984000</v>
      </c>
      <c r="Q25" s="52">
        <v>2016168000</v>
      </c>
      <c r="R25" s="52">
        <v>523816000</v>
      </c>
      <c r="S25" s="52">
        <v>71993000</v>
      </c>
      <c r="T25" s="27">
        <f t="shared" si="3"/>
        <v>3.7559291712073775E-7</v>
      </c>
      <c r="U25" s="27">
        <f t="shared" si="4"/>
        <v>4.2159185147269473E-7</v>
      </c>
      <c r="V25" s="27">
        <f t="shared" si="5"/>
        <v>1.9854299983200209E-7</v>
      </c>
      <c r="W25" s="57">
        <f t="shared" si="6"/>
        <v>-0.24229272290361564</v>
      </c>
    </row>
    <row r="26" spans="2:23" ht="14.25" x14ac:dyDescent="0.2">
      <c r="B26" s="350"/>
      <c r="C26" s="68">
        <v>4.4000000000000004</v>
      </c>
      <c r="D26" s="62" t="s">
        <v>149</v>
      </c>
      <c r="E26" s="52">
        <v>1286602000</v>
      </c>
      <c r="F26" s="52">
        <v>529776000</v>
      </c>
      <c r="G26" s="52">
        <v>367025000</v>
      </c>
      <c r="H26" s="41">
        <f t="shared" si="0"/>
        <v>2183403000</v>
      </c>
      <c r="I26" s="52">
        <v>631956000</v>
      </c>
      <c r="J26" s="52">
        <v>6584000</v>
      </c>
      <c r="K26" s="41">
        <f t="shared" si="1"/>
        <v>638540000</v>
      </c>
      <c r="L26" s="52">
        <v>1544863000</v>
      </c>
      <c r="M26" s="41">
        <f t="shared" si="2"/>
        <v>2183403000</v>
      </c>
      <c r="N26" s="52"/>
      <c r="O26" s="52"/>
      <c r="P26" s="52">
        <v>2183403000</v>
      </c>
      <c r="Q26" s="52">
        <v>638540000</v>
      </c>
      <c r="R26" s="52">
        <f>P26-Q26</f>
        <v>1544863000</v>
      </c>
      <c r="S26" s="52"/>
      <c r="T26" s="27">
        <f t="shared" si="3"/>
        <v>0</v>
      </c>
      <c r="U26" s="27">
        <f t="shared" si="4"/>
        <v>0</v>
      </c>
      <c r="V26" s="27">
        <f t="shared" si="5"/>
        <v>0</v>
      </c>
      <c r="W26" s="57" t="e">
        <f t="shared" si="6"/>
        <v>#DIV/0!</v>
      </c>
    </row>
    <row r="27" spans="2:23" ht="14.25" x14ac:dyDescent="0.2">
      <c r="B27" s="350">
        <v>5</v>
      </c>
      <c r="C27" s="68"/>
      <c r="D27" s="64" t="s">
        <v>150</v>
      </c>
      <c r="E27" s="52"/>
      <c r="F27" s="52"/>
      <c r="G27" s="52"/>
      <c r="H27" s="41"/>
      <c r="I27" s="52"/>
      <c r="J27" s="52"/>
      <c r="K27" s="41"/>
      <c r="L27" s="52"/>
      <c r="M27" s="41"/>
      <c r="N27" s="52"/>
      <c r="O27" s="52"/>
      <c r="P27" s="52"/>
      <c r="Q27" s="52"/>
      <c r="R27" s="52"/>
      <c r="S27" s="52"/>
      <c r="T27" s="27"/>
      <c r="U27" s="27"/>
      <c r="V27" s="27"/>
      <c r="W27" s="57"/>
    </row>
    <row r="28" spans="2:23" ht="14.25" x14ac:dyDescent="0.2">
      <c r="B28" s="350"/>
      <c r="C28" s="68">
        <v>5.0999999999999996</v>
      </c>
      <c r="D28" s="62" t="s">
        <v>151</v>
      </c>
      <c r="E28" s="52">
        <v>3662005000</v>
      </c>
      <c r="F28" s="52">
        <v>457085000</v>
      </c>
      <c r="G28" s="52">
        <v>114779000</v>
      </c>
      <c r="H28" s="41">
        <f t="shared" si="0"/>
        <v>4233869000</v>
      </c>
      <c r="I28" s="52">
        <v>530721000</v>
      </c>
      <c r="J28" s="52">
        <v>160038000</v>
      </c>
      <c r="K28" s="41">
        <f t="shared" si="1"/>
        <v>690759000</v>
      </c>
      <c r="L28" s="52">
        <v>3543110000</v>
      </c>
      <c r="M28" s="41">
        <f t="shared" si="2"/>
        <v>4233869000</v>
      </c>
      <c r="N28" s="52">
        <v>457250000</v>
      </c>
      <c r="O28" s="52">
        <v>297212000</v>
      </c>
      <c r="P28" s="52">
        <v>4229443000</v>
      </c>
      <c r="Q28" s="52">
        <v>686333000</v>
      </c>
      <c r="R28" s="52">
        <v>3543110000</v>
      </c>
      <c r="S28" s="52">
        <v>457250000</v>
      </c>
      <c r="T28" s="27">
        <f t="shared" si="3"/>
        <v>1.0464734954460906E-3</v>
      </c>
      <c r="U28" s="27">
        <f t="shared" si="4"/>
        <v>6.4487646667142628E-3</v>
      </c>
      <c r="V28" s="27">
        <f t="shared" si="5"/>
        <v>0</v>
      </c>
      <c r="W28" s="57">
        <f t="shared" si="6"/>
        <v>-0.35000109349371239</v>
      </c>
    </row>
    <row r="29" spans="2:23" ht="14.25" x14ac:dyDescent="0.2">
      <c r="B29" s="350"/>
      <c r="C29" s="68">
        <v>5.2</v>
      </c>
      <c r="D29" s="62" t="s">
        <v>152</v>
      </c>
      <c r="E29" s="52">
        <v>1345051857</v>
      </c>
      <c r="F29" s="52">
        <v>622683311</v>
      </c>
      <c r="G29" s="52">
        <v>1888148909</v>
      </c>
      <c r="H29" s="41">
        <f t="shared" si="0"/>
        <v>3855884077</v>
      </c>
      <c r="I29" s="52">
        <v>235974264</v>
      </c>
      <c r="J29" s="52">
        <v>1059293810</v>
      </c>
      <c r="K29" s="41">
        <f t="shared" si="1"/>
        <v>1295268074</v>
      </c>
      <c r="L29" s="52">
        <v>2560616003</v>
      </c>
      <c r="M29" s="41">
        <f t="shared" si="2"/>
        <v>3855884077</v>
      </c>
      <c r="N29" s="52">
        <v>211804765</v>
      </c>
      <c r="O29" s="52">
        <v>128144765</v>
      </c>
      <c r="P29" s="52">
        <v>1968115000</v>
      </c>
      <c r="Q29" s="52">
        <v>1295268000</v>
      </c>
      <c r="R29" s="52">
        <v>672847000</v>
      </c>
      <c r="S29" s="52">
        <v>239030000</v>
      </c>
      <c r="T29" s="27">
        <f t="shared" si="3"/>
        <v>0.95917620515061364</v>
      </c>
      <c r="U29" s="27">
        <f t="shared" si="4"/>
        <v>5.7131033886423504E-8</v>
      </c>
      <c r="V29" s="27">
        <f t="shared" si="5"/>
        <v>2.8056437838022612</v>
      </c>
      <c r="W29" s="57">
        <f t="shared" si="6"/>
        <v>-0.46389672844412833</v>
      </c>
    </row>
    <row r="30" spans="2:23" ht="14.25" x14ac:dyDescent="0.2">
      <c r="B30" s="350"/>
      <c r="C30" s="68">
        <v>5.3</v>
      </c>
      <c r="D30" s="62" t="s">
        <v>153</v>
      </c>
      <c r="E30" s="52">
        <v>68481000</v>
      </c>
      <c r="F30" s="52">
        <v>248149000</v>
      </c>
      <c r="G30" s="52">
        <v>1829723000</v>
      </c>
      <c r="H30" s="41">
        <f t="shared" si="0"/>
        <v>2146353000</v>
      </c>
      <c r="I30" s="52">
        <v>20336000</v>
      </c>
      <c r="J30" s="52">
        <v>1030069000</v>
      </c>
      <c r="K30" s="41">
        <f t="shared" si="1"/>
        <v>1050405000</v>
      </c>
      <c r="L30" s="52">
        <v>1095948000</v>
      </c>
      <c r="M30" s="41">
        <f t="shared" si="2"/>
        <v>2146353000</v>
      </c>
      <c r="N30" s="52">
        <v>63435000</v>
      </c>
      <c r="O30" s="52">
        <v>51635000</v>
      </c>
      <c r="P30" s="52">
        <v>2146353000</v>
      </c>
      <c r="Q30" s="52">
        <v>1050405000</v>
      </c>
      <c r="R30" s="52">
        <v>1095948000</v>
      </c>
      <c r="S30" s="52">
        <v>63435000</v>
      </c>
      <c r="T30" s="27">
        <f t="shared" si="3"/>
        <v>0</v>
      </c>
      <c r="U30" s="27">
        <f t="shared" si="4"/>
        <v>0</v>
      </c>
      <c r="V30" s="27">
        <f t="shared" si="5"/>
        <v>0</v>
      </c>
      <c r="W30" s="57">
        <f t="shared" si="6"/>
        <v>-0.18601718294317018</v>
      </c>
    </row>
    <row r="31" spans="2:23" ht="14.25" x14ac:dyDescent="0.2">
      <c r="B31" s="350"/>
      <c r="C31" s="68">
        <v>5.4</v>
      </c>
      <c r="D31" s="62" t="s">
        <v>154</v>
      </c>
      <c r="E31" s="52">
        <v>9098479232</v>
      </c>
      <c r="F31" s="52">
        <v>531593591</v>
      </c>
      <c r="G31" s="52">
        <f>1377315265+27043045</f>
        <v>1404358310</v>
      </c>
      <c r="H31" s="41">
        <f t="shared" si="0"/>
        <v>11034431133</v>
      </c>
      <c r="I31" s="52">
        <v>1681476244</v>
      </c>
      <c r="J31" s="52">
        <v>4212950518</v>
      </c>
      <c r="K31" s="41">
        <f t="shared" si="1"/>
        <v>5894426762</v>
      </c>
      <c r="L31" s="52">
        <v>5140004372</v>
      </c>
      <c r="M31" s="41">
        <f t="shared" si="2"/>
        <v>11034431134</v>
      </c>
      <c r="N31" s="52">
        <v>101528025</v>
      </c>
      <c r="O31" s="52">
        <v>54379630</v>
      </c>
      <c r="P31" s="52">
        <v>11007389000</v>
      </c>
      <c r="Q31" s="52">
        <v>5894427000</v>
      </c>
      <c r="R31" s="52">
        <v>5112962000</v>
      </c>
      <c r="S31" s="52">
        <v>122857000</v>
      </c>
      <c r="T31" s="27">
        <f t="shared" si="3"/>
        <v>2.4567254777677068E-3</v>
      </c>
      <c r="U31" s="27">
        <f t="shared" si="4"/>
        <v>-4.0377122322492076E-8</v>
      </c>
      <c r="V31" s="27">
        <f t="shared" si="5"/>
        <v>5.2889835676463073E-3</v>
      </c>
      <c r="W31" s="57">
        <f t="shared" si="6"/>
        <v>-0.55737458997045342</v>
      </c>
    </row>
    <row r="32" spans="2:23" ht="15.75" thickBot="1" x14ac:dyDescent="0.25">
      <c r="B32" s="66"/>
      <c r="C32" s="69"/>
      <c r="D32" s="65"/>
      <c r="E32" s="58"/>
      <c r="F32" s="58"/>
      <c r="G32" s="58"/>
      <c r="H32" s="59"/>
      <c r="I32" s="58"/>
      <c r="J32" s="58"/>
      <c r="K32" s="59"/>
      <c r="L32" s="58"/>
      <c r="M32" s="59"/>
      <c r="N32" s="58"/>
      <c r="O32" s="58"/>
      <c r="P32" s="58"/>
      <c r="Q32" s="58"/>
      <c r="R32" s="58"/>
      <c r="S32" s="58"/>
      <c r="T32" s="60"/>
      <c r="U32" s="60"/>
      <c r="V32" s="60"/>
      <c r="W32" s="61"/>
    </row>
    <row r="33" spans="2:23" ht="13.5" thickBot="1" x14ac:dyDescent="0.25"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</row>
    <row r="34" spans="2:23" x14ac:dyDescent="0.2">
      <c r="B34" s="9" t="s">
        <v>11</v>
      </c>
      <c r="C34" s="8"/>
      <c r="D34" s="1"/>
      <c r="E34" s="43"/>
      <c r="F34" s="44"/>
      <c r="G34" s="45"/>
      <c r="H34" s="44"/>
      <c r="I34" s="46"/>
      <c r="J34" s="46"/>
      <c r="K34" s="47"/>
      <c r="L34" s="44"/>
      <c r="M34" s="48"/>
      <c r="N34" s="44"/>
      <c r="O34" s="48"/>
      <c r="P34" s="44"/>
      <c r="Q34" s="49"/>
      <c r="R34" s="49"/>
      <c r="S34" s="49"/>
      <c r="T34" s="29"/>
      <c r="U34" s="29"/>
      <c r="V34" s="29"/>
      <c r="W34" s="30"/>
    </row>
    <row r="35" spans="2:23" x14ac:dyDescent="0.2">
      <c r="B35" s="2"/>
      <c r="C35" s="335" t="s">
        <v>155</v>
      </c>
      <c r="D35" s="336"/>
      <c r="E35" s="336"/>
      <c r="F35" s="336"/>
      <c r="G35" s="336"/>
      <c r="H35" s="336"/>
      <c r="I35" s="336"/>
      <c r="J35" s="336"/>
      <c r="K35" s="336"/>
      <c r="L35" s="336"/>
      <c r="M35" s="336"/>
      <c r="N35" s="336"/>
      <c r="O35" s="336"/>
      <c r="P35" s="336"/>
      <c r="Q35" s="336"/>
      <c r="R35" s="336"/>
      <c r="S35" s="336"/>
      <c r="T35" s="336"/>
      <c r="U35" s="336"/>
      <c r="V35" s="336"/>
      <c r="W35" s="33"/>
    </row>
    <row r="36" spans="2:23" x14ac:dyDescent="0.2">
      <c r="B36" s="2"/>
      <c r="C36" s="336"/>
      <c r="D36" s="336"/>
      <c r="E36" s="336"/>
      <c r="F36" s="336"/>
      <c r="G36" s="336"/>
      <c r="H36" s="336"/>
      <c r="I36" s="336"/>
      <c r="J36" s="336"/>
      <c r="K36" s="336"/>
      <c r="L36" s="336"/>
      <c r="M36" s="336"/>
      <c r="N36" s="336"/>
      <c r="O36" s="336"/>
      <c r="P36" s="336"/>
      <c r="Q36" s="336"/>
      <c r="R36" s="336"/>
      <c r="S36" s="336"/>
      <c r="T36" s="336"/>
      <c r="U36" s="336"/>
      <c r="V36" s="336"/>
      <c r="W36" s="33"/>
    </row>
    <row r="37" spans="2:23" x14ac:dyDescent="0.2">
      <c r="B37" s="2"/>
      <c r="C37" s="336"/>
      <c r="D37" s="336"/>
      <c r="E37" s="336"/>
      <c r="F37" s="336"/>
      <c r="G37" s="336"/>
      <c r="H37" s="336"/>
      <c r="I37" s="336"/>
      <c r="J37" s="336"/>
      <c r="K37" s="336"/>
      <c r="L37" s="336"/>
      <c r="M37" s="336"/>
      <c r="N37" s="336"/>
      <c r="O37" s="336"/>
      <c r="P37" s="336"/>
      <c r="Q37" s="336"/>
      <c r="R37" s="336"/>
      <c r="S37" s="336"/>
      <c r="T37" s="336"/>
      <c r="U37" s="336"/>
      <c r="V37" s="336"/>
      <c r="W37" s="33"/>
    </row>
    <row r="38" spans="2:23" x14ac:dyDescent="0.2">
      <c r="B38" s="2"/>
      <c r="C38" s="336"/>
      <c r="D38" s="336"/>
      <c r="E38" s="336"/>
      <c r="F38" s="336"/>
      <c r="G38" s="336"/>
      <c r="H38" s="336"/>
      <c r="I38" s="336"/>
      <c r="J38" s="336"/>
      <c r="K38" s="336"/>
      <c r="L38" s="336"/>
      <c r="M38" s="336"/>
      <c r="N38" s="336"/>
      <c r="O38" s="336"/>
      <c r="P38" s="336"/>
      <c r="Q38" s="336"/>
      <c r="R38" s="336"/>
      <c r="S38" s="336"/>
      <c r="T38" s="336"/>
      <c r="U38" s="336"/>
      <c r="V38" s="336"/>
      <c r="W38" s="33"/>
    </row>
    <row r="39" spans="2:23" ht="13.5" thickBot="1" x14ac:dyDescent="0.25">
      <c r="B39" s="3"/>
      <c r="C39" s="4"/>
      <c r="D39" s="4"/>
      <c r="E39" s="5"/>
      <c r="F39" s="6"/>
      <c r="G39" s="6"/>
      <c r="H39" s="6"/>
      <c r="I39" s="6"/>
      <c r="J39" s="6"/>
      <c r="K39" s="7"/>
      <c r="L39" s="6"/>
      <c r="M39" s="4"/>
      <c r="N39" s="6"/>
      <c r="O39" s="4"/>
      <c r="P39" s="6"/>
      <c r="Q39" s="31"/>
      <c r="R39" s="31"/>
      <c r="S39" s="31"/>
      <c r="T39" s="31"/>
      <c r="U39" s="31"/>
      <c r="V39" s="31"/>
      <c r="W39" s="32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.75" right="0.75" top="1" bottom="1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374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6"/>
  <dimension ref="A1:Q425"/>
  <sheetViews>
    <sheetView workbookViewId="0">
      <selection activeCell="B4" sqref="B4"/>
    </sheetView>
  </sheetViews>
  <sheetFormatPr baseColWidth="10" defaultRowHeight="12.75" x14ac:dyDescent="0.2"/>
  <cols>
    <col min="1" max="1" width="45.85546875" style="266" customWidth="1"/>
    <col min="2" max="2" width="25.5703125" customWidth="1"/>
    <col min="3" max="4" width="21.85546875" bestFit="1" customWidth="1"/>
    <col min="5" max="5" width="22.85546875" bestFit="1" customWidth="1"/>
    <col min="6" max="9" width="20" bestFit="1" customWidth="1"/>
    <col min="10" max="10" width="21.140625" customWidth="1"/>
    <col min="11" max="11" width="16.28515625" customWidth="1"/>
    <col min="12" max="12" width="20.28515625" bestFit="1" customWidth="1"/>
    <col min="13" max="13" width="16" customWidth="1"/>
    <col min="14" max="17" width="20.28515625" bestFit="1" customWidth="1"/>
    <col min="18" max="19" width="20.5703125" bestFit="1" customWidth="1"/>
  </cols>
  <sheetData>
    <row r="1" spans="1:17" ht="12.75" customHeight="1" x14ac:dyDescent="0.2">
      <c r="A1" s="356" t="s">
        <v>163</v>
      </c>
      <c r="B1" s="357" t="s">
        <v>166</v>
      </c>
      <c r="C1" s="359" t="s">
        <v>161</v>
      </c>
      <c r="D1" s="359" t="s">
        <v>165</v>
      </c>
      <c r="E1" s="353" t="s">
        <v>162</v>
      </c>
      <c r="F1" s="357" t="s">
        <v>581</v>
      </c>
      <c r="G1" s="359" t="s">
        <v>582</v>
      </c>
      <c r="H1" s="359"/>
      <c r="I1" s="353"/>
      <c r="J1" s="355"/>
      <c r="K1" s="355"/>
      <c r="L1" s="355"/>
      <c r="M1" s="351"/>
      <c r="N1" s="353"/>
      <c r="O1" s="353"/>
      <c r="P1" s="353"/>
      <c r="Q1" s="353"/>
    </row>
    <row r="2" spans="1:17" x14ac:dyDescent="0.2">
      <c r="A2" s="356"/>
      <c r="B2" s="358"/>
      <c r="C2" s="354"/>
      <c r="D2" s="353"/>
      <c r="E2" s="354"/>
      <c r="F2" s="358"/>
      <c r="G2" s="354"/>
      <c r="H2" s="353"/>
      <c r="I2" s="354"/>
      <c r="J2" s="351"/>
      <c r="K2" s="352"/>
      <c r="L2" s="351"/>
      <c r="M2" s="352"/>
      <c r="N2" s="354"/>
      <c r="O2" s="354"/>
      <c r="P2" s="354"/>
      <c r="Q2" s="354"/>
    </row>
    <row r="3" spans="1:17" x14ac:dyDescent="0.2">
      <c r="A3" s="356"/>
      <c r="B3" s="358"/>
      <c r="C3" s="354"/>
      <c r="D3" s="353"/>
      <c r="E3" s="354"/>
      <c r="F3" s="358"/>
      <c r="G3" s="354"/>
      <c r="H3" s="353"/>
      <c r="I3" s="354"/>
      <c r="J3" s="351"/>
      <c r="K3" s="352"/>
      <c r="L3" s="351"/>
      <c r="M3" s="352"/>
      <c r="N3" s="354"/>
      <c r="O3" s="354"/>
      <c r="P3" s="354"/>
      <c r="Q3" s="354"/>
    </row>
    <row r="4" spans="1:17" x14ac:dyDescent="0.2">
      <c r="A4" s="243" t="s">
        <v>312</v>
      </c>
      <c r="B4" s="244">
        <v>852078406</v>
      </c>
      <c r="C4" s="244">
        <v>1356078410</v>
      </c>
      <c r="D4" s="244">
        <v>65771359</v>
      </c>
      <c r="E4" s="244">
        <v>378637143</v>
      </c>
      <c r="F4" s="244">
        <v>482538419</v>
      </c>
      <c r="G4" s="244">
        <v>28359625</v>
      </c>
    </row>
    <row r="5" spans="1:17" x14ac:dyDescent="0.2">
      <c r="A5" s="245" t="s">
        <v>313</v>
      </c>
      <c r="B5" s="244">
        <v>289057203</v>
      </c>
      <c r="C5" s="244">
        <v>289057203</v>
      </c>
      <c r="D5" s="244">
        <v>13524534</v>
      </c>
      <c r="E5" s="244">
        <v>63524534</v>
      </c>
      <c r="F5" s="244">
        <v>123351835</v>
      </c>
      <c r="G5" s="244">
        <v>0</v>
      </c>
    </row>
    <row r="6" spans="1:17" x14ac:dyDescent="0.2">
      <c r="A6" s="245" t="s">
        <v>314</v>
      </c>
      <c r="B6" s="244">
        <v>142591000</v>
      </c>
      <c r="C6" s="244">
        <v>276094000</v>
      </c>
      <c r="D6" s="244">
        <v>24562000</v>
      </c>
      <c r="E6" s="244">
        <v>44707000</v>
      </c>
      <c r="F6" s="244">
        <v>64188000</v>
      </c>
      <c r="G6" s="244">
        <v>3745000</v>
      </c>
    </row>
    <row r="7" spans="1:17" x14ac:dyDescent="0.2">
      <c r="A7" s="245" t="s">
        <v>315</v>
      </c>
      <c r="B7" s="244">
        <v>766000000</v>
      </c>
      <c r="C7" s="244">
        <v>1036000000</v>
      </c>
      <c r="D7" s="244">
        <v>1500000</v>
      </c>
      <c r="E7" s="244">
        <v>156500000</v>
      </c>
      <c r="F7" s="244">
        <v>103887880</v>
      </c>
      <c r="G7" s="244">
        <v>1250000</v>
      </c>
    </row>
    <row r="8" spans="1:17" x14ac:dyDescent="0.2">
      <c r="A8" s="245" t="s">
        <v>316</v>
      </c>
      <c r="B8" s="244">
        <v>149343000</v>
      </c>
      <c r="C8" s="244">
        <v>149343000</v>
      </c>
      <c r="D8" s="244">
        <v>5743000</v>
      </c>
      <c r="E8" s="244">
        <v>5743000</v>
      </c>
      <c r="F8" s="244">
        <v>12974000</v>
      </c>
      <c r="G8" s="244">
        <v>3000</v>
      </c>
    </row>
    <row r="9" spans="1:17" x14ac:dyDescent="0.2">
      <c r="A9" s="245" t="s">
        <v>214</v>
      </c>
      <c r="B9" s="244">
        <v>263168432</v>
      </c>
      <c r="C9" s="244">
        <v>1046168432</v>
      </c>
      <c r="D9" s="244">
        <v>3070000</v>
      </c>
      <c r="E9" s="244">
        <v>61124000</v>
      </c>
      <c r="F9" s="244">
        <v>104919541</v>
      </c>
      <c r="G9" s="244">
        <v>4825000</v>
      </c>
    </row>
    <row r="10" spans="1:17" x14ac:dyDescent="0.2">
      <c r="A10" s="245" t="s">
        <v>213</v>
      </c>
      <c r="B10" s="244">
        <v>138176501</v>
      </c>
      <c r="C10" s="244">
        <v>736631901</v>
      </c>
      <c r="D10" s="244">
        <v>37659127</v>
      </c>
      <c r="E10" s="244">
        <v>37659127</v>
      </c>
      <c r="F10" s="244">
        <v>20777387</v>
      </c>
      <c r="G10" s="244">
        <v>1485000</v>
      </c>
    </row>
    <row r="11" spans="1:17" x14ac:dyDescent="0.2">
      <c r="A11" s="245" t="s">
        <v>317</v>
      </c>
      <c r="B11" s="244"/>
      <c r="C11" s="244"/>
      <c r="D11" s="244"/>
      <c r="E11" s="244"/>
      <c r="F11" s="244"/>
      <c r="G11" s="244"/>
    </row>
    <row r="12" spans="1:17" x14ac:dyDescent="0.2">
      <c r="A12" s="243" t="s">
        <v>318</v>
      </c>
      <c r="B12" s="244">
        <v>1175012240</v>
      </c>
      <c r="C12" s="244">
        <v>1491896790</v>
      </c>
      <c r="D12" s="244">
        <v>198258785</v>
      </c>
      <c r="E12" s="244">
        <v>754001868</v>
      </c>
      <c r="F12" s="244">
        <v>63028840</v>
      </c>
      <c r="G12" s="244">
        <v>159556</v>
      </c>
    </row>
    <row r="13" spans="1:17" x14ac:dyDescent="0.2">
      <c r="A13" s="245" t="s">
        <v>319</v>
      </c>
      <c r="B13" s="244">
        <v>459390877</v>
      </c>
      <c r="C13" s="244">
        <v>592615697</v>
      </c>
      <c r="D13" s="244">
        <v>43539018</v>
      </c>
      <c r="E13" s="244">
        <v>63539018</v>
      </c>
      <c r="F13" s="244">
        <v>202840436</v>
      </c>
      <c r="G13" s="244">
        <v>594832</v>
      </c>
    </row>
    <row r="14" spans="1:17" x14ac:dyDescent="0.2">
      <c r="A14" s="245" t="s">
        <v>320</v>
      </c>
      <c r="B14" s="244">
        <v>230487882</v>
      </c>
      <c r="C14" s="244">
        <v>330073967</v>
      </c>
      <c r="D14" s="244">
        <v>18682000</v>
      </c>
      <c r="E14" s="244">
        <v>35935000</v>
      </c>
      <c r="F14" s="244">
        <v>84166700</v>
      </c>
      <c r="G14" s="244">
        <v>3277000</v>
      </c>
    </row>
    <row r="15" spans="1:17" x14ac:dyDescent="0.2">
      <c r="A15" s="245" t="s">
        <v>321</v>
      </c>
      <c r="B15" s="244">
        <v>3015413736</v>
      </c>
      <c r="C15" s="244">
        <v>3664734551</v>
      </c>
      <c r="D15" s="244">
        <v>388862171</v>
      </c>
      <c r="E15" s="244">
        <v>1325138636</v>
      </c>
      <c r="F15" s="244">
        <v>409540539</v>
      </c>
      <c r="G15" s="244">
        <v>289000</v>
      </c>
    </row>
    <row r="16" spans="1:17" x14ac:dyDescent="0.2">
      <c r="A16" s="245" t="s">
        <v>322</v>
      </c>
      <c r="B16" s="244">
        <v>705709393</v>
      </c>
      <c r="C16" s="244">
        <v>1230856038</v>
      </c>
      <c r="D16" s="244">
        <v>102445880</v>
      </c>
      <c r="E16" s="244">
        <v>373111425</v>
      </c>
      <c r="F16" s="244">
        <v>200910706</v>
      </c>
      <c r="G16" s="244">
        <v>861876</v>
      </c>
    </row>
    <row r="17" spans="1:7" x14ac:dyDescent="0.2">
      <c r="A17" s="245" t="s">
        <v>323</v>
      </c>
      <c r="B17" s="244">
        <v>927000000</v>
      </c>
      <c r="C17" s="244">
        <v>982000000</v>
      </c>
      <c r="D17" s="244">
        <v>27002000</v>
      </c>
      <c r="E17" s="244">
        <v>27002000</v>
      </c>
      <c r="F17" s="244">
        <v>140000000</v>
      </c>
      <c r="G17" s="244">
        <v>0</v>
      </c>
    </row>
    <row r="18" spans="1:7" x14ac:dyDescent="0.2">
      <c r="A18" s="245" t="s">
        <v>324</v>
      </c>
      <c r="B18" s="244">
        <v>5482900540</v>
      </c>
      <c r="C18" s="244">
        <v>6074425978</v>
      </c>
      <c r="D18" s="244">
        <v>1822584051</v>
      </c>
      <c r="E18" s="244">
        <v>4135460909</v>
      </c>
      <c r="F18" s="244">
        <v>245201081</v>
      </c>
      <c r="G18" s="244">
        <v>489962</v>
      </c>
    </row>
    <row r="19" spans="1:7" x14ac:dyDescent="0.2">
      <c r="A19" s="243" t="s">
        <v>325</v>
      </c>
      <c r="B19" s="244">
        <v>2024909080</v>
      </c>
      <c r="C19" s="244">
        <v>2338266228</v>
      </c>
      <c r="D19" s="244">
        <v>17509800</v>
      </c>
      <c r="E19" s="244">
        <v>695982147</v>
      </c>
      <c r="F19" s="244">
        <v>441385791</v>
      </c>
      <c r="G19" s="244">
        <v>129680093</v>
      </c>
    </row>
    <row r="20" spans="1:7" x14ac:dyDescent="0.2">
      <c r="A20" s="243" t="s">
        <v>326</v>
      </c>
      <c r="B20" s="244">
        <v>761732731</v>
      </c>
      <c r="C20" s="244">
        <v>1301710239</v>
      </c>
      <c r="D20" s="244">
        <v>10073515</v>
      </c>
      <c r="E20" s="244">
        <v>253812654</v>
      </c>
      <c r="F20" s="244">
        <v>116767545</v>
      </c>
      <c r="G20" s="244">
        <v>9701529</v>
      </c>
    </row>
    <row r="21" spans="1:7" x14ac:dyDescent="0.2">
      <c r="A21" s="243" t="s">
        <v>327</v>
      </c>
      <c r="B21" s="244">
        <v>1111479678</v>
      </c>
      <c r="C21" s="244">
        <v>1329371714</v>
      </c>
      <c r="D21" s="244">
        <v>148541177</v>
      </c>
      <c r="E21" s="244">
        <v>267210568</v>
      </c>
      <c r="F21" s="244">
        <v>62983261</v>
      </c>
      <c r="G21" s="244">
        <v>14223251</v>
      </c>
    </row>
    <row r="22" spans="1:7" x14ac:dyDescent="0.2">
      <c r="A22" s="243" t="s">
        <v>328</v>
      </c>
      <c r="B22" s="244">
        <v>2538469640</v>
      </c>
      <c r="C22" s="244">
        <v>3108943648</v>
      </c>
      <c r="D22" s="244">
        <v>341804264</v>
      </c>
      <c r="E22" s="244">
        <v>1133907917</v>
      </c>
      <c r="F22" s="244">
        <v>348394530</v>
      </c>
      <c r="G22" s="244">
        <v>9274373</v>
      </c>
    </row>
    <row r="23" spans="1:7" x14ac:dyDescent="0.2">
      <c r="A23" s="243" t="s">
        <v>324</v>
      </c>
      <c r="B23" s="244">
        <v>5482900540</v>
      </c>
      <c r="C23" s="244">
        <v>6074425978</v>
      </c>
      <c r="D23" s="244">
        <v>1822584051</v>
      </c>
      <c r="E23" s="244">
        <v>4135460909</v>
      </c>
      <c r="F23" s="244">
        <v>245201081</v>
      </c>
      <c r="G23" s="244">
        <v>489962</v>
      </c>
    </row>
    <row r="24" spans="1:7" x14ac:dyDescent="0.2">
      <c r="A24" s="245" t="s">
        <v>215</v>
      </c>
      <c r="B24" s="244">
        <v>73479114298</v>
      </c>
      <c r="C24" s="244">
        <v>188693818344</v>
      </c>
      <c r="D24" s="244">
        <v>47395609972</v>
      </c>
      <c r="E24" s="244">
        <v>69493070704</v>
      </c>
      <c r="F24" s="244">
        <v>8940321738</v>
      </c>
      <c r="G24" s="244">
        <v>1191781517</v>
      </c>
    </row>
    <row r="25" spans="1:7" ht="33" x14ac:dyDescent="0.2">
      <c r="A25" s="246" t="s">
        <v>329</v>
      </c>
      <c r="B25" s="244">
        <v>443809926</v>
      </c>
      <c r="C25" s="244">
        <v>598001856</v>
      </c>
      <c r="D25" s="244">
        <v>15343909</v>
      </c>
      <c r="E25" s="244">
        <v>335634952</v>
      </c>
      <c r="F25" s="244">
        <v>37597811</v>
      </c>
      <c r="G25" s="247">
        <v>1524332</v>
      </c>
    </row>
    <row r="26" spans="1:7" x14ac:dyDescent="0.2">
      <c r="A26" s="243" t="s">
        <v>330</v>
      </c>
      <c r="B26" s="244">
        <v>1746720581</v>
      </c>
      <c r="C26" s="244">
        <v>2448578739</v>
      </c>
      <c r="D26" s="244">
        <v>21651709</v>
      </c>
      <c r="E26" s="244">
        <v>1279704362</v>
      </c>
      <c r="F26" s="244">
        <v>365087870</v>
      </c>
      <c r="G26" s="244">
        <v>62910000</v>
      </c>
    </row>
    <row r="27" spans="1:7" x14ac:dyDescent="0.2">
      <c r="A27" s="243" t="s">
        <v>202</v>
      </c>
      <c r="B27" s="244">
        <v>1364588281</v>
      </c>
      <c r="C27" s="244">
        <v>1844588281</v>
      </c>
      <c r="D27" s="244">
        <v>9244889</v>
      </c>
      <c r="E27" s="244">
        <f>+D27</f>
        <v>9244889</v>
      </c>
      <c r="F27" s="244">
        <v>233613552</v>
      </c>
      <c r="G27" s="244">
        <v>1</v>
      </c>
    </row>
    <row r="28" spans="1:7" x14ac:dyDescent="0.2">
      <c r="A28" s="243" t="s">
        <v>201</v>
      </c>
      <c r="B28" s="244">
        <v>2133144751</v>
      </c>
      <c r="C28" s="244">
        <v>3441404151</v>
      </c>
      <c r="D28" s="244">
        <v>2381110</v>
      </c>
      <c r="E28" s="247">
        <f>+D28</f>
        <v>2381110</v>
      </c>
      <c r="F28" s="244">
        <v>23238740</v>
      </c>
      <c r="G28" s="244">
        <v>1</v>
      </c>
    </row>
    <row r="29" spans="1:7" x14ac:dyDescent="0.2">
      <c r="A29" s="243" t="s">
        <v>331</v>
      </c>
      <c r="B29" s="244">
        <v>11919290102</v>
      </c>
      <c r="C29" s="244">
        <v>17650515206</v>
      </c>
      <c r="D29" s="244">
        <v>1806552594</v>
      </c>
      <c r="E29" s="244">
        <v>10331392289</v>
      </c>
      <c r="F29" s="244">
        <v>2021726257</v>
      </c>
      <c r="G29" s="244">
        <v>182883524</v>
      </c>
    </row>
    <row r="30" spans="1:7" x14ac:dyDescent="0.2">
      <c r="A30" s="245" t="s">
        <v>332</v>
      </c>
      <c r="B30" s="244"/>
      <c r="C30" s="244"/>
      <c r="D30" s="244"/>
      <c r="E30" s="244"/>
      <c r="F30" s="244"/>
      <c r="G30" s="244"/>
    </row>
    <row r="31" spans="1:7" ht="16.5" x14ac:dyDescent="0.2">
      <c r="A31" s="248" t="s">
        <v>231</v>
      </c>
      <c r="B31" s="244">
        <v>1238090314</v>
      </c>
      <c r="C31" s="244">
        <v>1342006314</v>
      </c>
      <c r="D31" s="249">
        <v>34875200</v>
      </c>
      <c r="E31" s="244">
        <v>380747200</v>
      </c>
      <c r="F31" s="244">
        <v>334217137</v>
      </c>
      <c r="G31" s="244">
        <v>2624150</v>
      </c>
    </row>
    <row r="32" spans="1:7" ht="16.5" x14ac:dyDescent="0.2">
      <c r="A32" s="246" t="s">
        <v>333</v>
      </c>
      <c r="B32" s="244">
        <v>426559442</v>
      </c>
      <c r="C32" s="244">
        <v>446346442</v>
      </c>
      <c r="D32" s="244">
        <v>7587000</v>
      </c>
      <c r="E32" s="244">
        <v>67587000</v>
      </c>
      <c r="F32" s="244">
        <v>198133442</v>
      </c>
      <c r="G32" s="244">
        <v>942000</v>
      </c>
    </row>
    <row r="33" spans="1:7" ht="16.5" x14ac:dyDescent="0.2">
      <c r="A33" s="248" t="s">
        <v>334</v>
      </c>
      <c r="B33" s="244">
        <v>982003584</v>
      </c>
      <c r="C33" s="244">
        <v>1241392259</v>
      </c>
      <c r="D33" s="244">
        <v>101506396</v>
      </c>
      <c r="E33" s="244">
        <v>261614613</v>
      </c>
      <c r="F33" s="244">
        <v>316348771</v>
      </c>
      <c r="G33" s="244">
        <v>5314000</v>
      </c>
    </row>
    <row r="34" spans="1:7" ht="16.5" x14ac:dyDescent="0.2">
      <c r="A34" s="246" t="s">
        <v>335</v>
      </c>
      <c r="B34" s="244">
        <v>591961521</v>
      </c>
      <c r="C34" s="244">
        <v>1279505661</v>
      </c>
      <c r="D34" s="244">
        <v>129767551</v>
      </c>
      <c r="E34" s="244">
        <v>557767551</v>
      </c>
      <c r="F34" s="244">
        <v>101563408</v>
      </c>
      <c r="G34" s="244">
        <v>39086028</v>
      </c>
    </row>
    <row r="35" spans="1:7" ht="16.5" x14ac:dyDescent="0.2">
      <c r="A35" s="246" t="s">
        <v>223</v>
      </c>
      <c r="B35" s="244">
        <v>1016900000</v>
      </c>
      <c r="C35" s="244">
        <v>1170211000</v>
      </c>
      <c r="D35" s="244">
        <v>12140000</v>
      </c>
      <c r="E35" s="244">
        <v>310310000</v>
      </c>
      <c r="F35" s="244">
        <v>147511000</v>
      </c>
      <c r="G35" s="244">
        <v>1</v>
      </c>
    </row>
    <row r="36" spans="1:7" ht="16.5" x14ac:dyDescent="0.2">
      <c r="A36" s="248" t="s">
        <v>230</v>
      </c>
      <c r="B36" s="249">
        <v>2235116003</v>
      </c>
      <c r="C36" s="250">
        <v>2539251348</v>
      </c>
      <c r="D36" s="250">
        <v>42782300</v>
      </c>
      <c r="E36" s="250">
        <v>591564554</v>
      </c>
      <c r="F36" s="250">
        <v>715444229</v>
      </c>
      <c r="G36" s="250">
        <v>4587520</v>
      </c>
    </row>
    <row r="37" spans="1:7" ht="16.5" x14ac:dyDescent="0.2">
      <c r="A37" s="248" t="s">
        <v>336</v>
      </c>
      <c r="B37" s="249">
        <v>25490790073</v>
      </c>
      <c r="C37" s="250">
        <v>27354629073</v>
      </c>
      <c r="D37" s="250">
        <v>2387076211</v>
      </c>
      <c r="E37" s="250">
        <v>4460792575</v>
      </c>
      <c r="F37" s="250">
        <v>4021114500</v>
      </c>
      <c r="G37" s="250">
        <v>736215350</v>
      </c>
    </row>
    <row r="38" spans="1:7" ht="16.5" x14ac:dyDescent="0.2">
      <c r="A38" s="246" t="s">
        <v>337</v>
      </c>
      <c r="B38" s="244">
        <v>762851174</v>
      </c>
      <c r="C38" s="244">
        <v>1053872348</v>
      </c>
      <c r="D38" s="244">
        <v>70115005</v>
      </c>
      <c r="E38" s="244">
        <v>565479099</v>
      </c>
      <c r="F38" s="244">
        <v>81109738</v>
      </c>
      <c r="G38" s="244">
        <v>7067314</v>
      </c>
    </row>
    <row r="39" spans="1:7" ht="16.5" x14ac:dyDescent="0.2">
      <c r="A39" s="246" t="s">
        <v>338</v>
      </c>
      <c r="B39" s="244">
        <v>692638784</v>
      </c>
      <c r="C39" s="244">
        <v>1187953833</v>
      </c>
      <c r="D39" s="244">
        <v>49837000</v>
      </c>
      <c r="E39" s="244">
        <v>159237000</v>
      </c>
      <c r="F39" s="244">
        <v>125654479</v>
      </c>
      <c r="G39" s="244">
        <v>1</v>
      </c>
    </row>
    <row r="40" spans="1:7" ht="16.5" x14ac:dyDescent="0.2">
      <c r="A40" s="246" t="s">
        <v>339</v>
      </c>
      <c r="B40" s="244">
        <v>1211600899</v>
      </c>
      <c r="C40" s="244">
        <v>1217890899</v>
      </c>
      <c r="D40" s="244">
        <v>63667916</v>
      </c>
      <c r="E40" s="244">
        <v>73517916</v>
      </c>
      <c r="F40" s="244">
        <v>119964452</v>
      </c>
      <c r="G40" s="244">
        <v>1</v>
      </c>
    </row>
    <row r="41" spans="1:7" ht="16.5" x14ac:dyDescent="0.2">
      <c r="A41" s="246" t="s">
        <v>340</v>
      </c>
      <c r="B41" s="244">
        <v>661623262</v>
      </c>
      <c r="C41" s="244">
        <v>721823015</v>
      </c>
      <c r="D41" s="244">
        <v>25635886</v>
      </c>
      <c r="E41" s="244">
        <v>56790086</v>
      </c>
      <c r="F41" s="247">
        <v>188168600</v>
      </c>
      <c r="G41" s="244">
        <v>1</v>
      </c>
    </row>
    <row r="42" spans="1:7" x14ac:dyDescent="0.2">
      <c r="A42" s="243" t="s">
        <v>237</v>
      </c>
      <c r="B42" s="244">
        <v>7051268191</v>
      </c>
      <c r="C42" s="244">
        <v>11335175040</v>
      </c>
      <c r="D42" s="244">
        <v>82504173</v>
      </c>
      <c r="E42" s="244">
        <v>783628144</v>
      </c>
      <c r="F42" s="244">
        <v>1700282260</v>
      </c>
      <c r="G42" s="244">
        <v>7803313</v>
      </c>
    </row>
    <row r="43" spans="1:7" ht="16.5" x14ac:dyDescent="0.2">
      <c r="A43" s="248" t="s">
        <v>341</v>
      </c>
      <c r="B43" s="244">
        <v>685223771</v>
      </c>
      <c r="C43" s="244">
        <v>826763082</v>
      </c>
      <c r="D43" s="244">
        <v>78696964</v>
      </c>
      <c r="E43" s="244">
        <v>277319795</v>
      </c>
      <c r="F43" s="244">
        <v>329830323</v>
      </c>
      <c r="G43" s="244">
        <v>1049566</v>
      </c>
    </row>
    <row r="44" spans="1:7" ht="33" x14ac:dyDescent="0.2">
      <c r="A44" s="246" t="s">
        <v>342</v>
      </c>
      <c r="B44" s="244">
        <v>11404621763</v>
      </c>
      <c r="C44" s="244">
        <v>23531849833</v>
      </c>
      <c r="D44" s="244">
        <v>6485271068</v>
      </c>
      <c r="E44" s="244">
        <v>8455999636</v>
      </c>
      <c r="F44" s="244">
        <v>543279999</v>
      </c>
      <c r="G44" s="244">
        <v>182974281</v>
      </c>
    </row>
    <row r="45" spans="1:7" ht="16.5" x14ac:dyDescent="0.2">
      <c r="A45" s="248" t="s">
        <v>343</v>
      </c>
      <c r="B45" s="244">
        <v>1205700840</v>
      </c>
      <c r="C45" s="244">
        <v>1856396558</v>
      </c>
      <c r="D45" s="244">
        <v>429329241</v>
      </c>
      <c r="E45" s="244">
        <v>828834861</v>
      </c>
      <c r="F45" s="244">
        <v>211912498</v>
      </c>
      <c r="G45" s="244">
        <v>22609718</v>
      </c>
    </row>
    <row r="46" spans="1:7" ht="16.5" x14ac:dyDescent="0.2">
      <c r="A46" s="246" t="s">
        <v>344</v>
      </c>
      <c r="B46" s="244">
        <v>4146676656</v>
      </c>
      <c r="C46" s="244">
        <v>4445898099</v>
      </c>
      <c r="D46" s="244">
        <v>705614279</v>
      </c>
      <c r="E46" s="244">
        <v>1204975684</v>
      </c>
      <c r="F46" s="244">
        <v>1614237534</v>
      </c>
      <c r="G46" s="244">
        <v>60548204</v>
      </c>
    </row>
    <row r="47" spans="1:7" ht="16.5" x14ac:dyDescent="0.2">
      <c r="A47" s="246" t="s">
        <v>242</v>
      </c>
      <c r="B47" s="244">
        <v>1896832665</v>
      </c>
      <c r="C47" s="244">
        <v>2251532665</v>
      </c>
      <c r="D47" s="244">
        <v>58023996</v>
      </c>
      <c r="E47" s="244">
        <v>290711303</v>
      </c>
      <c r="F47" s="244">
        <v>151559891</v>
      </c>
      <c r="G47" s="244">
        <v>34736463</v>
      </c>
    </row>
    <row r="48" spans="1:7" ht="16.5" x14ac:dyDescent="0.2">
      <c r="A48" s="248" t="s">
        <v>200</v>
      </c>
      <c r="B48" s="244">
        <v>826826577</v>
      </c>
      <c r="C48" s="244">
        <v>997572499</v>
      </c>
      <c r="D48" s="244">
        <v>49169325</v>
      </c>
      <c r="E48" s="244">
        <f>+D48</f>
        <v>49169325</v>
      </c>
      <c r="F48" s="244">
        <v>108017878</v>
      </c>
      <c r="G48" s="244">
        <v>1279393</v>
      </c>
    </row>
    <row r="49" spans="1:7" ht="16.5" x14ac:dyDescent="0.2">
      <c r="A49" s="246" t="s">
        <v>345</v>
      </c>
      <c r="B49" s="244">
        <v>365813663</v>
      </c>
      <c r="C49" s="244">
        <v>631276663</v>
      </c>
      <c r="D49" s="244">
        <v>42264030</v>
      </c>
      <c r="E49" s="244">
        <v>60896866</v>
      </c>
      <c r="F49" s="244">
        <v>103848401</v>
      </c>
      <c r="G49" s="244">
        <v>10711995</v>
      </c>
    </row>
    <row r="50" spans="1:7" ht="16.5" x14ac:dyDescent="0.2">
      <c r="A50" s="246" t="s">
        <v>346</v>
      </c>
      <c r="B50" s="244"/>
      <c r="C50" s="244"/>
      <c r="D50" s="244"/>
      <c r="E50" s="244"/>
      <c r="F50" s="244"/>
      <c r="G50" s="244"/>
    </row>
    <row r="51" spans="1:7" ht="16.5" x14ac:dyDescent="0.2">
      <c r="A51" s="246" t="s">
        <v>347</v>
      </c>
      <c r="B51" s="244">
        <v>366019009</v>
      </c>
      <c r="C51" s="244">
        <v>833158197</v>
      </c>
      <c r="D51" s="244">
        <v>16672164</v>
      </c>
      <c r="E51" s="244">
        <v>97759003</v>
      </c>
      <c r="F51" s="244">
        <v>118678641</v>
      </c>
      <c r="G51" s="244">
        <v>1430400</v>
      </c>
    </row>
    <row r="52" spans="1:7" ht="16.5" x14ac:dyDescent="0.2">
      <c r="A52" s="248" t="s">
        <v>348</v>
      </c>
      <c r="B52" s="244">
        <v>971381569</v>
      </c>
      <c r="C52" s="244">
        <v>1472585263</v>
      </c>
      <c r="D52" s="244">
        <v>58300000</v>
      </c>
      <c r="E52" s="244">
        <v>488674645</v>
      </c>
      <c r="F52" s="244">
        <v>735545200</v>
      </c>
      <c r="G52" s="244">
        <v>8247974</v>
      </c>
    </row>
    <row r="53" spans="1:7" ht="16.5" x14ac:dyDescent="0.2">
      <c r="A53" s="246" t="s">
        <v>349</v>
      </c>
      <c r="B53" s="244">
        <v>2626485220</v>
      </c>
      <c r="C53" s="244">
        <v>2847041020</v>
      </c>
      <c r="D53" s="244">
        <v>753208917</v>
      </c>
      <c r="E53" s="244">
        <v>1637940864</v>
      </c>
      <c r="F53" s="244">
        <v>612835666</v>
      </c>
      <c r="G53" s="244">
        <v>13541489</v>
      </c>
    </row>
    <row r="54" spans="1:7" ht="16.5" x14ac:dyDescent="0.2">
      <c r="A54" s="248" t="s">
        <v>235</v>
      </c>
      <c r="B54" s="244">
        <v>2015579172</v>
      </c>
      <c r="C54" s="244">
        <v>2263326115</v>
      </c>
      <c r="D54" s="244">
        <v>40089303</v>
      </c>
      <c r="E54" s="244">
        <v>535792179</v>
      </c>
      <c r="F54" s="244">
        <v>194736380</v>
      </c>
      <c r="G54" s="244">
        <v>382800</v>
      </c>
    </row>
    <row r="55" spans="1:7" ht="16.5" x14ac:dyDescent="0.2">
      <c r="A55" s="246" t="s">
        <v>183</v>
      </c>
      <c r="B55" s="244">
        <v>753972817</v>
      </c>
      <c r="C55" s="244">
        <v>764492817</v>
      </c>
      <c r="D55" s="244">
        <v>11745649</v>
      </c>
      <c r="E55" s="244">
        <f>+D55</f>
        <v>11745649</v>
      </c>
      <c r="F55" s="244">
        <v>57193325</v>
      </c>
      <c r="G55" s="244">
        <v>1</v>
      </c>
    </row>
    <row r="56" spans="1:7" ht="16.5" x14ac:dyDescent="0.2">
      <c r="A56" s="248" t="s">
        <v>197</v>
      </c>
      <c r="B56" s="244">
        <v>1121000000</v>
      </c>
      <c r="C56" s="244">
        <v>1964780612</v>
      </c>
      <c r="D56" s="244">
        <v>101944280</v>
      </c>
      <c r="E56" s="244">
        <f>+D56</f>
        <v>101944280</v>
      </c>
      <c r="F56" s="244">
        <v>56000000</v>
      </c>
      <c r="G56" s="244">
        <v>1</v>
      </c>
    </row>
    <row r="57" spans="1:7" ht="16.5" x14ac:dyDescent="0.2">
      <c r="A57" s="246" t="s">
        <v>198</v>
      </c>
      <c r="B57" s="244">
        <v>350000000</v>
      </c>
      <c r="C57" s="244">
        <v>957712515</v>
      </c>
      <c r="D57" s="244">
        <v>20887015</v>
      </c>
      <c r="E57" s="244">
        <f>+D57</f>
        <v>20887015</v>
      </c>
      <c r="F57" s="244">
        <v>43432000</v>
      </c>
      <c r="G57" s="244">
        <v>1</v>
      </c>
    </row>
    <row r="58" spans="1:7" ht="16.5" x14ac:dyDescent="0.2">
      <c r="A58" s="246" t="s">
        <v>350</v>
      </c>
      <c r="B58" s="244">
        <v>180300000</v>
      </c>
      <c r="C58" s="244">
        <v>226800000</v>
      </c>
      <c r="D58" s="244">
        <v>4600000</v>
      </c>
      <c r="E58" s="244">
        <v>9800000</v>
      </c>
      <c r="F58" s="244">
        <v>72118000</v>
      </c>
      <c r="G58" s="244">
        <v>2300000</v>
      </c>
    </row>
    <row r="59" spans="1:7" ht="16.5" x14ac:dyDescent="0.2">
      <c r="A59" s="248" t="s">
        <v>351</v>
      </c>
      <c r="B59" s="244">
        <v>177203390</v>
      </c>
      <c r="C59" s="244">
        <v>1291108390</v>
      </c>
      <c r="D59" s="244">
        <v>1</v>
      </c>
      <c r="E59" s="244">
        <v>14504</v>
      </c>
      <c r="F59" s="244"/>
      <c r="G59" s="244"/>
    </row>
    <row r="60" spans="1:7" ht="16.5" x14ac:dyDescent="0.2">
      <c r="A60" s="246" t="s">
        <v>352</v>
      </c>
      <c r="B60" s="244">
        <v>177203380</v>
      </c>
      <c r="C60" s="244">
        <v>1291108390</v>
      </c>
      <c r="D60" s="244">
        <v>1</v>
      </c>
      <c r="E60" s="244">
        <v>14504678</v>
      </c>
      <c r="F60" s="244">
        <v>32196000</v>
      </c>
      <c r="G60" s="244">
        <v>2996000</v>
      </c>
    </row>
    <row r="61" spans="1:7" ht="16.5" x14ac:dyDescent="0.2">
      <c r="A61" s="248" t="s">
        <v>236</v>
      </c>
      <c r="B61" s="244">
        <v>7403636734</v>
      </c>
      <c r="C61" s="244">
        <v>12701619195</v>
      </c>
      <c r="D61" s="244">
        <v>163163611</v>
      </c>
      <c r="E61" s="244">
        <v>5719525040</v>
      </c>
      <c r="F61" s="244">
        <v>740104537</v>
      </c>
      <c r="G61" s="244">
        <v>1</v>
      </c>
    </row>
    <row r="62" spans="1:7" ht="16.5" x14ac:dyDescent="0.2">
      <c r="A62" s="246" t="s">
        <v>353</v>
      </c>
      <c r="B62" s="244">
        <v>14300112919</v>
      </c>
      <c r="C62" s="244">
        <v>21704248617</v>
      </c>
      <c r="D62" s="244">
        <v>881453927</v>
      </c>
      <c r="E62" s="244">
        <v>14384638984</v>
      </c>
      <c r="F62" s="244">
        <v>2186423825</v>
      </c>
      <c r="G62" s="244">
        <v>1548259</v>
      </c>
    </row>
    <row r="63" spans="1:7" ht="16.5" x14ac:dyDescent="0.2">
      <c r="A63" s="248" t="s">
        <v>240</v>
      </c>
      <c r="B63" s="244">
        <v>1626559960</v>
      </c>
      <c r="C63" s="244">
        <v>2261486102</v>
      </c>
      <c r="D63" s="244">
        <v>59434000</v>
      </c>
      <c r="E63" s="244">
        <v>90925000</v>
      </c>
      <c r="F63" s="244">
        <v>209226542</v>
      </c>
      <c r="G63" s="244">
        <v>1</v>
      </c>
    </row>
    <row r="64" spans="1:7" ht="16.5" x14ac:dyDescent="0.2">
      <c r="A64" s="246" t="s">
        <v>354</v>
      </c>
      <c r="B64" s="244">
        <v>463859609</v>
      </c>
      <c r="C64" s="244">
        <v>463859609</v>
      </c>
      <c r="D64" s="244">
        <v>61878045</v>
      </c>
      <c r="E64" s="244">
        <v>130624970</v>
      </c>
      <c r="F64" s="244">
        <v>78732138</v>
      </c>
      <c r="G64" s="244">
        <v>26554039</v>
      </c>
    </row>
    <row r="65" spans="1:7" ht="16.5" x14ac:dyDescent="0.2">
      <c r="A65" s="246" t="s">
        <v>355</v>
      </c>
      <c r="B65" s="244">
        <v>13300607831</v>
      </c>
      <c r="C65" s="244">
        <v>14296869048</v>
      </c>
      <c r="D65" s="244">
        <v>4506543948</v>
      </c>
      <c r="E65" s="244">
        <v>9712236217</v>
      </c>
      <c r="F65" s="244">
        <v>1843833155</v>
      </c>
      <c r="G65" s="244">
        <v>554801334</v>
      </c>
    </row>
    <row r="66" spans="1:7" ht="16.5" x14ac:dyDescent="0.2">
      <c r="A66" s="246" t="s">
        <v>356</v>
      </c>
      <c r="B66" s="244">
        <v>14926668529</v>
      </c>
      <c r="C66" s="244">
        <v>26364901501</v>
      </c>
      <c r="D66" s="244">
        <v>2235153054</v>
      </c>
      <c r="E66" s="244">
        <v>5633411780</v>
      </c>
      <c r="F66" s="244">
        <v>4974021691</v>
      </c>
      <c r="G66" s="244">
        <v>38255756</v>
      </c>
    </row>
    <row r="67" spans="1:7" ht="16.5" x14ac:dyDescent="0.2">
      <c r="A67" s="248" t="s">
        <v>357</v>
      </c>
      <c r="B67" s="244">
        <v>726768821</v>
      </c>
      <c r="C67" s="244">
        <v>730117721</v>
      </c>
      <c r="D67" s="244">
        <v>151229324</v>
      </c>
      <c r="E67" s="244">
        <f>+D67</f>
        <v>151229324</v>
      </c>
      <c r="F67" s="244">
        <v>408596522</v>
      </c>
      <c r="G67" s="244">
        <v>1</v>
      </c>
    </row>
    <row r="68" spans="1:7" ht="16.5" x14ac:dyDescent="0.2">
      <c r="A68" s="246" t="s">
        <v>358</v>
      </c>
      <c r="B68" s="244">
        <v>1038347584</v>
      </c>
      <c r="C68" s="244">
        <v>1189889669</v>
      </c>
      <c r="D68" s="244">
        <v>30445000</v>
      </c>
      <c r="E68" s="244">
        <f>+D68</f>
        <v>30445000</v>
      </c>
      <c r="F68" s="244">
        <v>228966509</v>
      </c>
      <c r="G68" s="244">
        <v>1</v>
      </c>
    </row>
    <row r="69" spans="1:7" ht="16.5" x14ac:dyDescent="0.2">
      <c r="A69" s="246" t="s">
        <v>359</v>
      </c>
      <c r="B69" s="244">
        <v>31882393558</v>
      </c>
      <c r="C69" s="244">
        <v>39612696094</v>
      </c>
      <c r="D69" s="244">
        <v>983339835</v>
      </c>
      <c r="E69" s="244">
        <v>18507068095</v>
      </c>
      <c r="F69" s="244">
        <v>1790185511</v>
      </c>
      <c r="G69" s="244">
        <v>18920641</v>
      </c>
    </row>
    <row r="70" spans="1:7" x14ac:dyDescent="0.2">
      <c r="A70" s="243" t="s">
        <v>208</v>
      </c>
      <c r="B70" s="244">
        <v>5321753963</v>
      </c>
      <c r="C70" s="244">
        <v>8605892986</v>
      </c>
      <c r="D70" s="244">
        <v>245864674</v>
      </c>
      <c r="E70" s="244">
        <v>3090848316</v>
      </c>
      <c r="F70" s="244">
        <v>789763157</v>
      </c>
      <c r="G70" s="244">
        <v>179412903</v>
      </c>
    </row>
    <row r="71" spans="1:7" x14ac:dyDescent="0.2">
      <c r="A71" s="243" t="s">
        <v>234</v>
      </c>
      <c r="B71" s="244">
        <v>5237662405</v>
      </c>
      <c r="C71" s="244">
        <v>9104663531</v>
      </c>
      <c r="D71" s="244">
        <v>518052000</v>
      </c>
      <c r="E71" s="244">
        <v>4130738773</v>
      </c>
      <c r="F71" s="244">
        <v>940112840</v>
      </c>
      <c r="G71" s="244">
        <v>238420658</v>
      </c>
    </row>
    <row r="72" spans="1:7" ht="16.5" x14ac:dyDescent="0.2">
      <c r="A72" s="248" t="s">
        <v>360</v>
      </c>
      <c r="B72" s="244">
        <v>5958317583</v>
      </c>
      <c r="C72" s="244">
        <v>9209940306</v>
      </c>
      <c r="D72" s="244">
        <v>1836029441</v>
      </c>
      <c r="E72" s="244">
        <v>4970538177</v>
      </c>
      <c r="F72" s="244">
        <v>1125424406</v>
      </c>
      <c r="G72" s="244">
        <v>595462648</v>
      </c>
    </row>
    <row r="73" spans="1:7" ht="16.5" x14ac:dyDescent="0.2">
      <c r="A73" s="246" t="s">
        <v>361</v>
      </c>
      <c r="B73" s="244">
        <v>9937117675</v>
      </c>
      <c r="C73" s="244">
        <v>11478561998</v>
      </c>
      <c r="D73" s="244">
        <v>5575918786</v>
      </c>
      <c r="E73" s="244">
        <v>6058306130</v>
      </c>
      <c r="F73" s="244">
        <v>2506851295</v>
      </c>
      <c r="G73" s="244">
        <v>213096238</v>
      </c>
    </row>
    <row r="74" spans="1:7" ht="16.5" x14ac:dyDescent="0.2">
      <c r="A74" s="248" t="s">
        <v>362</v>
      </c>
      <c r="B74" s="244">
        <v>781250151</v>
      </c>
      <c r="C74" s="244">
        <v>1377203737</v>
      </c>
      <c r="D74" s="244">
        <v>36456900</v>
      </c>
      <c r="E74" s="244">
        <v>231009037</v>
      </c>
      <c r="F74" s="244">
        <v>154715913</v>
      </c>
      <c r="G74" s="244">
        <v>1656580</v>
      </c>
    </row>
    <row r="75" spans="1:7" ht="16.5" x14ac:dyDescent="0.2">
      <c r="A75" s="246" t="s">
        <v>363</v>
      </c>
      <c r="B75" s="244">
        <v>2728503645</v>
      </c>
      <c r="C75" s="244">
        <v>3326135610</v>
      </c>
      <c r="D75" s="244">
        <v>388870407</v>
      </c>
      <c r="E75" s="244">
        <v>823368967</v>
      </c>
      <c r="F75" s="244">
        <v>378433021</v>
      </c>
      <c r="G75" s="244">
        <v>26676376</v>
      </c>
    </row>
    <row r="76" spans="1:7" ht="16.5" x14ac:dyDescent="0.2">
      <c r="A76" s="248" t="s">
        <v>364</v>
      </c>
      <c r="B76" s="244">
        <v>4124238544</v>
      </c>
      <c r="C76" s="244">
        <v>8281405183</v>
      </c>
      <c r="D76" s="244">
        <v>670428104</v>
      </c>
      <c r="E76" s="244">
        <v>3031967184</v>
      </c>
      <c r="F76" s="244">
        <v>528094050</v>
      </c>
      <c r="G76" s="244">
        <v>136337453</v>
      </c>
    </row>
    <row r="77" spans="1:7" ht="16.5" x14ac:dyDescent="0.2">
      <c r="A77" s="246" t="s">
        <v>365</v>
      </c>
      <c r="B77" s="244">
        <v>1187412978</v>
      </c>
      <c r="C77" s="244">
        <v>1610937360</v>
      </c>
      <c r="D77" s="244">
        <v>522700131</v>
      </c>
      <c r="E77" s="244">
        <f>+D77</f>
        <v>522700131</v>
      </c>
      <c r="F77" s="244">
        <v>133575116</v>
      </c>
      <c r="G77" s="244">
        <v>139320</v>
      </c>
    </row>
    <row r="78" spans="1:7" ht="16.5" x14ac:dyDescent="0.2">
      <c r="A78" s="246" t="s">
        <v>366</v>
      </c>
      <c r="B78" s="244">
        <v>798016202</v>
      </c>
      <c r="C78" s="244">
        <v>822282773</v>
      </c>
      <c r="D78" s="244">
        <v>139908252</v>
      </c>
      <c r="E78" s="244">
        <v>295932262</v>
      </c>
      <c r="F78" s="244">
        <v>167456754</v>
      </c>
      <c r="G78" s="244">
        <v>1</v>
      </c>
    </row>
    <row r="79" spans="1:7" ht="16.5" x14ac:dyDescent="0.2">
      <c r="A79" s="248" t="s">
        <v>187</v>
      </c>
      <c r="B79" s="244">
        <v>688383559</v>
      </c>
      <c r="C79" s="244">
        <v>781305628</v>
      </c>
      <c r="D79" s="244">
        <v>6428660</v>
      </c>
      <c r="E79" s="244">
        <v>61268208</v>
      </c>
      <c r="F79" s="244">
        <v>100119759</v>
      </c>
      <c r="G79" s="244">
        <v>5194608</v>
      </c>
    </row>
    <row r="80" spans="1:7" ht="16.5" x14ac:dyDescent="0.2">
      <c r="A80" s="248" t="s">
        <v>367</v>
      </c>
      <c r="B80" s="244">
        <v>13723264435</v>
      </c>
      <c r="C80" s="244">
        <v>40229755836</v>
      </c>
      <c r="D80" s="244">
        <v>6536943733</v>
      </c>
      <c r="E80" s="244">
        <v>10137822023</v>
      </c>
      <c r="F80" s="244">
        <v>7503376105</v>
      </c>
      <c r="G80" s="244">
        <v>175557522</v>
      </c>
    </row>
    <row r="81" spans="1:7" x14ac:dyDescent="0.2">
      <c r="A81" s="243" t="s">
        <v>368</v>
      </c>
      <c r="B81" s="244">
        <v>1490781625</v>
      </c>
      <c r="C81" s="244">
        <v>1857251907</v>
      </c>
      <c r="D81" s="244">
        <v>51180556</v>
      </c>
      <c r="E81" s="244">
        <v>236824813</v>
      </c>
      <c r="F81" s="244">
        <v>268799708</v>
      </c>
      <c r="G81" s="244">
        <v>1</v>
      </c>
    </row>
    <row r="82" spans="1:7" x14ac:dyDescent="0.2">
      <c r="A82" s="243" t="s">
        <v>369</v>
      </c>
      <c r="B82" s="244">
        <v>2217762117</v>
      </c>
      <c r="C82" s="244">
        <v>4240726480</v>
      </c>
      <c r="D82" s="244">
        <v>545779109</v>
      </c>
      <c r="E82" s="244">
        <v>619665053</v>
      </c>
      <c r="F82" s="244">
        <v>902101605</v>
      </c>
      <c r="G82" s="244">
        <v>25941701</v>
      </c>
    </row>
    <row r="83" spans="1:7" ht="16.5" x14ac:dyDescent="0.2">
      <c r="A83" s="248" t="s">
        <v>370</v>
      </c>
      <c r="B83" s="244">
        <v>484500238</v>
      </c>
      <c r="C83" s="244">
        <v>629500238</v>
      </c>
      <c r="D83" s="244">
        <v>5000000</v>
      </c>
      <c r="E83" s="244">
        <f>+D83</f>
        <v>5000000</v>
      </c>
      <c r="F83" s="244">
        <v>57272263</v>
      </c>
      <c r="G83" s="244">
        <v>1</v>
      </c>
    </row>
    <row r="84" spans="1:7" ht="16.5" x14ac:dyDescent="0.2">
      <c r="A84" s="246" t="s">
        <v>371</v>
      </c>
      <c r="B84" s="244">
        <v>7626109945</v>
      </c>
      <c r="C84" s="244">
        <v>16970933887</v>
      </c>
      <c r="D84" s="244">
        <v>323765900</v>
      </c>
      <c r="E84" s="244">
        <v>6249957796</v>
      </c>
      <c r="F84" s="244">
        <v>718419423</v>
      </c>
      <c r="G84" s="244">
        <v>89375272</v>
      </c>
    </row>
    <row r="85" spans="1:7" ht="33" x14ac:dyDescent="0.2">
      <c r="A85" s="246" t="s">
        <v>372</v>
      </c>
      <c r="B85" s="244">
        <v>51487801911</v>
      </c>
      <c r="C85" s="244">
        <v>78051354773</v>
      </c>
      <c r="D85" s="244">
        <v>5313788038</v>
      </c>
      <c r="E85" s="244">
        <v>50185658438</v>
      </c>
      <c r="F85" s="244">
        <v>2870327946</v>
      </c>
      <c r="G85" s="244">
        <v>1311362099</v>
      </c>
    </row>
    <row r="86" spans="1:7" x14ac:dyDescent="0.2">
      <c r="A86" s="245" t="s">
        <v>191</v>
      </c>
      <c r="B86" s="244">
        <v>26731552892</v>
      </c>
      <c r="C86" s="244">
        <v>39196745677</v>
      </c>
      <c r="D86" s="244">
        <v>1588194564</v>
      </c>
      <c r="E86" s="244">
        <v>8646021597</v>
      </c>
      <c r="F86" s="244">
        <v>3973153431</v>
      </c>
      <c r="G86" s="244">
        <v>43073326</v>
      </c>
    </row>
    <row r="87" spans="1:7" x14ac:dyDescent="0.2">
      <c r="A87" s="243" t="s">
        <v>373</v>
      </c>
      <c r="B87" s="249">
        <v>3015263011</v>
      </c>
      <c r="C87" s="244">
        <v>3678630834</v>
      </c>
      <c r="D87" s="244">
        <v>297394825</v>
      </c>
      <c r="E87" s="244">
        <v>1102988472</v>
      </c>
      <c r="F87" s="244">
        <v>397312270</v>
      </c>
      <c r="G87" s="244">
        <v>14478717</v>
      </c>
    </row>
    <row r="88" spans="1:7" ht="16.5" x14ac:dyDescent="0.2">
      <c r="A88" s="248" t="s">
        <v>374</v>
      </c>
    </row>
    <row r="89" spans="1:7" ht="16.5" x14ac:dyDescent="0.2">
      <c r="A89" s="246" t="s">
        <v>241</v>
      </c>
      <c r="B89" s="244">
        <v>1269132579</v>
      </c>
      <c r="C89" s="244">
        <v>2939932579</v>
      </c>
      <c r="D89" s="244">
        <v>282356176</v>
      </c>
      <c r="E89" s="244">
        <v>769850148</v>
      </c>
      <c r="F89" s="244">
        <v>420933982</v>
      </c>
      <c r="G89" s="244">
        <v>20000000</v>
      </c>
    </row>
    <row r="90" spans="1:7" ht="16.5" x14ac:dyDescent="0.2">
      <c r="A90" s="248" t="s">
        <v>375</v>
      </c>
      <c r="B90" s="244">
        <v>1813083000</v>
      </c>
      <c r="C90" s="244">
        <v>1890916000</v>
      </c>
      <c r="D90" s="244">
        <v>722185000</v>
      </c>
      <c r="E90" s="244">
        <f>+D90</f>
        <v>722185000</v>
      </c>
      <c r="F90" s="244">
        <v>372961000</v>
      </c>
      <c r="G90" s="244">
        <v>241000</v>
      </c>
    </row>
    <row r="91" spans="1:7" ht="16.5" x14ac:dyDescent="0.2">
      <c r="A91" s="246" t="s">
        <v>376</v>
      </c>
      <c r="B91" s="244">
        <v>3829588000</v>
      </c>
      <c r="C91" s="244">
        <v>6034635000</v>
      </c>
      <c r="D91" s="244">
        <v>198826000</v>
      </c>
      <c r="E91" s="244">
        <v>3554587000</v>
      </c>
      <c r="F91" s="244">
        <v>1436244000</v>
      </c>
      <c r="G91" s="244">
        <v>199548000</v>
      </c>
    </row>
    <row r="92" spans="1:7" x14ac:dyDescent="0.2">
      <c r="A92" s="243" t="s">
        <v>190</v>
      </c>
      <c r="B92" s="244">
        <v>29435959326</v>
      </c>
      <c r="C92" s="244">
        <v>43016585182</v>
      </c>
      <c r="D92" s="244">
        <v>19031510028</v>
      </c>
      <c r="E92" s="244">
        <v>26604545840</v>
      </c>
      <c r="F92" s="244">
        <v>6644390239</v>
      </c>
      <c r="G92" s="244">
        <v>1743909305</v>
      </c>
    </row>
    <row r="93" spans="1:7" x14ac:dyDescent="0.2">
      <c r="A93" s="243" t="s">
        <v>232</v>
      </c>
      <c r="B93" s="244">
        <v>2119476744</v>
      </c>
      <c r="C93" s="244">
        <v>4806629584</v>
      </c>
      <c r="D93" s="244">
        <v>176018488</v>
      </c>
      <c r="E93" s="244">
        <v>1708248551</v>
      </c>
      <c r="F93" s="244">
        <v>337666126</v>
      </c>
      <c r="G93" s="244">
        <v>6026000</v>
      </c>
    </row>
    <row r="94" spans="1:7" ht="33" x14ac:dyDescent="0.2">
      <c r="A94" s="246" t="s">
        <v>377</v>
      </c>
      <c r="B94" s="244">
        <v>5173709291</v>
      </c>
      <c r="C94" s="244">
        <v>6418025187</v>
      </c>
      <c r="D94" s="244">
        <v>142854571</v>
      </c>
      <c r="E94" s="244">
        <v>628187443</v>
      </c>
      <c r="F94" s="244">
        <v>356370871</v>
      </c>
      <c r="G94" s="244">
        <v>22601745</v>
      </c>
    </row>
    <row r="95" spans="1:7" ht="16.5" x14ac:dyDescent="0.2">
      <c r="A95" s="246" t="s">
        <v>378</v>
      </c>
      <c r="B95" s="244">
        <v>5878909015</v>
      </c>
      <c r="C95" s="244">
        <v>8226756488</v>
      </c>
      <c r="D95" s="244">
        <v>2075613949</v>
      </c>
      <c r="E95" s="244">
        <v>4008370849</v>
      </c>
      <c r="F95" s="244">
        <v>1891047868</v>
      </c>
      <c r="G95" s="244">
        <v>151751435</v>
      </c>
    </row>
    <row r="96" spans="1:7" ht="16.5" x14ac:dyDescent="0.2">
      <c r="A96" s="248" t="s">
        <v>204</v>
      </c>
      <c r="B96" s="244">
        <v>2453425821</v>
      </c>
      <c r="C96" s="244">
        <v>3628197089</v>
      </c>
      <c r="D96" s="244">
        <v>298887578</v>
      </c>
      <c r="E96" s="249">
        <v>783598531</v>
      </c>
      <c r="F96" s="249">
        <v>541501131</v>
      </c>
      <c r="G96" s="244">
        <v>47239523</v>
      </c>
    </row>
    <row r="97" spans="1:7" ht="16.5" x14ac:dyDescent="0.2">
      <c r="A97" s="246" t="s">
        <v>205</v>
      </c>
      <c r="B97" s="244">
        <v>364895055</v>
      </c>
      <c r="C97" s="244">
        <v>574574960</v>
      </c>
      <c r="D97" s="244">
        <v>90739655</v>
      </c>
      <c r="E97" s="244">
        <v>190739655</v>
      </c>
      <c r="F97" s="244">
        <v>107999601</v>
      </c>
      <c r="G97" s="244">
        <v>28068</v>
      </c>
    </row>
    <row r="98" spans="1:7" x14ac:dyDescent="0.2">
      <c r="A98" s="243" t="s">
        <v>379</v>
      </c>
      <c r="B98" s="244">
        <v>7510966504</v>
      </c>
      <c r="C98" s="244">
        <v>15366427665</v>
      </c>
      <c r="D98" s="244">
        <v>2406037123</v>
      </c>
      <c r="E98" s="244">
        <v>8051850893</v>
      </c>
      <c r="F98" s="244">
        <v>3203146406</v>
      </c>
      <c r="G98" s="244">
        <v>593665102</v>
      </c>
    </row>
    <row r="99" spans="1:7" ht="16.5" x14ac:dyDescent="0.2">
      <c r="A99" s="248" t="s">
        <v>188</v>
      </c>
      <c r="B99" s="244">
        <v>18034455000</v>
      </c>
      <c r="C99" s="244">
        <v>27312769000</v>
      </c>
      <c r="D99" s="244">
        <v>8958987000</v>
      </c>
      <c r="E99" s="244">
        <v>12875861000</v>
      </c>
      <c r="F99" s="244">
        <v>1878381000</v>
      </c>
      <c r="G99" s="244">
        <v>1090815000</v>
      </c>
    </row>
    <row r="100" spans="1:7" x14ac:dyDescent="0.2">
      <c r="A100" s="243" t="s">
        <v>380</v>
      </c>
      <c r="B100" s="244">
        <v>3596990011</v>
      </c>
      <c r="C100" s="244">
        <v>6174345294</v>
      </c>
      <c r="D100" s="244">
        <v>1362601369</v>
      </c>
      <c r="E100" s="244">
        <v>3617159092</v>
      </c>
      <c r="F100" s="244">
        <v>584431071</v>
      </c>
      <c r="G100" s="244">
        <v>281934390</v>
      </c>
    </row>
    <row r="101" spans="1:7" ht="16.5" x14ac:dyDescent="0.2">
      <c r="A101" s="251" t="s">
        <v>199</v>
      </c>
      <c r="B101" s="244">
        <v>5851600000</v>
      </c>
      <c r="C101" s="244">
        <v>8778424000</v>
      </c>
      <c r="D101" s="244">
        <v>123765000</v>
      </c>
      <c r="E101" s="244">
        <v>2618430000</v>
      </c>
      <c r="F101" s="244">
        <v>560045000</v>
      </c>
      <c r="G101" s="244">
        <v>27039000</v>
      </c>
    </row>
    <row r="102" spans="1:7" ht="16.5" x14ac:dyDescent="0.2">
      <c r="A102" s="252" t="s">
        <v>381</v>
      </c>
      <c r="B102" s="244">
        <v>7843483909</v>
      </c>
      <c r="C102" s="244">
        <v>13403059942</v>
      </c>
      <c r="D102" s="244">
        <v>1603028178</v>
      </c>
      <c r="E102" s="244">
        <v>3680773095</v>
      </c>
      <c r="F102" s="244">
        <v>1100752305</v>
      </c>
      <c r="G102" s="244">
        <v>12160243</v>
      </c>
    </row>
    <row r="103" spans="1:7" x14ac:dyDescent="0.2">
      <c r="A103" s="245" t="s">
        <v>382</v>
      </c>
      <c r="B103" s="244">
        <v>1137290460</v>
      </c>
      <c r="C103" s="244">
        <v>1769366177</v>
      </c>
      <c r="D103" s="244">
        <v>315106308</v>
      </c>
      <c r="E103" s="244">
        <v>1028090909</v>
      </c>
      <c r="F103" s="244">
        <v>741275268</v>
      </c>
      <c r="G103" s="244">
        <v>816539499</v>
      </c>
    </row>
    <row r="104" spans="1:7" x14ac:dyDescent="0.2">
      <c r="A104" s="245" t="s">
        <v>383</v>
      </c>
      <c r="B104" s="244">
        <v>5686171000</v>
      </c>
      <c r="C104" s="244">
        <v>5843203000</v>
      </c>
      <c r="D104" s="244">
        <v>1079332000</v>
      </c>
      <c r="E104" s="244">
        <v>2863333000</v>
      </c>
      <c r="F104" s="244">
        <v>1048565000</v>
      </c>
      <c r="G104" s="244">
        <v>34008000</v>
      </c>
    </row>
    <row r="105" spans="1:7" x14ac:dyDescent="0.2">
      <c r="A105" s="243" t="s">
        <v>384</v>
      </c>
      <c r="B105" s="244">
        <v>11264189797</v>
      </c>
      <c r="C105" s="244">
        <v>11771793030</v>
      </c>
      <c r="D105" s="244">
        <v>5323537651</v>
      </c>
      <c r="E105" s="244">
        <v>6870950750</v>
      </c>
      <c r="F105" s="244">
        <v>1667684017</v>
      </c>
      <c r="G105" s="244">
        <v>174727194</v>
      </c>
    </row>
    <row r="106" spans="1:7" ht="16.5" x14ac:dyDescent="0.2">
      <c r="A106" s="251" t="s">
        <v>385</v>
      </c>
      <c r="B106" s="244">
        <v>1104924253</v>
      </c>
      <c r="C106" s="244">
        <v>1871427946</v>
      </c>
      <c r="D106" s="244">
        <v>27799686</v>
      </c>
      <c r="E106" s="244">
        <v>138726390</v>
      </c>
      <c r="F106" s="244">
        <v>187534976</v>
      </c>
      <c r="G106" s="244">
        <v>4736860</v>
      </c>
    </row>
    <row r="107" spans="1:7" ht="16.5" x14ac:dyDescent="0.2">
      <c r="A107" s="252" t="s">
        <v>386</v>
      </c>
      <c r="B107" s="244">
        <v>225784849</v>
      </c>
      <c r="C107" s="244">
        <v>801124714</v>
      </c>
      <c r="D107" s="244">
        <v>372000</v>
      </c>
      <c r="E107" s="244">
        <v>13665011</v>
      </c>
      <c r="F107" s="244">
        <v>41862405</v>
      </c>
      <c r="G107" s="244">
        <v>1468511</v>
      </c>
    </row>
    <row r="108" spans="1:7" ht="16.5" x14ac:dyDescent="0.2">
      <c r="A108" s="252" t="s">
        <v>387</v>
      </c>
      <c r="B108" s="244">
        <v>48801065</v>
      </c>
      <c r="C108" s="244">
        <v>221401065</v>
      </c>
      <c r="D108" s="244">
        <v>1</v>
      </c>
      <c r="E108" s="244">
        <v>1</v>
      </c>
      <c r="F108" s="244">
        <v>31939677</v>
      </c>
      <c r="G108" s="244">
        <v>1</v>
      </c>
    </row>
    <row r="109" spans="1:7" x14ac:dyDescent="0.2">
      <c r="A109" s="245" t="s">
        <v>388</v>
      </c>
      <c r="B109" s="244">
        <v>4681351480</v>
      </c>
      <c r="C109" s="244">
        <v>11959312487</v>
      </c>
      <c r="D109" s="244">
        <v>1234453842</v>
      </c>
      <c r="E109" s="244">
        <v>6799945143</v>
      </c>
      <c r="F109" s="244">
        <v>698486625</v>
      </c>
      <c r="G109" s="244">
        <v>596527961</v>
      </c>
    </row>
    <row r="110" spans="1:7" ht="14.25" x14ac:dyDescent="0.2">
      <c r="A110" s="253" t="s">
        <v>389</v>
      </c>
      <c r="B110" s="244">
        <v>27766335957</v>
      </c>
      <c r="C110" s="244">
        <v>51604456195</v>
      </c>
      <c r="D110" s="244">
        <v>11872064256</v>
      </c>
      <c r="E110" s="244">
        <v>20173989296</v>
      </c>
      <c r="F110" s="244">
        <v>3846962050</v>
      </c>
      <c r="G110" s="244">
        <v>1235779143</v>
      </c>
    </row>
    <row r="111" spans="1:7" ht="16.5" x14ac:dyDescent="0.2">
      <c r="A111" s="251" t="s">
        <v>390</v>
      </c>
      <c r="B111" s="244">
        <v>3194253098</v>
      </c>
      <c r="C111" s="244">
        <v>4392019599</v>
      </c>
      <c r="D111" s="244">
        <v>346093925</v>
      </c>
      <c r="E111" s="244">
        <v>1313896402</v>
      </c>
      <c r="F111" s="244">
        <v>1260914207</v>
      </c>
      <c r="G111" s="244">
        <v>518297</v>
      </c>
    </row>
    <row r="112" spans="1:7" ht="16.5" x14ac:dyDescent="0.2">
      <c r="A112" s="252" t="s">
        <v>391</v>
      </c>
      <c r="B112" s="244">
        <v>396788410</v>
      </c>
      <c r="C112" s="244">
        <v>406720506</v>
      </c>
      <c r="D112" s="244">
        <v>9982930</v>
      </c>
      <c r="E112" s="244">
        <v>100334538</v>
      </c>
      <c r="F112" s="244">
        <v>107398052</v>
      </c>
      <c r="G112" s="244">
        <v>230500</v>
      </c>
    </row>
    <row r="113" spans="1:7" ht="16.5" x14ac:dyDescent="0.2">
      <c r="A113" s="251" t="s">
        <v>218</v>
      </c>
      <c r="B113" s="244">
        <v>3250004649</v>
      </c>
      <c r="C113" s="244">
        <v>4369690728</v>
      </c>
      <c r="D113" s="244">
        <v>834890506</v>
      </c>
      <c r="E113" s="244">
        <v>1689998329</v>
      </c>
      <c r="F113" s="244">
        <v>304409884</v>
      </c>
      <c r="G113" s="244">
        <v>104688325</v>
      </c>
    </row>
    <row r="114" spans="1:7" ht="33" x14ac:dyDescent="0.2">
      <c r="A114" s="252" t="s">
        <v>392</v>
      </c>
      <c r="B114" s="244">
        <v>389916453</v>
      </c>
      <c r="C114" s="244">
        <v>403448813</v>
      </c>
      <c r="D114" s="244">
        <v>20197456</v>
      </c>
      <c r="E114" s="244">
        <v>129584432</v>
      </c>
      <c r="F114" s="244">
        <v>58238906</v>
      </c>
      <c r="G114" s="244">
        <v>2573453</v>
      </c>
    </row>
    <row r="115" spans="1:7" x14ac:dyDescent="0.2">
      <c r="A115" s="243" t="s">
        <v>393</v>
      </c>
      <c r="B115" s="244">
        <v>10104301960</v>
      </c>
      <c r="C115" s="244">
        <v>17186668508</v>
      </c>
      <c r="D115" s="244">
        <v>2029015680</v>
      </c>
      <c r="E115" s="244">
        <v>7484677828</v>
      </c>
      <c r="F115" s="244">
        <v>1721093753</v>
      </c>
      <c r="G115" s="244">
        <v>55927245</v>
      </c>
    </row>
    <row r="116" spans="1:7" x14ac:dyDescent="0.2">
      <c r="A116" s="254" t="s">
        <v>394</v>
      </c>
      <c r="B116" s="243">
        <v>5482900540</v>
      </c>
      <c r="C116" s="244">
        <v>6074425978</v>
      </c>
      <c r="D116" s="244">
        <v>1822584051</v>
      </c>
      <c r="E116" s="244">
        <v>4135460909</v>
      </c>
      <c r="F116" s="244">
        <v>245201081</v>
      </c>
      <c r="G116" s="244">
        <v>489962</v>
      </c>
    </row>
    <row r="117" spans="1:7" x14ac:dyDescent="0.2">
      <c r="A117" s="243" t="s">
        <v>395</v>
      </c>
      <c r="B117" s="244">
        <v>6432171840</v>
      </c>
      <c r="C117" s="244">
        <v>7694229812</v>
      </c>
      <c r="D117" s="244">
        <v>889838369</v>
      </c>
      <c r="E117" s="244">
        <v>1197097825</v>
      </c>
      <c r="F117" s="244">
        <v>250319101</v>
      </c>
      <c r="G117" s="244">
        <v>1</v>
      </c>
    </row>
    <row r="118" spans="1:7" ht="16.5" x14ac:dyDescent="0.2">
      <c r="A118" s="251" t="s">
        <v>396</v>
      </c>
      <c r="B118" s="244">
        <v>711673307</v>
      </c>
      <c r="C118" s="244">
        <v>935973307</v>
      </c>
      <c r="D118" s="244">
        <v>9950000</v>
      </c>
      <c r="E118" s="244">
        <v>70950000</v>
      </c>
      <c r="F118" s="244">
        <v>73042610</v>
      </c>
      <c r="G118" s="244">
        <v>1</v>
      </c>
    </row>
    <row r="119" spans="1:7" ht="16.5" x14ac:dyDescent="0.2">
      <c r="A119" s="252" t="s">
        <v>397</v>
      </c>
      <c r="B119" s="244">
        <v>3699793604</v>
      </c>
      <c r="C119" s="244">
        <v>4985206638</v>
      </c>
      <c r="D119" s="244">
        <v>315844517</v>
      </c>
      <c r="E119" s="244">
        <v>1830039661</v>
      </c>
      <c r="F119" s="244">
        <v>21178079</v>
      </c>
      <c r="G119" s="244">
        <v>14978608</v>
      </c>
    </row>
    <row r="120" spans="1:7" x14ac:dyDescent="0.2">
      <c r="A120" s="255" t="s">
        <v>398</v>
      </c>
      <c r="B120" s="244">
        <v>8257995775</v>
      </c>
      <c r="C120" s="244">
        <v>13859134696</v>
      </c>
      <c r="D120" s="244">
        <v>3245269708</v>
      </c>
      <c r="E120" s="244">
        <v>7523902580</v>
      </c>
      <c r="F120" s="244">
        <v>2779146245</v>
      </c>
      <c r="G120" s="244">
        <v>698070197</v>
      </c>
    </row>
    <row r="121" spans="1:7" ht="16.5" x14ac:dyDescent="0.2">
      <c r="A121" s="251" t="s">
        <v>399</v>
      </c>
      <c r="B121" s="244">
        <v>1034566000</v>
      </c>
      <c r="C121" s="244">
        <v>1497333000</v>
      </c>
      <c r="D121" s="244">
        <v>132081000</v>
      </c>
      <c r="E121" s="244">
        <v>330140000</v>
      </c>
      <c r="F121" s="244">
        <v>96523000</v>
      </c>
      <c r="G121" s="244">
        <v>5035000</v>
      </c>
    </row>
    <row r="122" spans="1:7" ht="16.5" x14ac:dyDescent="0.2">
      <c r="A122" s="251" t="s">
        <v>400</v>
      </c>
      <c r="B122" s="244">
        <v>461001000</v>
      </c>
      <c r="C122" s="244">
        <v>737652000</v>
      </c>
      <c r="D122" s="244">
        <v>108624000</v>
      </c>
      <c r="E122" s="244">
        <v>196533000</v>
      </c>
      <c r="F122" s="244">
        <v>66653000</v>
      </c>
      <c r="G122" s="244">
        <v>15200000</v>
      </c>
    </row>
    <row r="123" spans="1:7" x14ac:dyDescent="0.2">
      <c r="A123" s="243" t="s">
        <v>228</v>
      </c>
      <c r="B123" s="244">
        <v>21040353000</v>
      </c>
      <c r="C123" s="244">
        <v>37725272000</v>
      </c>
      <c r="D123" s="244">
        <v>5020073000</v>
      </c>
      <c r="E123" s="244">
        <v>8253666000</v>
      </c>
      <c r="F123" s="244">
        <v>2874434000</v>
      </c>
      <c r="G123" s="244">
        <v>286572000</v>
      </c>
    </row>
    <row r="124" spans="1:7" ht="16.5" x14ac:dyDescent="0.2">
      <c r="A124" s="251" t="s">
        <v>401</v>
      </c>
      <c r="B124" s="244">
        <v>1677561527</v>
      </c>
      <c r="C124" s="244">
        <v>2322331854</v>
      </c>
      <c r="D124" s="244">
        <v>56959424</v>
      </c>
      <c r="E124" s="244">
        <v>635007996</v>
      </c>
      <c r="F124" s="244">
        <v>337174340</v>
      </c>
      <c r="G124" s="244">
        <v>21573416</v>
      </c>
    </row>
    <row r="125" spans="1:7" ht="16.5" x14ac:dyDescent="0.2">
      <c r="A125" s="252" t="s">
        <v>233</v>
      </c>
      <c r="B125" s="244">
        <v>3080666281</v>
      </c>
      <c r="C125" s="244">
        <v>4292721914</v>
      </c>
      <c r="D125" s="244">
        <v>232047263</v>
      </c>
      <c r="E125" s="244">
        <v>1286455282</v>
      </c>
      <c r="F125" s="244">
        <v>324324123</v>
      </c>
      <c r="G125" s="244">
        <v>106324123</v>
      </c>
    </row>
    <row r="126" spans="1:7" x14ac:dyDescent="0.2">
      <c r="A126" s="243" t="s">
        <v>402</v>
      </c>
      <c r="B126" s="244">
        <v>3952858602</v>
      </c>
      <c r="C126" s="244">
        <v>7675849245</v>
      </c>
      <c r="D126" s="244">
        <v>912918765</v>
      </c>
      <c r="E126" s="244">
        <v>3797835218</v>
      </c>
      <c r="F126" s="244">
        <v>562386206</v>
      </c>
      <c r="G126" s="244">
        <v>22063909</v>
      </c>
    </row>
    <row r="127" spans="1:7" x14ac:dyDescent="0.2">
      <c r="A127" s="243" t="s">
        <v>403</v>
      </c>
      <c r="B127" s="244">
        <v>16985456767</v>
      </c>
      <c r="C127" s="244">
        <v>32316363079</v>
      </c>
      <c r="D127" s="244">
        <v>8223868947</v>
      </c>
      <c r="E127" s="244">
        <v>18542157464</v>
      </c>
      <c r="F127" s="244">
        <v>3762826226</v>
      </c>
      <c r="G127" s="244">
        <v>359375410</v>
      </c>
    </row>
    <row r="128" spans="1:7" x14ac:dyDescent="0.2">
      <c r="A128" s="243" t="s">
        <v>404</v>
      </c>
      <c r="B128" s="244">
        <v>647467180</v>
      </c>
      <c r="C128" s="244">
        <v>848817180</v>
      </c>
      <c r="D128" s="244">
        <v>10726140</v>
      </c>
      <c r="E128" s="244">
        <v>198716220</v>
      </c>
      <c r="F128" s="244">
        <v>90986620</v>
      </c>
      <c r="G128" s="244">
        <v>452300</v>
      </c>
    </row>
    <row r="129" spans="1:7" ht="16.5" x14ac:dyDescent="0.2">
      <c r="A129" s="251" t="s">
        <v>405</v>
      </c>
      <c r="B129" s="244">
        <v>876531472</v>
      </c>
      <c r="C129" s="244">
        <v>1107131472</v>
      </c>
      <c r="D129" s="244">
        <v>45788124</v>
      </c>
      <c r="E129" s="244">
        <v>193015345</v>
      </c>
      <c r="F129" s="244">
        <v>220601905</v>
      </c>
      <c r="G129" s="244">
        <v>1492503</v>
      </c>
    </row>
    <row r="130" spans="1:7" ht="16.5" x14ac:dyDescent="0.2">
      <c r="A130" s="252" t="s">
        <v>220</v>
      </c>
      <c r="B130" s="244">
        <v>1833401563</v>
      </c>
      <c r="C130" s="244">
        <v>2087569896</v>
      </c>
      <c r="D130" s="244">
        <v>101513196</v>
      </c>
      <c r="E130" s="244">
        <v>252654155</v>
      </c>
      <c r="F130" s="244">
        <v>61774549</v>
      </c>
      <c r="G130" s="244">
        <v>1860264</v>
      </c>
    </row>
    <row r="131" spans="1:7" ht="16.5" x14ac:dyDescent="0.2">
      <c r="A131" s="251" t="s">
        <v>196</v>
      </c>
      <c r="B131" s="244">
        <v>880407661</v>
      </c>
      <c r="C131" s="244">
        <v>1357390417</v>
      </c>
      <c r="D131" s="244">
        <v>11750051</v>
      </c>
      <c r="E131" s="244">
        <v>560219531</v>
      </c>
      <c r="F131" s="244">
        <v>101808434</v>
      </c>
      <c r="G131" s="244">
        <v>21880000</v>
      </c>
    </row>
    <row r="132" spans="1:7" ht="16.5" x14ac:dyDescent="0.2">
      <c r="A132" s="252" t="s">
        <v>406</v>
      </c>
      <c r="B132" s="244">
        <v>931563295</v>
      </c>
      <c r="C132" s="244">
        <v>2383013295</v>
      </c>
      <c r="D132" s="244">
        <v>88684110</v>
      </c>
      <c r="E132" s="244">
        <v>445607171</v>
      </c>
      <c r="F132" s="244">
        <v>240797247</v>
      </c>
      <c r="G132" s="244">
        <v>15747492</v>
      </c>
    </row>
    <row r="133" spans="1:7" ht="33" x14ac:dyDescent="0.2">
      <c r="A133" s="251" t="s">
        <v>407</v>
      </c>
      <c r="B133" s="244">
        <v>1193988376</v>
      </c>
      <c r="C133" s="244">
        <v>1926024172</v>
      </c>
      <c r="D133" s="244">
        <v>193163989</v>
      </c>
      <c r="E133" s="244">
        <v>919574434</v>
      </c>
      <c r="F133" s="244">
        <v>349529530</v>
      </c>
      <c r="G133" s="244">
        <v>52700996</v>
      </c>
    </row>
    <row r="134" spans="1:7" ht="16.5" x14ac:dyDescent="0.2">
      <c r="A134" s="252" t="s">
        <v>408</v>
      </c>
      <c r="B134" s="244">
        <v>494576582</v>
      </c>
      <c r="C134" s="244">
        <v>770565979</v>
      </c>
      <c r="D134" s="244">
        <v>56772362</v>
      </c>
      <c r="E134" s="244">
        <v>213798643</v>
      </c>
      <c r="F134" s="244">
        <v>135143637</v>
      </c>
      <c r="G134" s="244">
        <v>821409</v>
      </c>
    </row>
    <row r="135" spans="1:7" ht="16.5" x14ac:dyDescent="0.2">
      <c r="A135" s="251" t="s">
        <v>409</v>
      </c>
      <c r="B135" s="249">
        <v>604310000</v>
      </c>
      <c r="C135" s="249">
        <v>1012305000</v>
      </c>
      <c r="D135" s="249">
        <v>14500000</v>
      </c>
      <c r="E135" s="249">
        <v>15480000</v>
      </c>
      <c r="F135" s="249">
        <v>97398700</v>
      </c>
      <c r="G135" s="249">
        <v>1</v>
      </c>
    </row>
    <row r="136" spans="1:7" ht="16.5" x14ac:dyDescent="0.2">
      <c r="A136" s="252" t="s">
        <v>410</v>
      </c>
      <c r="B136" s="244">
        <v>1779986928</v>
      </c>
      <c r="C136" s="244">
        <v>2230779608</v>
      </c>
      <c r="D136" s="244">
        <v>24948322</v>
      </c>
      <c r="E136" s="244">
        <v>433515782</v>
      </c>
      <c r="F136" s="244">
        <v>648103471</v>
      </c>
      <c r="G136" s="244">
        <v>4440000</v>
      </c>
    </row>
    <row r="137" spans="1:7" x14ac:dyDescent="0.2">
      <c r="A137" s="243" t="s">
        <v>411</v>
      </c>
      <c r="B137" s="244">
        <v>6341516441</v>
      </c>
      <c r="C137" s="244">
        <v>14195480125</v>
      </c>
      <c r="D137" s="244">
        <v>517900841</v>
      </c>
      <c r="E137" s="244">
        <v>2943332841</v>
      </c>
      <c r="F137" s="244">
        <v>704350511</v>
      </c>
      <c r="G137" s="244">
        <v>1</v>
      </c>
    </row>
    <row r="138" spans="1:7" x14ac:dyDescent="0.2">
      <c r="A138" s="245" t="s">
        <v>412</v>
      </c>
      <c r="B138" s="244">
        <v>652871095</v>
      </c>
      <c r="C138" s="244">
        <v>1783343477</v>
      </c>
      <c r="D138" s="244">
        <v>13561223</v>
      </c>
      <c r="E138" s="244">
        <v>167256951</v>
      </c>
      <c r="F138" s="244">
        <v>80260584</v>
      </c>
      <c r="G138" s="244">
        <v>1</v>
      </c>
    </row>
    <row r="139" spans="1:7" ht="16.5" x14ac:dyDescent="0.2">
      <c r="A139" s="251" t="s">
        <v>413</v>
      </c>
      <c r="B139" s="244">
        <v>263168432</v>
      </c>
      <c r="C139" s="244">
        <v>1046168432</v>
      </c>
      <c r="D139" s="244">
        <v>3070000</v>
      </c>
      <c r="E139" s="244">
        <v>61124000</v>
      </c>
      <c r="F139" s="244">
        <v>104919541</v>
      </c>
      <c r="G139" s="244">
        <v>4825000</v>
      </c>
    </row>
    <row r="140" spans="1:7" x14ac:dyDescent="0.2">
      <c r="A140" s="243" t="s">
        <v>414</v>
      </c>
      <c r="B140" s="244">
        <v>769427000</v>
      </c>
      <c r="C140" s="244">
        <v>886926000</v>
      </c>
      <c r="D140" s="244">
        <v>9618000</v>
      </c>
      <c r="E140" s="244">
        <v>64748000</v>
      </c>
      <c r="F140" s="244">
        <v>39645000</v>
      </c>
      <c r="G140" s="244">
        <v>1</v>
      </c>
    </row>
    <row r="141" spans="1:7" ht="33" x14ac:dyDescent="0.2">
      <c r="A141" s="251" t="s">
        <v>415</v>
      </c>
      <c r="B141" s="244">
        <v>567599515</v>
      </c>
      <c r="C141" s="244">
        <v>884699141</v>
      </c>
      <c r="D141" s="244">
        <v>84531103</v>
      </c>
      <c r="E141" s="244">
        <f>+D141</f>
        <v>84531103</v>
      </c>
      <c r="F141" s="244">
        <v>8295329</v>
      </c>
      <c r="G141" s="244">
        <v>1878229</v>
      </c>
    </row>
    <row r="142" spans="1:7" ht="16.5" x14ac:dyDescent="0.2">
      <c r="A142" s="252" t="s">
        <v>416</v>
      </c>
      <c r="B142" s="244">
        <v>1353789805</v>
      </c>
      <c r="C142" s="244">
        <v>2046220031</v>
      </c>
      <c r="D142" s="244">
        <v>332938789</v>
      </c>
      <c r="E142" s="244">
        <v>406871319</v>
      </c>
      <c r="F142" s="244">
        <v>152388017</v>
      </c>
      <c r="G142" s="244">
        <v>94447446</v>
      </c>
    </row>
    <row r="143" spans="1:7" x14ac:dyDescent="0.2">
      <c r="A143" s="245" t="s">
        <v>417</v>
      </c>
      <c r="B143" s="244">
        <v>3015413736</v>
      </c>
      <c r="C143" s="244">
        <v>3664734551</v>
      </c>
      <c r="D143" s="244">
        <v>188862171</v>
      </c>
      <c r="E143" s="244">
        <v>1325138636</v>
      </c>
      <c r="F143" s="244">
        <v>409540539</v>
      </c>
      <c r="G143" s="244">
        <v>289000</v>
      </c>
    </row>
    <row r="144" spans="1:7" ht="16.5" x14ac:dyDescent="0.2">
      <c r="A144" s="251" t="s">
        <v>418</v>
      </c>
      <c r="B144" s="244">
        <v>162560000</v>
      </c>
      <c r="C144" s="244">
        <v>206871908</v>
      </c>
      <c r="D144" s="244">
        <v>2239860</v>
      </c>
      <c r="E144" s="244">
        <v>57068473</v>
      </c>
      <c r="F144" s="244">
        <v>51693888</v>
      </c>
      <c r="G144" s="244">
        <v>1568441</v>
      </c>
    </row>
    <row r="145" spans="1:7" ht="16.5" x14ac:dyDescent="0.2">
      <c r="A145" s="252" t="s">
        <v>419</v>
      </c>
      <c r="B145" s="244">
        <v>581639838</v>
      </c>
      <c r="C145" s="244">
        <v>714539838</v>
      </c>
      <c r="D145" s="244">
        <v>54381000</v>
      </c>
      <c r="E145" s="244">
        <v>169381000</v>
      </c>
      <c r="F145" s="244">
        <v>93484800</v>
      </c>
      <c r="G145" s="244">
        <v>1</v>
      </c>
    </row>
    <row r="146" spans="1:7" ht="16.5" x14ac:dyDescent="0.2">
      <c r="A146" s="252" t="s">
        <v>420</v>
      </c>
      <c r="B146" s="244">
        <v>511082812</v>
      </c>
      <c r="C146" s="244">
        <v>689129321</v>
      </c>
      <c r="D146" s="244">
        <v>1674441</v>
      </c>
      <c r="E146" s="244">
        <v>5234441</v>
      </c>
      <c r="F146" s="244">
        <v>32275881</v>
      </c>
      <c r="G146" s="244">
        <v>3128441</v>
      </c>
    </row>
    <row r="147" spans="1:7" ht="16.5" x14ac:dyDescent="0.2">
      <c r="A147" s="251" t="s">
        <v>421</v>
      </c>
      <c r="B147" s="244">
        <v>510168491</v>
      </c>
      <c r="C147" s="244">
        <v>912521926</v>
      </c>
      <c r="D147" s="244">
        <v>7099437</v>
      </c>
      <c r="E147" s="244">
        <v>125725190</v>
      </c>
      <c r="F147" s="244">
        <v>71857434</v>
      </c>
      <c r="G147" s="244">
        <v>3286337</v>
      </c>
    </row>
    <row r="148" spans="1:7" ht="16.5" x14ac:dyDescent="0.2">
      <c r="A148" s="252" t="s">
        <v>422</v>
      </c>
      <c r="B148" s="244">
        <v>138091562</v>
      </c>
      <c r="C148" s="244">
        <v>447191562</v>
      </c>
      <c r="D148" s="244">
        <v>7387544</v>
      </c>
      <c r="E148" s="244">
        <v>171475501</v>
      </c>
      <c r="F148" s="244">
        <v>19138017</v>
      </c>
      <c r="G148" s="244">
        <v>4840642</v>
      </c>
    </row>
    <row r="149" spans="1:7" ht="16.5" x14ac:dyDescent="0.2">
      <c r="A149" s="251" t="s">
        <v>423</v>
      </c>
      <c r="B149" s="244">
        <v>1430718942</v>
      </c>
      <c r="C149" s="244">
        <v>1522635799</v>
      </c>
      <c r="D149" s="244">
        <v>93059803</v>
      </c>
      <c r="E149" s="244">
        <v>431945877</v>
      </c>
      <c r="F149" s="244">
        <v>76320160</v>
      </c>
      <c r="G149" s="244">
        <v>93850</v>
      </c>
    </row>
    <row r="150" spans="1:7" ht="33" x14ac:dyDescent="0.2">
      <c r="A150" s="252" t="s">
        <v>424</v>
      </c>
      <c r="B150" s="244">
        <v>668817419</v>
      </c>
      <c r="C150" s="244">
        <v>1922426848</v>
      </c>
      <c r="D150" s="244">
        <v>118646415</v>
      </c>
      <c r="E150" s="244">
        <v>717953923</v>
      </c>
      <c r="F150" s="244">
        <v>120967202</v>
      </c>
      <c r="G150" s="244">
        <v>2684003</v>
      </c>
    </row>
    <row r="151" spans="1:7" s="257" customFormat="1" ht="16.5" x14ac:dyDescent="0.2">
      <c r="A151" s="251" t="s">
        <v>195</v>
      </c>
      <c r="B151" s="256">
        <v>1256345000</v>
      </c>
      <c r="C151" s="256">
        <v>1286345000</v>
      </c>
      <c r="D151" s="256">
        <v>1040000</v>
      </c>
      <c r="E151" s="256">
        <v>19440000</v>
      </c>
      <c r="F151" s="256">
        <v>227550000</v>
      </c>
      <c r="G151" s="256">
        <v>24500000</v>
      </c>
    </row>
    <row r="152" spans="1:7" s="257" customFormat="1" ht="16.5" x14ac:dyDescent="0.2">
      <c r="A152" s="252" t="s">
        <v>425</v>
      </c>
      <c r="B152" s="256">
        <v>769427000</v>
      </c>
      <c r="C152" s="256">
        <v>886926000</v>
      </c>
      <c r="D152" s="256">
        <v>9618000</v>
      </c>
      <c r="E152" s="256">
        <v>64748000</v>
      </c>
      <c r="F152" s="256">
        <v>39645000</v>
      </c>
      <c r="G152" s="256">
        <v>1</v>
      </c>
    </row>
    <row r="153" spans="1:7" s="257" customFormat="1" ht="16.5" x14ac:dyDescent="0.2">
      <c r="A153" s="252" t="s">
        <v>332</v>
      </c>
      <c r="B153" s="256">
        <v>1845145000</v>
      </c>
      <c r="C153" s="256">
        <v>3561853000</v>
      </c>
      <c r="D153" s="256">
        <v>943487000</v>
      </c>
      <c r="E153" s="256">
        <v>1337114000</v>
      </c>
      <c r="F153" s="256">
        <v>372401000</v>
      </c>
      <c r="G153" s="256">
        <v>63793121</v>
      </c>
    </row>
    <row r="154" spans="1:7" s="257" customFormat="1" ht="16.5" x14ac:dyDescent="0.2">
      <c r="A154" s="252" t="s">
        <v>426</v>
      </c>
      <c r="B154" s="256">
        <v>5482900540</v>
      </c>
      <c r="C154" s="256">
        <v>6074425978</v>
      </c>
      <c r="D154" s="256">
        <v>1822584051</v>
      </c>
      <c r="E154" s="256">
        <v>4135460909</v>
      </c>
      <c r="F154" s="256">
        <v>245201081</v>
      </c>
      <c r="G154" s="256">
        <v>489962</v>
      </c>
    </row>
    <row r="155" spans="1:7" s="257" customFormat="1" ht="16.5" x14ac:dyDescent="0.2">
      <c r="A155" s="251" t="s">
        <v>427</v>
      </c>
      <c r="B155" s="256">
        <v>497952033</v>
      </c>
      <c r="C155" s="256">
        <v>797708849</v>
      </c>
      <c r="D155" s="256">
        <v>90311735</v>
      </c>
      <c r="E155" s="256">
        <f>+D155</f>
        <v>90311735</v>
      </c>
      <c r="F155" s="256">
        <v>216256295</v>
      </c>
      <c r="G155" s="256">
        <v>1</v>
      </c>
    </row>
    <row r="156" spans="1:7" s="257" customFormat="1" ht="16.5" x14ac:dyDescent="0.2">
      <c r="A156" s="252" t="s">
        <v>428</v>
      </c>
      <c r="B156" s="256">
        <v>1086991116</v>
      </c>
      <c r="C156" s="256">
        <v>1970347216</v>
      </c>
      <c r="D156" s="256">
        <v>15914516</v>
      </c>
      <c r="E156" s="256">
        <v>753123841</v>
      </c>
      <c r="F156" s="256">
        <v>263979304</v>
      </c>
      <c r="G156" s="256">
        <v>1</v>
      </c>
    </row>
    <row r="157" spans="1:7" s="257" customFormat="1" ht="16.5" x14ac:dyDescent="0.2">
      <c r="A157" s="252" t="s">
        <v>429</v>
      </c>
      <c r="B157" s="256">
        <v>669347660</v>
      </c>
      <c r="C157" s="256">
        <v>992651660</v>
      </c>
      <c r="D157" s="256">
        <v>22356230</v>
      </c>
      <c r="E157" s="256">
        <f>+D157</f>
        <v>22356230</v>
      </c>
      <c r="F157" s="256">
        <v>85551165</v>
      </c>
      <c r="G157" s="256">
        <v>2956230</v>
      </c>
    </row>
    <row r="158" spans="1:7" s="257" customFormat="1" ht="16.5" x14ac:dyDescent="0.2">
      <c r="A158" s="251" t="s">
        <v>430</v>
      </c>
      <c r="B158" s="256">
        <v>1633335205</v>
      </c>
      <c r="C158" s="256">
        <v>2113439726</v>
      </c>
      <c r="D158" s="258">
        <v>461654566</v>
      </c>
      <c r="E158" s="256">
        <v>1090475400</v>
      </c>
      <c r="F158" s="256">
        <v>200976738</v>
      </c>
      <c r="G158" s="256">
        <v>41981971</v>
      </c>
    </row>
    <row r="159" spans="1:7" s="257" customFormat="1" ht="16.5" x14ac:dyDescent="0.2">
      <c r="A159" s="252" t="s">
        <v>431</v>
      </c>
      <c r="B159" s="256">
        <v>1240604124</v>
      </c>
      <c r="C159" s="256">
        <v>1301747030</v>
      </c>
      <c r="D159" s="256">
        <v>238335357</v>
      </c>
      <c r="E159" s="256">
        <v>778953038</v>
      </c>
      <c r="F159" s="256">
        <v>91799779</v>
      </c>
      <c r="G159" s="256">
        <v>4500314</v>
      </c>
    </row>
    <row r="160" spans="1:7" s="257" customFormat="1" ht="16.5" x14ac:dyDescent="0.2">
      <c r="A160" s="252" t="s">
        <v>432</v>
      </c>
      <c r="B160" s="256">
        <v>2112674389</v>
      </c>
      <c r="C160" s="256">
        <v>2707722953</v>
      </c>
      <c r="D160" s="256">
        <v>112200742</v>
      </c>
      <c r="E160" s="256">
        <v>788200742</v>
      </c>
      <c r="F160" s="256">
        <v>486020324</v>
      </c>
      <c r="G160" s="256">
        <v>37796000</v>
      </c>
    </row>
    <row r="161" spans="1:7" s="257" customFormat="1" ht="16.5" x14ac:dyDescent="0.2">
      <c r="A161" s="251" t="s">
        <v>219</v>
      </c>
      <c r="B161" s="256">
        <v>237332452</v>
      </c>
      <c r="C161" s="256">
        <v>259265369</v>
      </c>
      <c r="D161" s="256">
        <v>28803030</v>
      </c>
      <c r="E161" s="256">
        <v>44850776</v>
      </c>
      <c r="F161" s="256">
        <v>178724666</v>
      </c>
      <c r="G161" s="256">
        <v>105200</v>
      </c>
    </row>
    <row r="162" spans="1:7" s="257" customFormat="1" ht="16.5" x14ac:dyDescent="0.2">
      <c r="A162" s="252" t="s">
        <v>433</v>
      </c>
      <c r="B162" s="256">
        <v>443809926</v>
      </c>
      <c r="C162" s="256">
        <v>598001856</v>
      </c>
      <c r="D162" s="256">
        <v>15343909</v>
      </c>
      <c r="E162" s="256">
        <v>335634952</v>
      </c>
      <c r="F162" s="256">
        <v>37597811</v>
      </c>
      <c r="G162" s="256">
        <v>1524332</v>
      </c>
    </row>
    <row r="163" spans="1:7" s="257" customFormat="1" ht="16.5" x14ac:dyDescent="0.2">
      <c r="A163" s="252" t="s">
        <v>434</v>
      </c>
      <c r="B163" s="256">
        <v>752781993</v>
      </c>
      <c r="C163" s="256">
        <v>853293044</v>
      </c>
      <c r="D163" s="256">
        <v>191708805</v>
      </c>
      <c r="E163" s="256">
        <v>241515134</v>
      </c>
      <c r="F163" s="256">
        <v>125946923</v>
      </c>
      <c r="G163" s="256">
        <v>447750</v>
      </c>
    </row>
    <row r="164" spans="1:7" s="257" customFormat="1" ht="16.5" x14ac:dyDescent="0.2">
      <c r="A164" s="252" t="s">
        <v>207</v>
      </c>
      <c r="B164" s="256">
        <v>641837420</v>
      </c>
      <c r="C164" s="256">
        <v>1235852300</v>
      </c>
      <c r="D164" s="256">
        <v>5000000</v>
      </c>
      <c r="E164" s="256">
        <v>210000000</v>
      </c>
      <c r="F164" s="256">
        <v>154920150</v>
      </c>
      <c r="G164" s="256">
        <v>9819850</v>
      </c>
    </row>
    <row r="165" spans="1:7" s="257" customFormat="1" ht="16.5" x14ac:dyDescent="0.2">
      <c r="A165" s="252" t="s">
        <v>435</v>
      </c>
      <c r="B165" s="256">
        <v>3578767991</v>
      </c>
      <c r="C165" s="256">
        <v>10078678227</v>
      </c>
      <c r="D165" s="256">
        <v>1302920031</v>
      </c>
      <c r="E165" s="256">
        <v>4077052468</v>
      </c>
      <c r="F165" s="256">
        <v>835211120</v>
      </c>
      <c r="G165" s="256">
        <v>120045806</v>
      </c>
    </row>
    <row r="166" spans="1:7" s="257" customFormat="1" ht="16.5" x14ac:dyDescent="0.2">
      <c r="A166" s="251" t="s">
        <v>436</v>
      </c>
      <c r="B166" s="256">
        <v>8309489799</v>
      </c>
      <c r="C166" s="256">
        <v>13878619351</v>
      </c>
      <c r="D166" s="256">
        <v>705702360</v>
      </c>
      <c r="E166" s="256">
        <v>2938029149</v>
      </c>
      <c r="F166" s="256">
        <v>802521570</v>
      </c>
      <c r="G166" s="256">
        <v>13892033</v>
      </c>
    </row>
    <row r="167" spans="1:7" s="257" customFormat="1" ht="16.5" x14ac:dyDescent="0.2">
      <c r="A167" s="252" t="s">
        <v>437</v>
      </c>
      <c r="B167" s="256">
        <v>2696550498</v>
      </c>
      <c r="C167" s="256">
        <v>7685484985</v>
      </c>
      <c r="D167" s="256">
        <v>213831489</v>
      </c>
      <c r="E167" s="256">
        <v>1455121698</v>
      </c>
      <c r="F167" s="256">
        <v>418473105</v>
      </c>
      <c r="G167" s="256">
        <v>6941667</v>
      </c>
    </row>
    <row r="168" spans="1:7" s="257" customFormat="1" ht="16.5" x14ac:dyDescent="0.2">
      <c r="A168" s="259" t="s">
        <v>438</v>
      </c>
      <c r="B168" s="256">
        <v>3474270784</v>
      </c>
      <c r="C168" s="256">
        <v>4755756587</v>
      </c>
      <c r="D168" s="256">
        <v>252067318</v>
      </c>
      <c r="E168" s="256">
        <f>+D168</f>
        <v>252067318</v>
      </c>
      <c r="F168" s="256">
        <v>510088278</v>
      </c>
      <c r="G168" s="256">
        <v>24953000</v>
      </c>
    </row>
    <row r="169" spans="1:7" s="257" customFormat="1" ht="16.5" x14ac:dyDescent="0.2">
      <c r="A169" s="259" t="s">
        <v>193</v>
      </c>
      <c r="B169" s="256">
        <v>569811745</v>
      </c>
      <c r="C169" s="256">
        <v>759473309</v>
      </c>
      <c r="D169" s="256">
        <v>127132499</v>
      </c>
      <c r="E169" s="256">
        <v>249665397</v>
      </c>
      <c r="F169" s="256">
        <v>29946563</v>
      </c>
      <c r="G169" s="256">
        <v>2125465</v>
      </c>
    </row>
    <row r="170" spans="1:7" s="257" customFormat="1" ht="16.5" x14ac:dyDescent="0.2">
      <c r="A170" s="260" t="s">
        <v>439</v>
      </c>
      <c r="B170" s="256">
        <v>517769800</v>
      </c>
      <c r="C170" s="256">
        <v>629269800</v>
      </c>
      <c r="D170" s="256">
        <v>26406000</v>
      </c>
      <c r="E170" s="256">
        <v>268384972</v>
      </c>
      <c r="F170" s="256">
        <v>36885520</v>
      </c>
      <c r="G170" s="256">
        <v>1</v>
      </c>
    </row>
    <row r="171" spans="1:7" s="263" customFormat="1" ht="16.5" x14ac:dyDescent="0.2">
      <c r="A171" s="261"/>
      <c r="B171" s="262"/>
      <c r="C171" s="262"/>
      <c r="D171" s="262"/>
      <c r="E171" s="262"/>
      <c r="F171" s="262"/>
      <c r="G171" s="262"/>
    </row>
    <row r="172" spans="1:7" s="257" customFormat="1" ht="16.5" x14ac:dyDescent="0.2">
      <c r="A172" s="260" t="s">
        <v>440</v>
      </c>
      <c r="B172" s="256">
        <v>9279518156</v>
      </c>
      <c r="C172" s="256">
        <v>24212966306</v>
      </c>
      <c r="D172" s="258">
        <v>71387183</v>
      </c>
      <c r="E172" s="256">
        <v>11709244133</v>
      </c>
      <c r="F172" s="256">
        <v>1552244741</v>
      </c>
      <c r="G172" s="256">
        <v>488656866</v>
      </c>
    </row>
    <row r="173" spans="1:7" s="257" customFormat="1" ht="16.5" x14ac:dyDescent="0.2">
      <c r="A173" s="252" t="s">
        <v>441</v>
      </c>
      <c r="B173" s="256">
        <v>4866170305</v>
      </c>
      <c r="C173" s="256">
        <v>11101052398</v>
      </c>
      <c r="D173" s="258">
        <v>9474233</v>
      </c>
      <c r="E173" s="258">
        <v>4165099306</v>
      </c>
      <c r="F173" s="256">
        <v>773463002</v>
      </c>
      <c r="G173" s="256">
        <v>134528176</v>
      </c>
    </row>
    <row r="174" spans="1:7" s="257" customFormat="1" ht="16.5" x14ac:dyDescent="0.2">
      <c r="A174" s="252" t="s">
        <v>442</v>
      </c>
      <c r="B174" s="256">
        <v>7014976071</v>
      </c>
      <c r="C174" s="256">
        <v>15634999702</v>
      </c>
      <c r="D174" s="256">
        <v>107184555</v>
      </c>
      <c r="E174" s="258">
        <v>7154067802</v>
      </c>
      <c r="F174" s="256">
        <v>973027816</v>
      </c>
      <c r="G174" s="256">
        <v>103710036</v>
      </c>
    </row>
    <row r="175" spans="1:7" s="257" customFormat="1" ht="16.5" x14ac:dyDescent="0.2">
      <c r="A175" s="252" t="s">
        <v>443</v>
      </c>
      <c r="B175" s="256">
        <v>1071199612</v>
      </c>
      <c r="C175" s="256">
        <v>3037406022</v>
      </c>
      <c r="D175" s="256">
        <v>12984678</v>
      </c>
      <c r="E175" s="258">
        <v>1422432551</v>
      </c>
      <c r="F175" s="258">
        <v>432868077</v>
      </c>
      <c r="G175" s="256">
        <v>0</v>
      </c>
    </row>
    <row r="176" spans="1:7" s="257" customFormat="1" ht="16.5" x14ac:dyDescent="0.2">
      <c r="A176" s="252" t="s">
        <v>184</v>
      </c>
      <c r="B176" s="256">
        <v>58087622756</v>
      </c>
      <c r="C176" s="256">
        <v>143775162989</v>
      </c>
      <c r="D176" s="256">
        <v>26390189764</v>
      </c>
      <c r="E176" s="258">
        <v>62429857315</v>
      </c>
      <c r="F176" s="258">
        <v>11038857989</v>
      </c>
      <c r="G176" s="256">
        <v>2397847799</v>
      </c>
    </row>
    <row r="177" spans="1:7" s="257" customFormat="1" ht="16.5" x14ac:dyDescent="0.2">
      <c r="A177" s="252" t="s">
        <v>217</v>
      </c>
      <c r="B177" s="256">
        <v>452772797630</v>
      </c>
      <c r="C177" s="256">
        <v>702098884398</v>
      </c>
      <c r="D177" s="256">
        <v>230526532527</v>
      </c>
      <c r="E177" s="256">
        <v>398861475050</v>
      </c>
      <c r="F177" s="258">
        <v>35964860038</v>
      </c>
      <c r="G177" s="256">
        <v>18291140884</v>
      </c>
    </row>
    <row r="178" spans="1:7" s="257" customFormat="1" ht="16.5" x14ac:dyDescent="0.2">
      <c r="A178" s="260" t="s">
        <v>444</v>
      </c>
      <c r="B178" s="256">
        <v>42134100953</v>
      </c>
      <c r="C178" s="256">
        <v>46527674260</v>
      </c>
      <c r="D178" s="256">
        <v>5266671532</v>
      </c>
      <c r="E178" s="256">
        <v>9447315104</v>
      </c>
      <c r="F178" s="258">
        <v>974772437</v>
      </c>
      <c r="G178" s="256">
        <v>365165053</v>
      </c>
    </row>
    <row r="179" spans="1:7" s="257" customFormat="1" ht="16.5" x14ac:dyDescent="0.2">
      <c r="A179" s="252" t="s">
        <v>445</v>
      </c>
      <c r="B179" s="256">
        <v>78046556747</v>
      </c>
      <c r="C179" s="256">
        <v>86272070879</v>
      </c>
      <c r="D179" s="256">
        <v>16180875214</v>
      </c>
      <c r="E179" s="256">
        <v>57040251034</v>
      </c>
      <c r="F179" s="256">
        <v>7163158204</v>
      </c>
      <c r="G179" s="256">
        <v>3940421395</v>
      </c>
    </row>
    <row r="180" spans="1:7" s="257" customFormat="1" ht="33" x14ac:dyDescent="0.2">
      <c r="A180" s="260" t="s">
        <v>446</v>
      </c>
      <c r="B180" s="256">
        <v>27351625000</v>
      </c>
      <c r="C180" s="256">
        <v>38625146000</v>
      </c>
      <c r="D180" s="256">
        <v>11408766000</v>
      </c>
      <c r="E180" s="256">
        <v>20493766000</v>
      </c>
      <c r="F180" s="256">
        <v>5211201000</v>
      </c>
      <c r="G180" s="256">
        <v>829966803</v>
      </c>
    </row>
    <row r="181" spans="1:7" s="257" customFormat="1" ht="16.5" x14ac:dyDescent="0.2">
      <c r="A181" s="252" t="s">
        <v>447</v>
      </c>
      <c r="B181" s="256">
        <v>1543789275</v>
      </c>
      <c r="C181" s="256">
        <v>5558734303</v>
      </c>
      <c r="D181" s="256">
        <v>902623373</v>
      </c>
      <c r="E181" s="256">
        <v>3304950585</v>
      </c>
      <c r="F181" s="256">
        <v>1203342284</v>
      </c>
      <c r="G181" s="256">
        <v>122803194</v>
      </c>
    </row>
    <row r="182" spans="1:7" s="257" customFormat="1" ht="16.5" x14ac:dyDescent="0.2">
      <c r="A182" s="252" t="s">
        <v>448</v>
      </c>
      <c r="B182" s="256"/>
      <c r="C182" s="256"/>
      <c r="D182" s="256"/>
      <c r="E182" s="256"/>
      <c r="F182" s="256"/>
      <c r="G182" s="256"/>
    </row>
    <row r="183" spans="1:7" s="257" customFormat="1" ht="33" x14ac:dyDescent="0.2">
      <c r="A183" s="252" t="s">
        <v>449</v>
      </c>
      <c r="B183" s="256">
        <v>13816411000</v>
      </c>
      <c r="C183" s="256">
        <v>27637698000</v>
      </c>
      <c r="D183" s="256">
        <v>4798774000</v>
      </c>
      <c r="E183" s="256">
        <v>15029237000</v>
      </c>
      <c r="F183" s="256">
        <v>4513796000</v>
      </c>
      <c r="G183" s="256">
        <v>560375000</v>
      </c>
    </row>
    <row r="184" spans="1:7" s="257" customFormat="1" ht="16.5" x14ac:dyDescent="0.2">
      <c r="A184" s="260" t="s">
        <v>450</v>
      </c>
      <c r="B184" s="256">
        <v>6957597632</v>
      </c>
      <c r="C184" s="256">
        <v>9330038756</v>
      </c>
      <c r="D184" s="256">
        <v>1897821176</v>
      </c>
      <c r="E184" s="256">
        <v>2474254905</v>
      </c>
      <c r="F184" s="256">
        <v>1743364744</v>
      </c>
      <c r="G184" s="256">
        <v>69730549</v>
      </c>
    </row>
    <row r="185" spans="1:7" s="257" customFormat="1" ht="16.5" x14ac:dyDescent="0.2">
      <c r="A185" s="252" t="s">
        <v>451</v>
      </c>
      <c r="B185" s="256">
        <v>5442739558</v>
      </c>
      <c r="C185" s="256">
        <v>9383744180</v>
      </c>
      <c r="D185" s="256">
        <v>88250620</v>
      </c>
      <c r="E185" s="256">
        <v>2203250620</v>
      </c>
      <c r="F185" s="256">
        <v>594413792</v>
      </c>
      <c r="G185" s="256">
        <v>17690605</v>
      </c>
    </row>
    <row r="186" spans="1:7" s="257" customFormat="1" ht="16.5" x14ac:dyDescent="0.2">
      <c r="A186" s="252" t="s">
        <v>452</v>
      </c>
      <c r="B186" s="256">
        <v>6381766836</v>
      </c>
      <c r="C186" s="256">
        <v>9012753000</v>
      </c>
      <c r="D186" s="256">
        <v>542417062</v>
      </c>
      <c r="E186" s="256">
        <v>4201904904</v>
      </c>
      <c r="F186" s="256">
        <v>423144797</v>
      </c>
      <c r="G186" s="256">
        <v>46541606</v>
      </c>
    </row>
    <row r="187" spans="1:7" s="257" customFormat="1" ht="33" x14ac:dyDescent="0.2">
      <c r="A187" s="260" t="s">
        <v>453</v>
      </c>
      <c r="B187" s="256">
        <v>6915953796</v>
      </c>
      <c r="C187" s="256">
        <v>11134370173</v>
      </c>
      <c r="D187" s="256">
        <v>985013478</v>
      </c>
      <c r="E187" s="256">
        <v>4046055334</v>
      </c>
      <c r="F187" s="256">
        <v>1637245137</v>
      </c>
      <c r="G187" s="256">
        <v>32666456</v>
      </c>
    </row>
    <row r="188" spans="1:7" s="257" customFormat="1" ht="16.5" x14ac:dyDescent="0.2">
      <c r="A188" s="252" t="s">
        <v>454</v>
      </c>
      <c r="B188" s="256">
        <v>10387886344</v>
      </c>
      <c r="C188" s="256">
        <v>43832432329</v>
      </c>
      <c r="D188" s="256">
        <v>372286426</v>
      </c>
      <c r="E188" s="256">
        <v>10407151567</v>
      </c>
      <c r="F188" s="256">
        <v>70204738</v>
      </c>
      <c r="G188" s="256">
        <v>933303</v>
      </c>
    </row>
    <row r="189" spans="1:7" s="257" customFormat="1" ht="16.5" x14ac:dyDescent="0.2">
      <c r="A189" s="260" t="s">
        <v>455</v>
      </c>
      <c r="B189" s="256">
        <v>29925850667</v>
      </c>
      <c r="C189" s="256">
        <v>66093954385</v>
      </c>
      <c r="D189" s="256">
        <v>9894731299</v>
      </c>
      <c r="E189" s="256">
        <v>26066364396</v>
      </c>
      <c r="F189" s="256">
        <v>3895632558</v>
      </c>
      <c r="G189" s="256">
        <v>1872597202</v>
      </c>
    </row>
    <row r="190" spans="1:7" s="257" customFormat="1" ht="16.5" x14ac:dyDescent="0.2">
      <c r="A190" s="252" t="s">
        <v>456</v>
      </c>
      <c r="B190" s="256">
        <v>3043824929</v>
      </c>
      <c r="C190" s="256">
        <v>3350424485</v>
      </c>
      <c r="D190" s="256">
        <v>487583654</v>
      </c>
      <c r="E190" s="256">
        <v>1620232943</v>
      </c>
      <c r="F190" s="256">
        <v>1050584776</v>
      </c>
      <c r="G190" s="256">
        <v>0</v>
      </c>
    </row>
    <row r="191" spans="1:7" s="257" customFormat="1" ht="16.5" x14ac:dyDescent="0.2">
      <c r="A191" s="260" t="s">
        <v>457</v>
      </c>
      <c r="B191" s="256">
        <v>11938693622</v>
      </c>
      <c r="C191" s="256">
        <v>14823899914</v>
      </c>
      <c r="D191" s="256">
        <v>3107174709</v>
      </c>
      <c r="E191" s="256">
        <v>5764545093</v>
      </c>
      <c r="F191" s="256">
        <v>3698311977</v>
      </c>
      <c r="G191" s="256">
        <v>379149462</v>
      </c>
    </row>
    <row r="192" spans="1:7" s="257" customFormat="1" ht="16.5" x14ac:dyDescent="0.2">
      <c r="A192" s="252" t="s">
        <v>458</v>
      </c>
      <c r="B192" s="256">
        <v>22849089050</v>
      </c>
      <c r="C192" s="256">
        <v>24404844550</v>
      </c>
      <c r="D192" s="256">
        <v>3440396396</v>
      </c>
      <c r="E192" s="256">
        <v>5240396396</v>
      </c>
      <c r="F192" s="256">
        <v>1482844363</v>
      </c>
      <c r="G192" s="256">
        <v>111962733</v>
      </c>
    </row>
    <row r="193" spans="1:7" s="257" customFormat="1" ht="16.5" x14ac:dyDescent="0.2">
      <c r="A193" s="252" t="s">
        <v>459</v>
      </c>
      <c r="B193" s="256">
        <v>14926668529</v>
      </c>
      <c r="C193" s="256">
        <v>26364901501</v>
      </c>
      <c r="D193" s="256">
        <v>2235153054</v>
      </c>
      <c r="E193" s="256">
        <v>5633411780</v>
      </c>
      <c r="F193" s="256">
        <v>4974021691</v>
      </c>
      <c r="G193" s="256">
        <v>38255756</v>
      </c>
    </row>
    <row r="194" spans="1:7" s="257" customFormat="1" ht="16.5" x14ac:dyDescent="0.2">
      <c r="A194" s="260" t="s">
        <v>460</v>
      </c>
      <c r="B194" s="256">
        <v>10104301960</v>
      </c>
      <c r="C194" s="256">
        <v>17186668808</v>
      </c>
      <c r="D194" s="256">
        <v>2029015680</v>
      </c>
      <c r="E194" s="256">
        <v>7484677828</v>
      </c>
      <c r="F194" s="256">
        <v>1721093753</v>
      </c>
      <c r="G194" s="256">
        <v>55927245</v>
      </c>
    </row>
    <row r="195" spans="1:7" s="257" customFormat="1" ht="16.5" x14ac:dyDescent="0.2">
      <c r="A195" s="252" t="s">
        <v>461</v>
      </c>
      <c r="B195" s="256">
        <v>8257995775</v>
      </c>
      <c r="C195" s="256">
        <v>13859134696</v>
      </c>
      <c r="D195" s="256">
        <v>3245269708</v>
      </c>
      <c r="E195" s="256">
        <v>7523902580</v>
      </c>
      <c r="F195" s="256">
        <v>2779146245</v>
      </c>
      <c r="G195" s="256">
        <v>698070197</v>
      </c>
    </row>
    <row r="196" spans="1:7" s="257" customFormat="1" ht="16.5" x14ac:dyDescent="0.2">
      <c r="A196" s="260" t="s">
        <v>203</v>
      </c>
      <c r="B196" s="256">
        <v>16732524000</v>
      </c>
      <c r="C196" s="256">
        <v>20822448000</v>
      </c>
      <c r="D196" s="256">
        <v>5713844000</v>
      </c>
      <c r="E196" s="256">
        <v>10489602000</v>
      </c>
      <c r="F196" s="256">
        <v>1527297000</v>
      </c>
      <c r="G196" s="256">
        <v>293783000</v>
      </c>
    </row>
    <row r="197" spans="1:7" s="257" customFormat="1" ht="16.5" x14ac:dyDescent="0.2">
      <c r="A197" s="252" t="s">
        <v>462</v>
      </c>
      <c r="B197" s="256">
        <v>11055031000</v>
      </c>
      <c r="C197" s="256">
        <v>26776206000</v>
      </c>
      <c r="D197" s="256">
        <v>1560590000</v>
      </c>
      <c r="E197" s="256">
        <v>7878499000</v>
      </c>
      <c r="F197" s="256">
        <v>2051751000</v>
      </c>
      <c r="G197" s="256">
        <v>22086000</v>
      </c>
    </row>
    <row r="198" spans="1:7" s="257" customFormat="1" ht="16.5" x14ac:dyDescent="0.2">
      <c r="A198" s="252" t="s">
        <v>239</v>
      </c>
      <c r="B198" s="256">
        <v>17142008000</v>
      </c>
      <c r="C198" s="256">
        <v>29592460000</v>
      </c>
      <c r="D198" s="256">
        <v>4725950000</v>
      </c>
      <c r="E198" s="256">
        <v>6404872000</v>
      </c>
      <c r="F198" s="256">
        <v>1749025000</v>
      </c>
      <c r="G198" s="256">
        <v>95834000</v>
      </c>
    </row>
    <row r="199" spans="1:7" s="257" customFormat="1" ht="16.5" x14ac:dyDescent="0.2">
      <c r="A199" s="252" t="s">
        <v>463</v>
      </c>
      <c r="B199" s="256">
        <v>53199181958</v>
      </c>
      <c r="C199" s="256">
        <v>311761028501</v>
      </c>
      <c r="D199" s="256">
        <v>20696361955</v>
      </c>
      <c r="E199" s="256">
        <v>68642587160</v>
      </c>
      <c r="F199" s="256">
        <v>10319400025</v>
      </c>
      <c r="G199" s="256">
        <v>4361412118</v>
      </c>
    </row>
    <row r="200" spans="1:7" s="257" customFormat="1" ht="16.5" x14ac:dyDescent="0.2">
      <c r="A200" s="260" t="s">
        <v>464</v>
      </c>
      <c r="B200" s="256">
        <v>749824536336</v>
      </c>
      <c r="C200" s="256">
        <v>938542173707</v>
      </c>
      <c r="D200" s="256">
        <v>268514271200</v>
      </c>
      <c r="E200" s="256">
        <v>446535198470</v>
      </c>
      <c r="F200" s="256">
        <v>74666780002</v>
      </c>
      <c r="G200" s="256">
        <v>15673012709</v>
      </c>
    </row>
    <row r="201" spans="1:7" s="257" customFormat="1" ht="33" x14ac:dyDescent="0.2">
      <c r="A201" s="252" t="s">
        <v>465</v>
      </c>
      <c r="B201" s="256">
        <v>1498499000</v>
      </c>
      <c r="C201" s="256">
        <v>1814623000</v>
      </c>
      <c r="D201" s="256">
        <v>509143000</v>
      </c>
      <c r="E201" s="256">
        <f>+D201</f>
        <v>509143000</v>
      </c>
      <c r="F201" s="256">
        <v>484011000</v>
      </c>
      <c r="G201" s="256">
        <v>24735000</v>
      </c>
    </row>
    <row r="202" spans="1:7" s="257" customFormat="1" ht="16.5" x14ac:dyDescent="0.2">
      <c r="A202" s="252" t="s">
        <v>206</v>
      </c>
      <c r="B202" s="256">
        <v>8382360773</v>
      </c>
      <c r="C202" s="256">
        <v>11207224525</v>
      </c>
      <c r="D202" s="256">
        <v>1065523970</v>
      </c>
      <c r="E202" s="256">
        <v>3923099109</v>
      </c>
      <c r="F202" s="256">
        <v>706003439</v>
      </c>
      <c r="G202" s="256">
        <v>32637504</v>
      </c>
    </row>
    <row r="203" spans="1:7" s="257" customFormat="1" ht="16.5" x14ac:dyDescent="0.2">
      <c r="A203" s="252" t="s">
        <v>221</v>
      </c>
      <c r="B203" s="256">
        <v>257999278291</v>
      </c>
      <c r="C203" s="256">
        <v>343409009043</v>
      </c>
      <c r="D203" s="256">
        <v>109721736317</v>
      </c>
      <c r="E203" s="256">
        <v>255400361090</v>
      </c>
      <c r="F203" s="256">
        <v>26669340686</v>
      </c>
      <c r="G203" s="256">
        <v>2137351046</v>
      </c>
    </row>
    <row r="204" spans="1:7" s="257" customFormat="1" ht="16.5" x14ac:dyDescent="0.2">
      <c r="A204" s="252" t="s">
        <v>466</v>
      </c>
      <c r="B204" s="256">
        <v>60061190</v>
      </c>
      <c r="C204" s="256">
        <f>+B204</f>
        <v>60061190</v>
      </c>
      <c r="D204" s="256">
        <v>1982000</v>
      </c>
      <c r="E204" s="256">
        <f>+D204</f>
        <v>1982000</v>
      </c>
      <c r="F204" s="256">
        <v>0</v>
      </c>
      <c r="G204" s="256">
        <v>0</v>
      </c>
    </row>
    <row r="205" spans="1:7" s="257" customFormat="1" ht="16.5" x14ac:dyDescent="0.2">
      <c r="A205" s="252" t="s">
        <v>194</v>
      </c>
      <c r="B205" s="256">
        <v>99708840151</v>
      </c>
      <c r="C205" s="256">
        <v>169772806631</v>
      </c>
      <c r="D205" s="256">
        <v>52782667480</v>
      </c>
      <c r="E205" s="256">
        <v>70091400004</v>
      </c>
      <c r="F205" s="256">
        <v>9082108219</v>
      </c>
      <c r="G205" s="256">
        <v>4236622637</v>
      </c>
    </row>
    <row r="206" spans="1:7" s="257" customFormat="1" ht="16.5" x14ac:dyDescent="0.2">
      <c r="A206" s="252" t="s">
        <v>467</v>
      </c>
      <c r="B206" s="256">
        <v>36256750000</v>
      </c>
      <c r="C206" s="256">
        <v>57608633000</v>
      </c>
      <c r="D206" s="256">
        <v>11367549000</v>
      </c>
      <c r="E206" s="256">
        <f>+D206</f>
        <v>11367549000</v>
      </c>
      <c r="F206" s="256">
        <v>7577345000</v>
      </c>
      <c r="G206" s="256">
        <v>256073000</v>
      </c>
    </row>
    <row r="207" spans="1:7" s="257" customFormat="1" ht="16.5" x14ac:dyDescent="0.2">
      <c r="A207" s="260" t="s">
        <v>468</v>
      </c>
      <c r="B207" s="256">
        <v>15258809814</v>
      </c>
      <c r="C207" s="256">
        <v>22897015779</v>
      </c>
      <c r="D207" s="256">
        <v>1788239361</v>
      </c>
      <c r="E207" s="256">
        <v>8599916196</v>
      </c>
      <c r="F207" s="256">
        <v>2005549750</v>
      </c>
      <c r="G207" s="256">
        <v>115917126</v>
      </c>
    </row>
    <row r="208" spans="1:7" s="257" customFormat="1" ht="16.5" x14ac:dyDescent="0.2">
      <c r="A208" s="252" t="s">
        <v>469</v>
      </c>
      <c r="B208" s="256">
        <v>2000000000</v>
      </c>
      <c r="C208" s="256">
        <v>2000000000</v>
      </c>
      <c r="D208" s="256">
        <v>0</v>
      </c>
      <c r="E208" s="256">
        <v>0</v>
      </c>
      <c r="F208" s="256">
        <v>0</v>
      </c>
      <c r="G208" s="256">
        <v>0</v>
      </c>
    </row>
    <row r="209" spans="1:7" s="257" customFormat="1" ht="16.5" x14ac:dyDescent="0.2">
      <c r="A209" s="252" t="s">
        <v>470</v>
      </c>
      <c r="B209" s="256">
        <v>280000000</v>
      </c>
      <c r="C209" s="256">
        <f>+B209</f>
        <v>280000000</v>
      </c>
      <c r="D209" s="256">
        <v>0</v>
      </c>
      <c r="E209" s="256">
        <v>0</v>
      </c>
      <c r="F209" s="256">
        <v>0</v>
      </c>
      <c r="G209" s="256">
        <v>0</v>
      </c>
    </row>
    <row r="210" spans="1:7" s="257" customFormat="1" ht="33" x14ac:dyDescent="0.2">
      <c r="A210" s="252" t="s">
        <v>471</v>
      </c>
      <c r="B210" s="256">
        <v>296936037000</v>
      </c>
      <c r="C210" s="256">
        <v>357883262000</v>
      </c>
      <c r="D210" s="256">
        <v>146849515000</v>
      </c>
      <c r="E210" s="256">
        <v>156433141000</v>
      </c>
      <c r="F210" s="256">
        <v>13660285000</v>
      </c>
      <c r="G210" s="256">
        <v>2478424000</v>
      </c>
    </row>
    <row r="211" spans="1:7" s="257" customFormat="1" ht="16.5" x14ac:dyDescent="0.2">
      <c r="A211" s="260" t="s">
        <v>472</v>
      </c>
      <c r="B211" s="256">
        <v>128115279</v>
      </c>
      <c r="C211" s="256">
        <f>+B211</f>
        <v>128115279</v>
      </c>
      <c r="D211" s="256">
        <v>36434947</v>
      </c>
      <c r="E211" s="256">
        <f>+D211</f>
        <v>36434947</v>
      </c>
      <c r="F211" s="256">
        <v>108486534</v>
      </c>
      <c r="G211" s="256">
        <v>631</v>
      </c>
    </row>
    <row r="212" spans="1:7" s="257" customFormat="1" ht="16.5" x14ac:dyDescent="0.2">
      <c r="A212" s="252" t="s">
        <v>473</v>
      </c>
      <c r="B212" s="256">
        <v>1868929277168</v>
      </c>
      <c r="C212" s="256">
        <v>2692912344789</v>
      </c>
      <c r="D212" s="256">
        <v>1453230749721</v>
      </c>
      <c r="E212" s="256">
        <v>2094610246696</v>
      </c>
      <c r="F212" s="256">
        <v>92862722711</v>
      </c>
      <c r="G212" s="256">
        <v>72582854154</v>
      </c>
    </row>
    <row r="213" spans="1:7" s="257" customFormat="1" ht="33" x14ac:dyDescent="0.2">
      <c r="A213" s="252" t="s">
        <v>474</v>
      </c>
      <c r="B213" s="256">
        <v>21213716670</v>
      </c>
      <c r="C213" s="256">
        <v>78041923850</v>
      </c>
      <c r="D213" s="256">
        <v>9302104396</v>
      </c>
      <c r="E213" s="256">
        <v>36375586255</v>
      </c>
      <c r="F213" s="256">
        <v>9412185233</v>
      </c>
      <c r="G213" s="256">
        <v>904587657</v>
      </c>
    </row>
    <row r="214" spans="1:7" s="257" customFormat="1" ht="16.5" x14ac:dyDescent="0.2">
      <c r="A214" s="252" t="s">
        <v>475</v>
      </c>
      <c r="B214" s="256">
        <v>117464441677</v>
      </c>
      <c r="C214" s="256">
        <v>207721507459</v>
      </c>
      <c r="D214" s="256">
        <v>31694667168</v>
      </c>
      <c r="E214" s="256">
        <v>57333352312</v>
      </c>
      <c r="F214" s="256">
        <v>11519719143</v>
      </c>
      <c r="G214" s="256">
        <v>804503503</v>
      </c>
    </row>
    <row r="215" spans="1:7" s="257" customFormat="1" ht="33" x14ac:dyDescent="0.2">
      <c r="A215" s="265" t="s">
        <v>476</v>
      </c>
      <c r="B215" s="256">
        <v>21018426706</v>
      </c>
      <c r="C215" s="256">
        <v>34555614155</v>
      </c>
      <c r="D215" s="256">
        <v>12825653551</v>
      </c>
      <c r="E215" s="256">
        <v>17008250613</v>
      </c>
      <c r="F215" s="256">
        <v>4268677400</v>
      </c>
      <c r="G215" s="256">
        <v>641955898</v>
      </c>
    </row>
    <row r="216" spans="1:7" s="257" customFormat="1" ht="33" x14ac:dyDescent="0.2">
      <c r="A216" s="264" t="s">
        <v>477</v>
      </c>
      <c r="B216" s="256">
        <v>41547621887</v>
      </c>
      <c r="C216" s="256">
        <v>50428566677</v>
      </c>
      <c r="D216" s="256">
        <v>26497780338</v>
      </c>
      <c r="E216" s="256">
        <v>30019013513</v>
      </c>
      <c r="F216" s="256">
        <v>2153302107</v>
      </c>
      <c r="G216" s="256">
        <v>71008665</v>
      </c>
    </row>
    <row r="217" spans="1:7" s="257" customFormat="1" ht="16.5" x14ac:dyDescent="0.2">
      <c r="A217" s="265" t="s">
        <v>478</v>
      </c>
      <c r="B217" s="256">
        <v>153503416645</v>
      </c>
      <c r="C217" s="256">
        <v>231886150568</v>
      </c>
      <c r="D217" s="256">
        <v>69028737418</v>
      </c>
      <c r="E217" s="256">
        <v>147140048469</v>
      </c>
      <c r="F217" s="256">
        <v>9718459772</v>
      </c>
      <c r="G217" s="256">
        <v>7225475893</v>
      </c>
    </row>
    <row r="218" spans="1:7" s="257" customFormat="1" ht="16.5" x14ac:dyDescent="0.2">
      <c r="A218" s="264" t="s">
        <v>479</v>
      </c>
      <c r="B218" s="256">
        <v>12381268447</v>
      </c>
      <c r="C218" s="256">
        <v>49010952703</v>
      </c>
      <c r="D218" s="256">
        <v>7236895654</v>
      </c>
      <c r="E218" s="256">
        <v>26174303356</v>
      </c>
      <c r="F218" s="256">
        <v>4918470566</v>
      </c>
      <c r="G218" s="256">
        <v>2566520032</v>
      </c>
    </row>
    <row r="219" spans="1:7" s="257" customFormat="1" ht="33" x14ac:dyDescent="0.2">
      <c r="A219" s="264" t="s">
        <v>480</v>
      </c>
      <c r="B219" s="256">
        <v>5351342763</v>
      </c>
      <c r="C219" s="256">
        <v>32137648526</v>
      </c>
      <c r="D219" s="256">
        <v>1129461044</v>
      </c>
      <c r="E219" s="256">
        <v>7125201028</v>
      </c>
      <c r="F219" s="256">
        <v>3214810395</v>
      </c>
      <c r="G219" s="256">
        <v>84732301</v>
      </c>
    </row>
    <row r="220" spans="1:7" s="257" customFormat="1" ht="16.5" x14ac:dyDescent="0.2">
      <c r="A220" s="252" t="s">
        <v>481</v>
      </c>
      <c r="B220" s="256">
        <v>120025260459</v>
      </c>
      <c r="C220" s="256">
        <v>218052225821</v>
      </c>
      <c r="D220" s="256">
        <v>64271245</v>
      </c>
      <c r="E220" s="256">
        <v>134801790205</v>
      </c>
      <c r="F220" s="256">
        <v>13814548113</v>
      </c>
      <c r="G220" s="256">
        <v>1820099771</v>
      </c>
    </row>
    <row r="221" spans="1:7" s="257" customFormat="1" ht="16.5" x14ac:dyDescent="0.2">
      <c r="A221" s="252" t="s">
        <v>185</v>
      </c>
      <c r="B221" s="256">
        <v>135017621743</v>
      </c>
      <c r="C221" s="256">
        <v>171531298278</v>
      </c>
      <c r="D221" s="256">
        <v>42733975435</v>
      </c>
      <c r="E221" s="256">
        <v>123859975951</v>
      </c>
      <c r="F221" s="256">
        <v>5091593753</v>
      </c>
      <c r="G221" s="256">
        <v>4085250132</v>
      </c>
    </row>
    <row r="222" spans="1:7" s="257" customFormat="1" ht="33" x14ac:dyDescent="0.2">
      <c r="A222" s="264" t="s">
        <v>482</v>
      </c>
      <c r="B222" s="256">
        <v>496858978650</v>
      </c>
      <c r="C222" s="256">
        <v>781860712052</v>
      </c>
      <c r="D222" s="256">
        <v>97772478978</v>
      </c>
      <c r="E222" s="256">
        <v>381413057278</v>
      </c>
      <c r="F222" s="256">
        <v>86185861868</v>
      </c>
      <c r="G222" s="256">
        <v>19328876505</v>
      </c>
    </row>
    <row r="223" spans="1:7" s="257" customFormat="1" ht="16.5" x14ac:dyDescent="0.2">
      <c r="A223" s="252" t="s">
        <v>483</v>
      </c>
      <c r="B223" s="256">
        <v>1859748000</v>
      </c>
      <c r="C223" s="256">
        <v>2103799000</v>
      </c>
      <c r="D223" s="256">
        <v>713046000</v>
      </c>
      <c r="E223" s="256">
        <v>946969000</v>
      </c>
      <c r="F223" s="256">
        <v>407919000</v>
      </c>
      <c r="G223" s="256">
        <v>14257000</v>
      </c>
    </row>
    <row r="224" spans="1:7" s="257" customFormat="1" ht="16.5" x14ac:dyDescent="0.2">
      <c r="A224" s="252" t="s">
        <v>238</v>
      </c>
      <c r="B224" s="256">
        <v>318802665013</v>
      </c>
      <c r="C224" s="256">
        <v>822617276653</v>
      </c>
      <c r="D224" s="256">
        <v>107998408367</v>
      </c>
      <c r="E224" s="256">
        <v>185084712286</v>
      </c>
      <c r="F224" s="256">
        <v>41215339776</v>
      </c>
      <c r="G224" s="256">
        <v>1229259797</v>
      </c>
    </row>
    <row r="225" spans="1:7" s="257" customFormat="1" ht="16.5" x14ac:dyDescent="0.2">
      <c r="A225" s="260" t="s">
        <v>484</v>
      </c>
      <c r="B225" s="256">
        <v>872666346</v>
      </c>
      <c r="C225" s="256">
        <v>1949382677</v>
      </c>
      <c r="D225" s="256">
        <v>241382102</v>
      </c>
      <c r="E225" s="256">
        <v>717088454</v>
      </c>
      <c r="F225" s="256">
        <v>100014673</v>
      </c>
      <c r="G225" s="256">
        <v>0</v>
      </c>
    </row>
    <row r="226" spans="1:7" s="257" customFormat="1" ht="16.5" x14ac:dyDescent="0.2">
      <c r="A226" s="252" t="s">
        <v>485</v>
      </c>
      <c r="B226" s="256">
        <v>100000000</v>
      </c>
      <c r="C226" s="256">
        <f>+B226</f>
        <v>100000000</v>
      </c>
      <c r="D226" s="256">
        <v>0</v>
      </c>
      <c r="E226" s="256">
        <v>0</v>
      </c>
      <c r="F226" s="256">
        <v>0</v>
      </c>
      <c r="G226" s="256">
        <v>0</v>
      </c>
    </row>
    <row r="227" spans="1:7" s="257" customFormat="1" ht="16.5" x14ac:dyDescent="0.2">
      <c r="A227" s="252" t="s">
        <v>486</v>
      </c>
      <c r="B227" s="256">
        <v>14771508004</v>
      </c>
      <c r="C227" s="256">
        <v>15558050100</v>
      </c>
      <c r="D227" s="256">
        <v>2136759096</v>
      </c>
      <c r="E227" s="256">
        <v>4539999451</v>
      </c>
      <c r="F227" s="256">
        <v>1244630457</v>
      </c>
      <c r="G227" s="256">
        <v>20770600</v>
      </c>
    </row>
    <row r="228" spans="1:7" s="257" customFormat="1" ht="16.5" x14ac:dyDescent="0.2">
      <c r="A228" s="252" t="s">
        <v>487</v>
      </c>
      <c r="B228" s="256">
        <v>21251778877</v>
      </c>
      <c r="C228" s="256">
        <v>21291952740</v>
      </c>
      <c r="D228" s="256">
        <v>4935754947</v>
      </c>
      <c r="E228" s="256">
        <v>5747369923</v>
      </c>
      <c r="F228" s="256">
        <v>648603606</v>
      </c>
      <c r="G228" s="256">
        <v>717222</v>
      </c>
    </row>
    <row r="229" spans="1:7" s="257" customFormat="1" ht="16.5" x14ac:dyDescent="0.2">
      <c r="A229" s="260" t="s">
        <v>209</v>
      </c>
      <c r="B229" s="256">
        <v>8309480799</v>
      </c>
      <c r="C229" s="256">
        <v>13878619351</v>
      </c>
      <c r="D229" s="256">
        <v>705702360</v>
      </c>
      <c r="E229" s="256">
        <v>2938029149</v>
      </c>
      <c r="F229" s="256">
        <v>802521570</v>
      </c>
      <c r="G229" s="256">
        <v>13892033</v>
      </c>
    </row>
    <row r="230" spans="1:7" s="257" customFormat="1" ht="16.5" x14ac:dyDescent="0.2">
      <c r="A230" s="252" t="s">
        <v>210</v>
      </c>
      <c r="B230" s="256">
        <v>2696550498</v>
      </c>
      <c r="C230" s="256">
        <v>7685484985</v>
      </c>
      <c r="D230" s="256">
        <v>213831489</v>
      </c>
      <c r="E230" s="256">
        <v>1455121698</v>
      </c>
      <c r="F230" s="256">
        <v>418473105</v>
      </c>
      <c r="G230" s="256">
        <v>6941667</v>
      </c>
    </row>
    <row r="231" spans="1:7" s="257" customFormat="1" ht="16.5" x14ac:dyDescent="0.2">
      <c r="A231" s="252" t="s">
        <v>189</v>
      </c>
      <c r="B231" s="256">
        <v>36887256163</v>
      </c>
      <c r="C231" s="256">
        <v>67279567176</v>
      </c>
      <c r="D231" s="256">
        <v>9896770355</v>
      </c>
      <c r="E231" s="256">
        <v>20896244066</v>
      </c>
      <c r="F231" s="256">
        <v>6238597733</v>
      </c>
      <c r="G231" s="256">
        <v>401317867</v>
      </c>
    </row>
    <row r="232" spans="1:7" s="257" customFormat="1" ht="16.5" x14ac:dyDescent="0.2">
      <c r="A232" s="260" t="s">
        <v>488</v>
      </c>
      <c r="B232" s="256">
        <v>326498314005</v>
      </c>
      <c r="C232" s="256">
        <v>487893199252</v>
      </c>
      <c r="D232" s="256">
        <v>166926017078</v>
      </c>
      <c r="E232" s="256">
        <v>211721204949</v>
      </c>
      <c r="F232" s="256">
        <v>20076115686</v>
      </c>
      <c r="G232" s="256">
        <v>3829524907</v>
      </c>
    </row>
    <row r="233" spans="1:7" s="257" customFormat="1" ht="33" x14ac:dyDescent="0.2">
      <c r="A233" s="252" t="s">
        <v>489</v>
      </c>
      <c r="B233" s="256">
        <v>11027690314</v>
      </c>
      <c r="C233" s="256">
        <v>15862371813</v>
      </c>
      <c r="D233" s="256">
        <v>1184283832</v>
      </c>
      <c r="E233" s="256">
        <v>9489299672</v>
      </c>
      <c r="F233" s="256">
        <v>509483947</v>
      </c>
      <c r="G233" s="256">
        <v>3171577</v>
      </c>
    </row>
    <row r="234" spans="1:7" s="257" customFormat="1" ht="16.5" x14ac:dyDescent="0.2">
      <c r="A234" s="260" t="s">
        <v>490</v>
      </c>
      <c r="B234" s="256">
        <v>19860658331</v>
      </c>
      <c r="C234" s="256">
        <v>52569899645</v>
      </c>
      <c r="D234" s="256">
        <v>890736916</v>
      </c>
      <c r="E234" s="256">
        <v>16571579644</v>
      </c>
      <c r="F234" s="256">
        <v>3531160793</v>
      </c>
      <c r="G234" s="256">
        <v>423652259</v>
      </c>
    </row>
    <row r="235" spans="1:7" s="257" customFormat="1" ht="16.5" x14ac:dyDescent="0.2">
      <c r="A235" s="252" t="s">
        <v>491</v>
      </c>
      <c r="B235" s="256">
        <v>1057981017</v>
      </c>
      <c r="C235" s="256">
        <v>8505910578</v>
      </c>
      <c r="D235" s="256">
        <v>250174706</v>
      </c>
      <c r="E235" s="256">
        <v>838806892</v>
      </c>
      <c r="F235" s="256">
        <v>86629331</v>
      </c>
      <c r="G235" s="256">
        <v>10487904</v>
      </c>
    </row>
    <row r="236" spans="1:7" s="257" customFormat="1" ht="16.5" x14ac:dyDescent="0.2">
      <c r="A236" s="260" t="s">
        <v>492</v>
      </c>
      <c r="B236" s="256">
        <v>136595559</v>
      </c>
      <c r="C236" s="256">
        <v>148652005</v>
      </c>
      <c r="D236" s="256">
        <v>38983169</v>
      </c>
      <c r="E236" s="256">
        <f>+D236</f>
        <v>38983169</v>
      </c>
      <c r="F236" s="256">
        <v>10577005</v>
      </c>
      <c r="G236" s="256">
        <v>442817</v>
      </c>
    </row>
    <row r="237" spans="1:7" s="257" customFormat="1" ht="16.5" x14ac:dyDescent="0.2">
      <c r="A237" s="252" t="s">
        <v>493</v>
      </c>
      <c r="B237" s="256">
        <v>46202113000</v>
      </c>
      <c r="C237" s="256">
        <v>61843363000</v>
      </c>
      <c r="D237" s="256">
        <v>20681186000</v>
      </c>
      <c r="E237" s="256">
        <v>36678358000</v>
      </c>
      <c r="F237" s="256">
        <v>12006425000</v>
      </c>
      <c r="G237" s="256">
        <v>1111753000</v>
      </c>
    </row>
    <row r="238" spans="1:7" s="257" customFormat="1" ht="16.5" x14ac:dyDescent="0.2">
      <c r="A238" s="260" t="s">
        <v>494</v>
      </c>
      <c r="B238" s="256">
        <v>578297062375</v>
      </c>
      <c r="C238" s="256">
        <v>1079188897375</v>
      </c>
      <c r="D238" s="256">
        <v>208828730091</v>
      </c>
      <c r="E238" s="256">
        <v>434250505274</v>
      </c>
      <c r="F238" s="256">
        <v>91311474229</v>
      </c>
      <c r="G238" s="256">
        <v>15417012240</v>
      </c>
    </row>
    <row r="239" spans="1:7" s="257" customFormat="1" ht="16.5" x14ac:dyDescent="0.2">
      <c r="A239" s="252" t="s">
        <v>495</v>
      </c>
      <c r="B239" s="256">
        <v>7809930475</v>
      </c>
      <c r="C239" s="256">
        <v>12675901420</v>
      </c>
      <c r="D239" s="256">
        <v>3691379798</v>
      </c>
      <c r="E239" s="256">
        <v>5372835732</v>
      </c>
      <c r="F239" s="256">
        <v>7303065688</v>
      </c>
      <c r="G239" s="256">
        <v>0</v>
      </c>
    </row>
    <row r="240" spans="1:7" s="257" customFormat="1" ht="16.5" x14ac:dyDescent="0.2">
      <c r="A240" s="252" t="s">
        <v>496</v>
      </c>
      <c r="B240" s="256">
        <v>239621914000</v>
      </c>
      <c r="C240" s="256">
        <v>288408482000</v>
      </c>
      <c r="D240" s="256">
        <v>92082312000</v>
      </c>
      <c r="E240" s="256">
        <v>151334870000</v>
      </c>
      <c r="F240" s="256">
        <v>15251952000</v>
      </c>
      <c r="G240" s="256">
        <v>4845170000</v>
      </c>
    </row>
    <row r="241" spans="1:9" s="257" customFormat="1" ht="16.5" x14ac:dyDescent="0.2">
      <c r="A241" s="252" t="s">
        <v>497</v>
      </c>
      <c r="B241" s="256">
        <v>7406062312</v>
      </c>
      <c r="C241" s="256">
        <v>10326292370</v>
      </c>
      <c r="D241" s="256">
        <v>1261202416</v>
      </c>
      <c r="E241" s="256">
        <v>4629091246</v>
      </c>
      <c r="F241" s="256">
        <v>376111806</v>
      </c>
      <c r="G241" s="256">
        <v>7387236</v>
      </c>
    </row>
    <row r="242" spans="1:9" s="257" customFormat="1" ht="16.5" x14ac:dyDescent="0.2">
      <c r="A242" s="260" t="s">
        <v>498</v>
      </c>
      <c r="B242" s="256">
        <v>10107568724</v>
      </c>
      <c r="C242" s="256">
        <v>19412502705</v>
      </c>
      <c r="D242" s="256">
        <v>745966437</v>
      </c>
      <c r="E242" s="256">
        <v>2482836303</v>
      </c>
      <c r="F242" s="256">
        <v>779538098</v>
      </c>
      <c r="G242" s="256">
        <v>48170572</v>
      </c>
    </row>
    <row r="243" spans="1:9" s="257" customFormat="1" ht="16.5" x14ac:dyDescent="0.2">
      <c r="A243" s="252" t="s">
        <v>499</v>
      </c>
      <c r="B243" s="256">
        <v>5411782173</v>
      </c>
      <c r="C243" s="256">
        <v>23377081462</v>
      </c>
      <c r="D243" s="256">
        <v>354001966</v>
      </c>
      <c r="E243" s="256">
        <v>5909814024</v>
      </c>
      <c r="F243" s="256">
        <v>1680896927</v>
      </c>
      <c r="G243" s="256">
        <v>67717061</v>
      </c>
    </row>
    <row r="244" spans="1:9" s="257" customFormat="1" ht="16.5" x14ac:dyDescent="0.2">
      <c r="A244" s="252" t="s">
        <v>500</v>
      </c>
      <c r="B244" s="256">
        <v>7147417522</v>
      </c>
      <c r="C244" s="256">
        <v>9322533832</v>
      </c>
      <c r="D244" s="256">
        <v>2110845715</v>
      </c>
      <c r="E244" s="256">
        <v>2765609108</v>
      </c>
      <c r="F244" s="256">
        <v>1389519731</v>
      </c>
      <c r="G244" s="256">
        <v>76560172</v>
      </c>
    </row>
    <row r="245" spans="1:9" s="257" customFormat="1" ht="16.5" x14ac:dyDescent="0.2">
      <c r="A245" s="260" t="s">
        <v>501</v>
      </c>
      <c r="B245" s="256">
        <v>1290104755</v>
      </c>
      <c r="C245" s="256">
        <v>2352632971</v>
      </c>
      <c r="D245" s="256">
        <v>216132029</v>
      </c>
      <c r="E245" s="256">
        <v>427302375</v>
      </c>
      <c r="F245" s="256">
        <v>536874041</v>
      </c>
      <c r="G245" s="256">
        <v>3331592</v>
      </c>
    </row>
    <row r="246" spans="1:9" s="257" customFormat="1" ht="16.5" x14ac:dyDescent="0.2">
      <c r="A246" s="252" t="s">
        <v>224</v>
      </c>
      <c r="B246" s="256">
        <v>1487463117</v>
      </c>
      <c r="C246" s="256">
        <v>2573115643</v>
      </c>
      <c r="D246" s="256">
        <v>255940625</v>
      </c>
      <c r="E246" s="256">
        <v>1129337669</v>
      </c>
      <c r="F246" s="256">
        <v>281727013</v>
      </c>
      <c r="G246" s="256">
        <v>7004068</v>
      </c>
    </row>
    <row r="247" spans="1:9" s="257" customFormat="1" ht="16.5" x14ac:dyDescent="0.2">
      <c r="A247" s="252" t="s">
        <v>225</v>
      </c>
      <c r="B247" s="258">
        <v>2952589398</v>
      </c>
      <c r="C247" s="256">
        <v>3919048222</v>
      </c>
      <c r="D247" s="256">
        <v>956457876</v>
      </c>
      <c r="E247" s="256">
        <v>2171168110</v>
      </c>
      <c r="F247" s="256">
        <v>308560542</v>
      </c>
      <c r="G247" s="258">
        <v>34958464</v>
      </c>
    </row>
    <row r="248" spans="1:9" s="257" customFormat="1" ht="16.5" x14ac:dyDescent="0.2">
      <c r="A248" s="252" t="s">
        <v>502</v>
      </c>
      <c r="B248" s="256">
        <v>9555548431</v>
      </c>
      <c r="C248" s="256">
        <v>37149005515</v>
      </c>
      <c r="D248" s="256">
        <v>837169749</v>
      </c>
      <c r="E248" s="256">
        <v>9071800712</v>
      </c>
      <c r="F248" s="256">
        <v>519236471</v>
      </c>
      <c r="G248" s="256">
        <v>606784150</v>
      </c>
    </row>
    <row r="249" spans="1:9" s="257" customFormat="1" ht="16.5" x14ac:dyDescent="0.2">
      <c r="A249" s="252" t="s">
        <v>503</v>
      </c>
      <c r="B249" s="256">
        <v>138409458951</v>
      </c>
      <c r="C249" s="256">
        <v>236707674005</v>
      </c>
      <c r="D249" s="256">
        <v>41265522354</v>
      </c>
      <c r="E249" s="256">
        <v>91921840208</v>
      </c>
      <c r="F249" s="256">
        <v>35615287652</v>
      </c>
      <c r="G249" s="256">
        <v>105966266</v>
      </c>
    </row>
    <row r="250" spans="1:9" s="257" customFormat="1" ht="16.5" x14ac:dyDescent="0.2">
      <c r="A250" s="252" t="s">
        <v>227</v>
      </c>
      <c r="B250" s="256">
        <v>83218167723</v>
      </c>
      <c r="C250" s="256">
        <v>168849062864</v>
      </c>
      <c r="D250" s="256">
        <v>32565800247</v>
      </c>
      <c r="E250" s="256">
        <v>70031520923</v>
      </c>
      <c r="F250" s="256">
        <v>17612619195</v>
      </c>
      <c r="G250" s="256">
        <v>626044234</v>
      </c>
    </row>
    <row r="251" spans="1:9" s="257" customFormat="1" ht="33" x14ac:dyDescent="0.2">
      <c r="A251" s="260" t="s">
        <v>504</v>
      </c>
      <c r="B251" s="256">
        <v>282407622655</v>
      </c>
      <c r="C251" s="256">
        <v>470366195452</v>
      </c>
      <c r="D251" s="256">
        <v>234467889283</v>
      </c>
      <c r="E251" s="256">
        <v>272510570974</v>
      </c>
      <c r="F251" s="256">
        <v>6710385945</v>
      </c>
      <c r="G251" s="256">
        <v>429842068</v>
      </c>
    </row>
    <row r="252" spans="1:9" s="257" customFormat="1" ht="16.5" x14ac:dyDescent="0.2">
      <c r="A252" s="252" t="s">
        <v>505</v>
      </c>
      <c r="B252" s="256">
        <v>13300607831</v>
      </c>
      <c r="C252" s="256">
        <v>14296869048</v>
      </c>
      <c r="D252" s="256">
        <v>4506543948</v>
      </c>
      <c r="E252" s="256">
        <v>9712236217</v>
      </c>
      <c r="F252" s="256">
        <v>1843833155</v>
      </c>
      <c r="G252" s="256">
        <v>554801334</v>
      </c>
    </row>
    <row r="253" spans="1:9" s="257" customFormat="1" ht="16.5" x14ac:dyDescent="0.2">
      <c r="A253" s="260" t="s">
        <v>506</v>
      </c>
      <c r="B253" s="256">
        <v>142547014022</v>
      </c>
      <c r="C253" s="256">
        <v>157876151235</v>
      </c>
      <c r="D253" s="256">
        <v>91456864816</v>
      </c>
      <c r="E253" s="256">
        <v>108836803256</v>
      </c>
      <c r="F253" s="256">
        <v>17168661363</v>
      </c>
      <c r="G253" s="256">
        <v>292728632</v>
      </c>
    </row>
    <row r="254" spans="1:9" s="257" customFormat="1" ht="16.5" x14ac:dyDescent="0.2">
      <c r="A254" s="252" t="s">
        <v>216</v>
      </c>
      <c r="B254" s="256">
        <v>3952858602</v>
      </c>
      <c r="C254" s="256">
        <v>7675849245</v>
      </c>
      <c r="D254" s="256">
        <v>912918765</v>
      </c>
      <c r="E254" s="256">
        <v>3797835218</v>
      </c>
      <c r="F254" s="256">
        <v>562386206</v>
      </c>
      <c r="G254" s="256">
        <v>22063909</v>
      </c>
    </row>
    <row r="255" spans="1:9" s="257" customFormat="1" ht="16.5" x14ac:dyDescent="0.2">
      <c r="A255" s="260" t="s">
        <v>211</v>
      </c>
      <c r="B255" s="256">
        <v>31283903464</v>
      </c>
      <c r="C255" s="256">
        <v>39612696094</v>
      </c>
      <c r="D255" s="256">
        <v>782942783</v>
      </c>
      <c r="E255" s="256">
        <v>18306671043</v>
      </c>
      <c r="F255" s="256">
        <v>1191695417</v>
      </c>
      <c r="G255" s="256">
        <v>18920641</v>
      </c>
      <c r="I255" s="258" t="s">
        <v>182</v>
      </c>
    </row>
    <row r="256" spans="1:9" s="257" customFormat="1" ht="16.5" x14ac:dyDescent="0.2">
      <c r="A256" s="252" t="s">
        <v>507</v>
      </c>
      <c r="B256" s="256">
        <v>5237662405</v>
      </c>
      <c r="C256" s="234">
        <v>9104653531</v>
      </c>
      <c r="D256" s="234">
        <v>518052000</v>
      </c>
      <c r="E256" s="234">
        <v>4130738773</v>
      </c>
      <c r="F256" s="256">
        <v>940172840</v>
      </c>
      <c r="G256" s="256">
        <v>238420658</v>
      </c>
    </row>
    <row r="257" spans="1:7" s="257" customFormat="1" ht="16.5" x14ac:dyDescent="0.2">
      <c r="A257" s="252" t="s">
        <v>583</v>
      </c>
      <c r="B257" s="256">
        <v>22849089050</v>
      </c>
      <c r="C257" s="256">
        <v>24404844550</v>
      </c>
      <c r="D257" s="256">
        <v>3440396396</v>
      </c>
      <c r="E257" s="256">
        <v>5240396396</v>
      </c>
      <c r="F257" s="256">
        <v>1482844363</v>
      </c>
      <c r="G257" s="256">
        <v>111962713</v>
      </c>
    </row>
    <row r="258" spans="1:7" s="257" customFormat="1" ht="16.5" x14ac:dyDescent="0.2">
      <c r="A258" s="252" t="s">
        <v>508</v>
      </c>
      <c r="B258" s="256">
        <v>6432171840</v>
      </c>
      <c r="C258" s="256">
        <v>7694229812</v>
      </c>
      <c r="D258" s="256">
        <v>889838369</v>
      </c>
      <c r="E258" s="256">
        <v>1197097825</v>
      </c>
      <c r="F258" s="256">
        <v>250319101</v>
      </c>
      <c r="G258" s="256">
        <v>0</v>
      </c>
    </row>
    <row r="259" spans="1:7" s="257" customFormat="1" ht="16.5" x14ac:dyDescent="0.2">
      <c r="A259" s="260" t="s">
        <v>509</v>
      </c>
      <c r="B259" s="256">
        <v>383334591720</v>
      </c>
      <c r="C259" s="256">
        <v>554897185782</v>
      </c>
      <c r="D259" s="256">
        <v>149984182672</v>
      </c>
      <c r="E259" s="256">
        <v>259060997505</v>
      </c>
      <c r="F259" s="256">
        <v>31879385958</v>
      </c>
      <c r="G259" s="256">
        <v>3690832343</v>
      </c>
    </row>
    <row r="260" spans="1:7" s="257" customFormat="1" ht="16.5" x14ac:dyDescent="0.2">
      <c r="A260" s="252" t="s">
        <v>510</v>
      </c>
      <c r="B260" s="256">
        <v>177874314787</v>
      </c>
      <c r="C260" s="256">
        <v>221020437891</v>
      </c>
      <c r="D260" s="256">
        <v>37607442339</v>
      </c>
      <c r="E260" s="256">
        <v>204577632424</v>
      </c>
      <c r="F260" s="256">
        <v>4605445914</v>
      </c>
      <c r="G260" s="256">
        <v>935246445</v>
      </c>
    </row>
    <row r="261" spans="1:7" s="257" customFormat="1" ht="33" x14ac:dyDescent="0.2">
      <c r="A261" s="252" t="s">
        <v>511</v>
      </c>
      <c r="B261" s="256">
        <v>69066781084</v>
      </c>
      <c r="C261" s="256">
        <v>121981505282</v>
      </c>
      <c r="D261" s="256">
        <v>37232031462</v>
      </c>
      <c r="E261" s="256">
        <v>71620219688</v>
      </c>
      <c r="F261" s="256">
        <v>14667760157</v>
      </c>
      <c r="G261" s="256">
        <v>2932026884</v>
      </c>
    </row>
    <row r="262" spans="1:7" s="257" customFormat="1" ht="16.5" x14ac:dyDescent="0.2">
      <c r="A262" s="260" t="s">
        <v>192</v>
      </c>
      <c r="B262" s="256">
        <v>5686171000</v>
      </c>
      <c r="C262" s="256">
        <v>5843203000</v>
      </c>
      <c r="D262" s="256">
        <v>1079332000</v>
      </c>
      <c r="E262" s="256">
        <v>2863333000</v>
      </c>
      <c r="F262" s="256">
        <v>1048656000</v>
      </c>
      <c r="G262" s="256">
        <v>34008000</v>
      </c>
    </row>
    <row r="263" spans="1:7" s="257" customFormat="1" ht="16.5" x14ac:dyDescent="0.2">
      <c r="A263" s="252" t="s">
        <v>512</v>
      </c>
      <c r="B263" s="256">
        <v>54788063261</v>
      </c>
      <c r="C263" s="256">
        <v>57203525242</v>
      </c>
      <c r="D263" s="256">
        <v>37874552470</v>
      </c>
      <c r="E263" s="256">
        <v>39324814993</v>
      </c>
      <c r="F263" s="256">
        <v>1448262328</v>
      </c>
      <c r="G263" s="256">
        <v>750585255</v>
      </c>
    </row>
    <row r="264" spans="1:7" s="257" customFormat="1" ht="16.5" x14ac:dyDescent="0.2">
      <c r="A264" s="252" t="s">
        <v>236</v>
      </c>
      <c r="B264" s="256">
        <v>7403636734</v>
      </c>
      <c r="C264" s="256">
        <v>12701619195</v>
      </c>
      <c r="D264" s="256">
        <v>163163611</v>
      </c>
      <c r="E264" s="256">
        <v>5719625040</v>
      </c>
      <c r="F264" s="256">
        <v>740104537</v>
      </c>
      <c r="G264" s="256">
        <v>0</v>
      </c>
    </row>
    <row r="265" spans="1:7" s="257" customFormat="1" ht="16.5" x14ac:dyDescent="0.2">
      <c r="A265" s="260" t="s">
        <v>229</v>
      </c>
      <c r="B265" s="256">
        <v>156329781000</v>
      </c>
      <c r="C265" s="256">
        <v>386206039000</v>
      </c>
      <c r="D265" s="256">
        <v>113468866000</v>
      </c>
      <c r="E265" s="256">
        <v>211958513000</v>
      </c>
      <c r="F265" s="256">
        <v>57969217000</v>
      </c>
      <c r="G265" s="256">
        <v>5010725000</v>
      </c>
    </row>
    <row r="266" spans="1:7" s="257" customFormat="1" ht="33" x14ac:dyDescent="0.2">
      <c r="A266" s="252" t="s">
        <v>513</v>
      </c>
      <c r="B266" s="256">
        <v>1073615634280</v>
      </c>
      <c r="C266" s="256">
        <v>1712269030080</v>
      </c>
      <c r="D266" s="256">
        <v>724765460860</v>
      </c>
      <c r="E266" s="256">
        <v>1195434677080</v>
      </c>
      <c r="F266" s="256">
        <v>54807064172</v>
      </c>
      <c r="G266" s="256">
        <v>25471814560</v>
      </c>
    </row>
    <row r="267" spans="1:7" s="257" customFormat="1" ht="33" x14ac:dyDescent="0.2">
      <c r="A267" s="260" t="s">
        <v>514</v>
      </c>
      <c r="B267" s="256">
        <v>42544167000</v>
      </c>
      <c r="C267" s="256">
        <v>50915590000</v>
      </c>
      <c r="D267" s="256">
        <v>16817734000</v>
      </c>
      <c r="E267" s="256">
        <v>18871024000</v>
      </c>
      <c r="F267" s="256">
        <v>2997592000</v>
      </c>
      <c r="G267" s="256">
        <v>203378000</v>
      </c>
    </row>
    <row r="268" spans="1:7" s="257" customFormat="1" ht="16.5" x14ac:dyDescent="0.2">
      <c r="A268" s="252" t="s">
        <v>515</v>
      </c>
      <c r="B268" s="256">
        <v>91924151000</v>
      </c>
      <c r="C268" s="256">
        <v>148937884000</v>
      </c>
      <c r="D268" s="256">
        <v>56335634000</v>
      </c>
      <c r="E268" s="256">
        <v>74335488000</v>
      </c>
      <c r="F268" s="256">
        <v>8449312000</v>
      </c>
      <c r="G268" s="256">
        <v>0</v>
      </c>
    </row>
    <row r="269" spans="1:7" s="257" customFormat="1" ht="16.5" x14ac:dyDescent="0.2">
      <c r="A269" s="252" t="s">
        <v>491</v>
      </c>
      <c r="B269" s="256">
        <v>1952382680</v>
      </c>
      <c r="C269" s="256">
        <v>3151452028</v>
      </c>
      <c r="D269" s="256">
        <v>161716440</v>
      </c>
      <c r="E269" s="256">
        <v>1376434599</v>
      </c>
      <c r="F269" s="256">
        <v>502713704</v>
      </c>
      <c r="G269" s="256">
        <v>0</v>
      </c>
    </row>
    <row r="270" spans="1:7" s="257" customFormat="1" ht="16.5" x14ac:dyDescent="0.2">
      <c r="A270" s="260" t="s">
        <v>516</v>
      </c>
      <c r="B270" s="256">
        <v>1390671581</v>
      </c>
      <c r="C270" s="256">
        <v>1775581568</v>
      </c>
      <c r="D270" s="256">
        <v>89785529</v>
      </c>
      <c r="E270" s="256">
        <v>572445609</v>
      </c>
      <c r="F270" s="256">
        <v>4607513</v>
      </c>
      <c r="G270" s="256">
        <v>4307580</v>
      </c>
    </row>
    <row r="271" spans="1:7" s="257" customFormat="1" ht="16.5" x14ac:dyDescent="0.2">
      <c r="A271" s="252" t="s">
        <v>517</v>
      </c>
      <c r="B271" s="256">
        <v>13096104665</v>
      </c>
      <c r="C271" s="256">
        <v>13144838199</v>
      </c>
      <c r="D271" s="256">
        <v>4298434752</v>
      </c>
      <c r="E271" s="256">
        <v>11453472032</v>
      </c>
      <c r="F271" s="256">
        <v>3338933857</v>
      </c>
      <c r="G271" s="256">
        <v>109300</v>
      </c>
    </row>
    <row r="272" spans="1:7" s="257" customFormat="1" ht="16.5" x14ac:dyDescent="0.2">
      <c r="A272" s="252" t="s">
        <v>518</v>
      </c>
      <c r="B272" s="256">
        <v>14196830702</v>
      </c>
      <c r="C272" s="256">
        <v>18005091636</v>
      </c>
      <c r="D272" s="256">
        <v>4419798585</v>
      </c>
      <c r="E272" s="256">
        <v>10413250902</v>
      </c>
      <c r="F272" s="256">
        <v>2071437419</v>
      </c>
      <c r="G272" s="256">
        <v>191454495</v>
      </c>
    </row>
    <row r="273" spans="1:7" s="257" customFormat="1" ht="16.5" x14ac:dyDescent="0.2">
      <c r="A273" s="252" t="s">
        <v>519</v>
      </c>
      <c r="B273" s="256">
        <v>1137290460</v>
      </c>
      <c r="C273" s="256">
        <v>1769366177</v>
      </c>
      <c r="D273" s="256">
        <v>315106308</v>
      </c>
      <c r="E273" s="256">
        <v>741275268</v>
      </c>
      <c r="F273" s="256">
        <v>816539499</v>
      </c>
      <c r="G273" s="256">
        <v>0</v>
      </c>
    </row>
    <row r="274" spans="1:7" s="257" customFormat="1" ht="16.5" x14ac:dyDescent="0.2">
      <c r="A274" s="252" t="s">
        <v>520</v>
      </c>
      <c r="B274" s="256">
        <v>5253520000</v>
      </c>
      <c r="C274" s="256">
        <v>5516005000</v>
      </c>
      <c r="D274" s="256">
        <v>256106000</v>
      </c>
      <c r="E274" s="256">
        <v>479203000</v>
      </c>
      <c r="F274" s="256">
        <v>686943000</v>
      </c>
      <c r="G274" s="256">
        <v>21194000</v>
      </c>
    </row>
    <row r="275" spans="1:7" s="257" customFormat="1" ht="16.5" x14ac:dyDescent="0.2">
      <c r="A275" s="260" t="s">
        <v>521</v>
      </c>
      <c r="B275" s="256">
        <v>892352257577</v>
      </c>
      <c r="C275" s="256">
        <v>1097454937494</v>
      </c>
      <c r="D275" s="256">
        <v>140508928108</v>
      </c>
      <c r="E275" s="256">
        <v>371333472042</v>
      </c>
      <c r="F275" s="256">
        <v>258424644273</v>
      </c>
      <c r="G275" s="256">
        <v>0</v>
      </c>
    </row>
    <row r="276" spans="1:7" s="257" customFormat="1" ht="16.5" x14ac:dyDescent="0.2">
      <c r="A276" s="252" t="s">
        <v>522</v>
      </c>
      <c r="B276" s="256">
        <v>81486705000</v>
      </c>
      <c r="C276" s="256">
        <v>161365368000</v>
      </c>
      <c r="D276" s="256">
        <v>71546221000</v>
      </c>
      <c r="E276" s="256">
        <v>134348032000</v>
      </c>
      <c r="F276" s="256">
        <v>11762422000</v>
      </c>
      <c r="G276" s="256">
        <v>4565937000</v>
      </c>
    </row>
    <row r="277" spans="1:7" s="257" customFormat="1" ht="16.5" x14ac:dyDescent="0.2">
      <c r="A277" s="252" t="s">
        <v>523</v>
      </c>
      <c r="B277" s="256">
        <v>96485980000</v>
      </c>
      <c r="C277" s="256">
        <v>179439085000</v>
      </c>
      <c r="D277" s="256">
        <v>34246934000</v>
      </c>
      <c r="E277" s="256">
        <v>93895943000</v>
      </c>
      <c r="F277" s="256">
        <v>13773125000</v>
      </c>
      <c r="G277" s="256">
        <v>5011496000</v>
      </c>
    </row>
    <row r="278" spans="1:7" s="257" customFormat="1" ht="33" x14ac:dyDescent="0.2">
      <c r="A278" s="260" t="s">
        <v>524</v>
      </c>
      <c r="B278" s="256">
        <v>12381324152</v>
      </c>
      <c r="C278" s="256">
        <v>16355485569</v>
      </c>
      <c r="D278" s="256">
        <v>3817008388</v>
      </c>
      <c r="E278" s="256">
        <v>10686428693</v>
      </c>
      <c r="F278" s="256">
        <v>1841644161</v>
      </c>
      <c r="G278" s="256">
        <v>114579721</v>
      </c>
    </row>
    <row r="279" spans="1:7" s="257" customFormat="1" ht="16.5" x14ac:dyDescent="0.2">
      <c r="A279" s="252" t="s">
        <v>525</v>
      </c>
      <c r="B279" s="256">
        <v>4459800960</v>
      </c>
      <c r="C279" s="256">
        <v>8272940631</v>
      </c>
      <c r="D279" s="256">
        <v>1486522446</v>
      </c>
      <c r="E279" s="256">
        <v>3063537990</v>
      </c>
      <c r="F279" s="256">
        <v>368063895</v>
      </c>
      <c r="G279" s="256">
        <v>58005914</v>
      </c>
    </row>
    <row r="280" spans="1:7" s="257" customFormat="1" ht="16.5" x14ac:dyDescent="0.2">
      <c r="A280" s="252" t="s">
        <v>526</v>
      </c>
      <c r="B280" s="256">
        <v>11039283262</v>
      </c>
      <c r="C280" s="256">
        <v>13523541541</v>
      </c>
      <c r="D280" s="256">
        <v>4794287757</v>
      </c>
      <c r="E280" s="256">
        <v>5144287757</v>
      </c>
      <c r="F280" s="256">
        <v>1806492902</v>
      </c>
      <c r="G280" s="256">
        <v>124208422</v>
      </c>
    </row>
    <row r="281" spans="1:7" s="257" customFormat="1" ht="16.5" x14ac:dyDescent="0.2">
      <c r="A281" s="252" t="s">
        <v>244</v>
      </c>
      <c r="B281" s="256">
        <v>8145598000</v>
      </c>
      <c r="C281" s="256">
        <v>13161811000</v>
      </c>
      <c r="D281" s="256">
        <v>2243571000</v>
      </c>
      <c r="E281" s="256">
        <v>6579083000</v>
      </c>
      <c r="F281" s="256">
        <v>253204000</v>
      </c>
      <c r="G281" s="256">
        <v>19334000</v>
      </c>
    </row>
    <row r="282" spans="1:7" s="257" customFormat="1" ht="16.5" x14ac:dyDescent="0.2">
      <c r="A282" s="260" t="s">
        <v>226</v>
      </c>
      <c r="B282" s="256">
        <v>5393904053</v>
      </c>
      <c r="C282" s="256">
        <v>9265345064</v>
      </c>
      <c r="D282" s="256">
        <v>798967509</v>
      </c>
      <c r="E282" s="256">
        <v>2259203912</v>
      </c>
      <c r="F282" s="256">
        <v>1410435939</v>
      </c>
      <c r="G282" s="256">
        <v>203062554</v>
      </c>
    </row>
    <row r="283" spans="1:7" s="257" customFormat="1" ht="16.5" x14ac:dyDescent="0.2">
      <c r="A283" s="252" t="s">
        <v>527</v>
      </c>
      <c r="B283" s="256">
        <v>484500238</v>
      </c>
      <c r="C283" s="256">
        <v>629500238</v>
      </c>
      <c r="D283" s="256">
        <v>5000000</v>
      </c>
      <c r="E283" s="256">
        <f>+D283</f>
        <v>5000000</v>
      </c>
      <c r="F283" s="256">
        <v>57272263</v>
      </c>
      <c r="G283" s="256">
        <v>0</v>
      </c>
    </row>
    <row r="284" spans="1:7" s="257" customFormat="1" ht="16.5" x14ac:dyDescent="0.2">
      <c r="A284" s="252" t="s">
        <v>528</v>
      </c>
      <c r="B284" s="256">
        <v>7626109945</v>
      </c>
      <c r="C284" s="256">
        <v>16970933887</v>
      </c>
      <c r="D284" s="256">
        <v>323765900</v>
      </c>
      <c r="E284" s="256">
        <v>6249957796</v>
      </c>
      <c r="F284" s="256">
        <v>718419423</v>
      </c>
      <c r="G284" s="256">
        <v>89375272</v>
      </c>
    </row>
    <row r="285" spans="1:7" s="257" customFormat="1" ht="33" x14ac:dyDescent="0.2">
      <c r="A285" s="252" t="s">
        <v>529</v>
      </c>
      <c r="B285" s="256">
        <v>34159782315</v>
      </c>
      <c r="C285" s="256">
        <v>62281035474</v>
      </c>
      <c r="D285" s="256">
        <v>20102061046</v>
      </c>
      <c r="E285" s="256">
        <v>48229355948</v>
      </c>
      <c r="F285" s="256">
        <v>1865498400</v>
      </c>
      <c r="G285" s="256">
        <v>534441361</v>
      </c>
    </row>
    <row r="286" spans="1:7" s="257" customFormat="1" ht="33" x14ac:dyDescent="0.2">
      <c r="A286" s="260" t="s">
        <v>530</v>
      </c>
      <c r="B286" s="256">
        <v>1011864532907</v>
      </c>
      <c r="C286" s="256">
        <v>1330265904630</v>
      </c>
      <c r="D286" s="256">
        <v>776988282478</v>
      </c>
      <c r="E286" s="256">
        <v>946008961735</v>
      </c>
      <c r="F286" s="256">
        <v>83042565061</v>
      </c>
      <c r="G286" s="256">
        <v>18308360651</v>
      </c>
    </row>
    <row r="287" spans="1:7" s="257" customFormat="1" ht="16.5" x14ac:dyDescent="0.2">
      <c r="A287" s="252" t="s">
        <v>531</v>
      </c>
      <c r="B287" s="256">
        <v>21737942525</v>
      </c>
      <c r="C287" s="256">
        <v>26624696942</v>
      </c>
      <c r="D287" s="256">
        <v>3466122831</v>
      </c>
      <c r="E287" s="256">
        <v>7930686276</v>
      </c>
      <c r="F287" s="256">
        <v>10195388994</v>
      </c>
      <c r="G287" s="256">
        <v>71625779</v>
      </c>
    </row>
    <row r="288" spans="1:7" s="257" customFormat="1" ht="16.5" x14ac:dyDescent="0.2">
      <c r="A288" s="260" t="s">
        <v>532</v>
      </c>
      <c r="B288" s="256">
        <v>7510966504</v>
      </c>
      <c r="C288" s="256">
        <v>15366427665</v>
      </c>
      <c r="D288" s="256">
        <v>2406037123</v>
      </c>
      <c r="E288" s="256">
        <v>8051850893</v>
      </c>
      <c r="F288" s="256">
        <v>3203146406</v>
      </c>
      <c r="G288" s="256">
        <v>593665102</v>
      </c>
    </row>
    <row r="289" spans="1:7" s="257" customFormat="1" ht="16.5" x14ac:dyDescent="0.2">
      <c r="A289" s="252" t="s">
        <v>533</v>
      </c>
      <c r="B289" s="256">
        <v>12729159107</v>
      </c>
      <c r="C289" s="256">
        <v>17508400512</v>
      </c>
      <c r="D289" s="256">
        <v>4036542470</v>
      </c>
      <c r="E289" s="256">
        <v>9419070394</v>
      </c>
      <c r="F289" s="256">
        <v>1471048671</v>
      </c>
      <c r="G289" s="256">
        <v>646620657</v>
      </c>
    </row>
    <row r="290" spans="1:7" s="257" customFormat="1" ht="16.5" x14ac:dyDescent="0.2">
      <c r="A290" s="252" t="s">
        <v>534</v>
      </c>
      <c r="B290" s="256">
        <v>2521575616</v>
      </c>
      <c r="C290" s="256">
        <v>3480727107</v>
      </c>
      <c r="D290" s="256">
        <v>284553418</v>
      </c>
      <c r="E290" s="256">
        <v>1369539011</v>
      </c>
      <c r="F290" s="256">
        <v>543189292</v>
      </c>
      <c r="G290" s="256">
        <v>133972634</v>
      </c>
    </row>
    <row r="291" spans="1:7" s="257" customFormat="1" ht="16.5" x14ac:dyDescent="0.2">
      <c r="A291" s="252" t="s">
        <v>535</v>
      </c>
      <c r="B291" s="256">
        <v>4074143882</v>
      </c>
      <c r="C291" s="256">
        <v>4949275851</v>
      </c>
      <c r="D291" s="256">
        <v>376409856</v>
      </c>
      <c r="E291" s="256">
        <v>1456502766</v>
      </c>
      <c r="F291" s="256">
        <v>826737125</v>
      </c>
      <c r="G291" s="256">
        <v>122057578</v>
      </c>
    </row>
    <row r="292" spans="1:7" s="257" customFormat="1" ht="16.5" x14ac:dyDescent="0.2">
      <c r="A292" s="252" t="s">
        <v>222</v>
      </c>
      <c r="B292" s="256">
        <v>334668860333</v>
      </c>
      <c r="C292" s="256">
        <v>794675903614</v>
      </c>
      <c r="D292" s="256">
        <v>84613910328</v>
      </c>
      <c r="E292" s="256">
        <v>249990026516</v>
      </c>
      <c r="F292" s="256">
        <v>37605401974</v>
      </c>
      <c r="G292" s="256">
        <v>9179664907</v>
      </c>
    </row>
    <row r="293" spans="1:7" s="257" customFormat="1" ht="16.5" x14ac:dyDescent="0.2">
      <c r="A293" s="252" t="s">
        <v>584</v>
      </c>
      <c r="B293" s="256">
        <v>388590374</v>
      </c>
      <c r="C293" s="256">
        <v>875849109</v>
      </c>
      <c r="D293" s="256">
        <v>110628551</v>
      </c>
      <c r="E293" s="256">
        <v>156595691</v>
      </c>
      <c r="F293" s="256">
        <v>93395030</v>
      </c>
      <c r="G293" s="256">
        <v>1</v>
      </c>
    </row>
    <row r="294" spans="1:7" s="257" customFormat="1" ht="33" x14ac:dyDescent="0.2">
      <c r="A294" s="252" t="s">
        <v>585</v>
      </c>
      <c r="B294" s="256">
        <v>20324675928</v>
      </c>
      <c r="C294" s="256">
        <v>37550006595</v>
      </c>
      <c r="D294" s="256">
        <v>7182271948</v>
      </c>
      <c r="E294" s="256">
        <v>16873420298</v>
      </c>
      <c r="F294" s="256">
        <v>3253455566</v>
      </c>
      <c r="G294" s="256">
        <v>793555830</v>
      </c>
    </row>
    <row r="295" spans="1:7" s="257" customFormat="1" ht="16.5" x14ac:dyDescent="0.2">
      <c r="A295" s="264" t="s">
        <v>539</v>
      </c>
      <c r="B295" s="256">
        <v>15675191373</v>
      </c>
      <c r="C295" s="256">
        <v>22625191373</v>
      </c>
      <c r="D295" s="256">
        <v>330000000</v>
      </c>
      <c r="E295" s="256">
        <f>+D295</f>
        <v>330000000</v>
      </c>
      <c r="F295" s="256">
        <v>1310317691</v>
      </c>
      <c r="G295" s="256">
        <v>1856362</v>
      </c>
    </row>
    <row r="296" spans="1:7" s="257" customFormat="1" ht="16.5" x14ac:dyDescent="0.2">
      <c r="A296" s="252" t="s">
        <v>540</v>
      </c>
      <c r="B296" s="256">
        <v>351633333000</v>
      </c>
      <c r="C296" s="256">
        <v>1058781667000</v>
      </c>
      <c r="D296" s="256">
        <v>272114523000</v>
      </c>
      <c r="E296" s="256">
        <v>366471325000</v>
      </c>
      <c r="F296" s="256">
        <v>57454859000</v>
      </c>
      <c r="G296" s="256">
        <v>8102625000</v>
      </c>
    </row>
    <row r="297" spans="1:7" s="257" customFormat="1" ht="16.5" x14ac:dyDescent="0.2">
      <c r="A297" s="252" t="s">
        <v>541</v>
      </c>
      <c r="B297" s="256">
        <v>9318681799</v>
      </c>
      <c r="C297" s="256">
        <v>10604889235</v>
      </c>
      <c r="D297" s="256">
        <v>745772549</v>
      </c>
      <c r="E297" s="256">
        <v>1093337843</v>
      </c>
      <c r="F297" s="256">
        <v>835241262</v>
      </c>
      <c r="G297" s="256">
        <v>56691218</v>
      </c>
    </row>
    <row r="298" spans="1:7" s="257" customFormat="1" ht="16.5" x14ac:dyDescent="0.2">
      <c r="A298" s="252" t="s">
        <v>542</v>
      </c>
      <c r="B298" s="256">
        <v>1959802297</v>
      </c>
      <c r="C298" s="256">
        <v>1961442980</v>
      </c>
      <c r="D298" s="256">
        <v>76251555</v>
      </c>
      <c r="E298" s="256">
        <f>+D298</f>
        <v>76251555</v>
      </c>
      <c r="F298" s="256">
        <v>460473366</v>
      </c>
      <c r="G298" s="256">
        <v>1147839</v>
      </c>
    </row>
    <row r="299" spans="1:7" s="257" customFormat="1" ht="16.5" x14ac:dyDescent="0.2">
      <c r="A299" s="252" t="s">
        <v>543</v>
      </c>
      <c r="B299" s="256">
        <v>120025260459</v>
      </c>
      <c r="C299" s="256">
        <v>218052225821</v>
      </c>
      <c r="D299" s="256">
        <v>64271661245</v>
      </c>
      <c r="E299" s="256">
        <v>134801790205</v>
      </c>
      <c r="F299" s="256">
        <v>13814548113</v>
      </c>
      <c r="G299" s="256">
        <v>1820099771</v>
      </c>
    </row>
    <row r="300" spans="1:7" s="257" customFormat="1" ht="16.5" x14ac:dyDescent="0.2">
      <c r="A300" s="251" t="s">
        <v>544</v>
      </c>
      <c r="B300" s="256">
        <v>78241247582</v>
      </c>
      <c r="C300" s="256">
        <v>127729710063</v>
      </c>
      <c r="D300" s="256">
        <v>7485963545</v>
      </c>
      <c r="E300" s="256">
        <v>68374298790</v>
      </c>
      <c r="F300" s="256">
        <v>2621354437</v>
      </c>
      <c r="G300" s="256">
        <v>27348839</v>
      </c>
    </row>
    <row r="301" spans="1:7" s="257" customFormat="1" ht="16.5" x14ac:dyDescent="0.2">
      <c r="A301" s="252" t="s">
        <v>545</v>
      </c>
      <c r="B301" s="256">
        <v>66243631447</v>
      </c>
      <c r="C301" s="256">
        <v>91299528860</v>
      </c>
      <c r="D301" s="256">
        <v>32972176485</v>
      </c>
      <c r="E301" s="256">
        <v>55140597726</v>
      </c>
      <c r="F301" s="256">
        <v>4857598266</v>
      </c>
      <c r="G301" s="256">
        <v>1581255913</v>
      </c>
    </row>
    <row r="302" spans="1:7" s="257" customFormat="1" ht="33" x14ac:dyDescent="0.2">
      <c r="A302" s="252" t="s">
        <v>546</v>
      </c>
      <c r="B302" s="256">
        <v>53908410167</v>
      </c>
      <c r="C302" s="256">
        <v>202888103863</v>
      </c>
      <c r="D302" s="256">
        <v>35731393959</v>
      </c>
      <c r="E302" s="256">
        <v>95972276486</v>
      </c>
      <c r="F302" s="256">
        <v>9619081672</v>
      </c>
      <c r="G302" s="256">
        <v>6638257987</v>
      </c>
    </row>
    <row r="303" spans="1:7" s="257" customFormat="1" ht="16.5" x14ac:dyDescent="0.2">
      <c r="A303" s="252" t="s">
        <v>547</v>
      </c>
      <c r="B303" s="256">
        <v>694511721270</v>
      </c>
      <c r="C303" s="256">
        <v>1060701756540</v>
      </c>
      <c r="D303" s="256">
        <v>539219350930</v>
      </c>
      <c r="E303" s="256">
        <v>798773458140</v>
      </c>
      <c r="F303" s="256">
        <v>4033229630</v>
      </c>
      <c r="G303" s="256">
        <v>27537722280</v>
      </c>
    </row>
    <row r="304" spans="1:7" s="257" customFormat="1" ht="16.5" x14ac:dyDescent="0.2">
      <c r="A304" s="252" t="s">
        <v>548</v>
      </c>
      <c r="B304" s="256">
        <v>21040353000</v>
      </c>
      <c r="C304" s="256">
        <v>37725272000</v>
      </c>
      <c r="D304" s="256">
        <v>5020073000</v>
      </c>
      <c r="E304" s="256">
        <v>8253666000</v>
      </c>
      <c r="F304" s="256">
        <v>2874434000</v>
      </c>
      <c r="G304" s="256">
        <v>286572000</v>
      </c>
    </row>
    <row r="305" spans="1:7" s="257" customFormat="1" ht="16.5" x14ac:dyDescent="0.2">
      <c r="A305" s="251" t="s">
        <v>549</v>
      </c>
      <c r="B305" s="256">
        <v>12574254399</v>
      </c>
      <c r="C305" s="256">
        <v>15629711644</v>
      </c>
      <c r="D305" s="256">
        <v>3857860522</v>
      </c>
      <c r="E305" s="256">
        <v>5615220522</v>
      </c>
      <c r="F305" s="256">
        <v>2343435320</v>
      </c>
      <c r="G305" s="256">
        <v>378501555</v>
      </c>
    </row>
    <row r="306" spans="1:7" s="257" customFormat="1" ht="16.5" x14ac:dyDescent="0.2">
      <c r="A306" s="252" t="s">
        <v>550</v>
      </c>
      <c r="B306" s="256">
        <v>11451012901</v>
      </c>
      <c r="C306" s="256">
        <v>11760766581</v>
      </c>
      <c r="D306" s="256">
        <v>2021237596</v>
      </c>
      <c r="E306" s="256">
        <v>3346029551</v>
      </c>
      <c r="F306" s="256">
        <v>2535077849</v>
      </c>
      <c r="G306" s="256">
        <v>211743557</v>
      </c>
    </row>
    <row r="307" spans="1:7" s="257" customFormat="1" ht="16.5" x14ac:dyDescent="0.2">
      <c r="A307" s="252" t="s">
        <v>551</v>
      </c>
      <c r="B307" s="256">
        <v>7632471446</v>
      </c>
      <c r="C307" s="256">
        <v>10067844661</v>
      </c>
      <c r="D307" s="256">
        <v>915130427</v>
      </c>
      <c r="E307" s="256">
        <v>2727112673</v>
      </c>
      <c r="F307" s="256">
        <v>1268768173</v>
      </c>
      <c r="G307" s="256">
        <v>174428330</v>
      </c>
    </row>
    <row r="308" spans="1:7" s="257" customFormat="1" ht="16.5" x14ac:dyDescent="0.2">
      <c r="A308" s="252" t="s">
        <v>552</v>
      </c>
      <c r="B308" s="256">
        <v>151464060</v>
      </c>
      <c r="C308" s="256">
        <v>152068160</v>
      </c>
      <c r="D308" s="256">
        <v>14826300</v>
      </c>
      <c r="E308" s="256">
        <f>+D308</f>
        <v>14826300</v>
      </c>
      <c r="F308" s="256">
        <v>143098822</v>
      </c>
      <c r="G308" s="256">
        <v>0</v>
      </c>
    </row>
    <row r="309" spans="1:7" s="257" customFormat="1" ht="16.5" x14ac:dyDescent="0.2">
      <c r="A309" s="252" t="s">
        <v>586</v>
      </c>
      <c r="B309" s="256">
        <v>91924151000</v>
      </c>
      <c r="C309" s="256">
        <v>148937884000</v>
      </c>
      <c r="D309" s="256">
        <v>56335634000</v>
      </c>
      <c r="E309" s="256">
        <v>74335488000</v>
      </c>
      <c r="F309" s="256">
        <v>11413735000</v>
      </c>
      <c r="G309" s="256">
        <v>5589543</v>
      </c>
    </row>
    <row r="310" spans="1:7" s="257" customFormat="1" ht="33" x14ac:dyDescent="0.2">
      <c r="A310" s="252" t="s">
        <v>553</v>
      </c>
      <c r="B310" s="256">
        <v>1760447203208</v>
      </c>
      <c r="C310" s="256">
        <v>3115400970445</v>
      </c>
      <c r="D310" s="256">
        <v>1644916588935</v>
      </c>
      <c r="E310" s="256">
        <v>2205932116997</v>
      </c>
      <c r="F310" s="256">
        <v>151877291852</v>
      </c>
      <c r="G310" s="256">
        <v>66787562865</v>
      </c>
    </row>
    <row r="311" spans="1:7" s="257" customFormat="1" ht="16.5" x14ac:dyDescent="0.2">
      <c r="A311" s="251" t="s">
        <v>554</v>
      </c>
      <c r="B311" s="256">
        <v>54031077477</v>
      </c>
      <c r="C311" s="256">
        <v>54105956987</v>
      </c>
      <c r="D311" s="256">
        <v>27392031643</v>
      </c>
      <c r="E311" s="256">
        <v>27504856856</v>
      </c>
      <c r="F311" s="256">
        <v>1745363231</v>
      </c>
      <c r="G311" s="256">
        <v>34855999</v>
      </c>
    </row>
    <row r="312" spans="1:7" s="257" customFormat="1" ht="16.5" x14ac:dyDescent="0.2">
      <c r="A312" s="252" t="s">
        <v>555</v>
      </c>
      <c r="B312" s="256">
        <v>31355393354</v>
      </c>
      <c r="C312" s="256">
        <v>31885204664</v>
      </c>
      <c r="D312" s="256">
        <v>6161508632</v>
      </c>
      <c r="E312" s="256">
        <v>13717370632</v>
      </c>
      <c r="F312" s="256">
        <v>215340143</v>
      </c>
      <c r="G312" s="256">
        <v>3410000</v>
      </c>
    </row>
    <row r="313" spans="1:7" s="257" customFormat="1" ht="16.5" x14ac:dyDescent="0.2">
      <c r="A313" s="252" t="s">
        <v>556</v>
      </c>
      <c r="B313" s="256">
        <v>3299305277</v>
      </c>
      <c r="C313" s="256">
        <v>9730303781</v>
      </c>
      <c r="D313" s="256">
        <v>761453926</v>
      </c>
      <c r="E313" s="256">
        <v>3362720988</v>
      </c>
      <c r="F313" s="256">
        <v>995167613</v>
      </c>
      <c r="G313" s="256">
        <v>142507746</v>
      </c>
    </row>
    <row r="314" spans="1:7" s="257" customFormat="1" ht="16.5" x14ac:dyDescent="0.2">
      <c r="A314" s="251" t="s">
        <v>587</v>
      </c>
      <c r="B314" s="256">
        <v>32111381000</v>
      </c>
      <c r="C314" s="256">
        <v>66650408000</v>
      </c>
      <c r="D314" s="256">
        <v>9730927000</v>
      </c>
      <c r="E314" s="256">
        <v>30546513000</v>
      </c>
      <c r="F314" s="256">
        <v>1835577000</v>
      </c>
      <c r="G314" s="256">
        <v>1081507000</v>
      </c>
    </row>
    <row r="315" spans="1:7" s="257" customFormat="1" ht="16.5" x14ac:dyDescent="0.2">
      <c r="A315" s="252" t="s">
        <v>538</v>
      </c>
      <c r="B315" s="256">
        <v>11919290102</v>
      </c>
      <c r="C315" s="256">
        <v>17650515206</v>
      </c>
      <c r="D315" s="256">
        <v>1806552594</v>
      </c>
      <c r="E315" s="256">
        <v>10331392289</v>
      </c>
      <c r="F315" s="256">
        <v>2021726257</v>
      </c>
      <c r="G315" s="256">
        <v>182883524</v>
      </c>
    </row>
    <row r="316" spans="1:7" s="257" customFormat="1" ht="16.5" x14ac:dyDescent="0.2">
      <c r="A316" s="252" t="s">
        <v>588</v>
      </c>
      <c r="B316" s="256">
        <v>3177642705</v>
      </c>
      <c r="C316" s="256">
        <v>7429665134</v>
      </c>
      <c r="D316" s="256">
        <v>1773324438</v>
      </c>
      <c r="E316" s="256">
        <v>5143171043</v>
      </c>
      <c r="F316" s="256">
        <v>394044768</v>
      </c>
      <c r="G316" s="256">
        <v>245786168</v>
      </c>
    </row>
    <row r="317" spans="1:7" s="257" customFormat="1" ht="16.5" x14ac:dyDescent="0.2">
      <c r="A317" s="251" t="s">
        <v>589</v>
      </c>
      <c r="B317" s="256">
        <v>66305501537</v>
      </c>
      <c r="C317" s="256">
        <v>102144414944</v>
      </c>
      <c r="D317" s="256">
        <v>54420655903</v>
      </c>
      <c r="E317" s="256">
        <v>71069963955</v>
      </c>
      <c r="F317" s="256">
        <v>6215562644</v>
      </c>
      <c r="G317" s="256">
        <v>4114352466</v>
      </c>
    </row>
    <row r="318" spans="1:7" s="257" customFormat="1" ht="16.5" x14ac:dyDescent="0.2">
      <c r="A318" s="252" t="s">
        <v>590</v>
      </c>
      <c r="B318" s="256">
        <v>1813083000</v>
      </c>
      <c r="C318" s="256">
        <v>1890916000</v>
      </c>
      <c r="D318" s="256">
        <v>722185000</v>
      </c>
      <c r="E318" s="256">
        <f>+D318</f>
        <v>722185000</v>
      </c>
      <c r="F318" s="256">
        <v>372961000</v>
      </c>
      <c r="G318" s="256">
        <v>241000</v>
      </c>
    </row>
    <row r="319" spans="1:7" s="257" customFormat="1" ht="16.5" x14ac:dyDescent="0.2">
      <c r="A319" s="252" t="s">
        <v>591</v>
      </c>
      <c r="B319" s="256">
        <v>7581734000</v>
      </c>
      <c r="C319" s="256">
        <v>9327376000</v>
      </c>
      <c r="D319" s="256">
        <v>562951000</v>
      </c>
      <c r="E319" s="256">
        <v>4582834000</v>
      </c>
      <c r="F319" s="256">
        <v>1979803000</v>
      </c>
      <c r="G319" s="256">
        <v>124517000</v>
      </c>
    </row>
    <row r="320" spans="1:7" s="257" customFormat="1" ht="16.5" x14ac:dyDescent="0.2">
      <c r="A320" s="252" t="s">
        <v>592</v>
      </c>
      <c r="B320" s="256">
        <v>2626485220</v>
      </c>
      <c r="C320" s="256">
        <v>2847041020</v>
      </c>
      <c r="D320" s="256">
        <v>753208917</v>
      </c>
      <c r="E320" s="256">
        <v>1637940664</v>
      </c>
      <c r="F320" s="256">
        <v>612835666</v>
      </c>
      <c r="G320" s="256">
        <v>13541489</v>
      </c>
    </row>
    <row r="321" spans="1:7" s="257" customFormat="1" ht="16.5" x14ac:dyDescent="0.2">
      <c r="A321" s="251" t="s">
        <v>593</v>
      </c>
      <c r="B321" s="256">
        <v>135017621743</v>
      </c>
      <c r="C321" s="234">
        <v>171531298278</v>
      </c>
      <c r="D321" s="234">
        <v>42733975435</v>
      </c>
      <c r="E321" s="234">
        <v>123859975951</v>
      </c>
      <c r="F321" s="234">
        <v>5091593753</v>
      </c>
      <c r="G321" s="234">
        <v>4085250132</v>
      </c>
    </row>
    <row r="322" spans="1:7" s="257" customFormat="1" ht="33" x14ac:dyDescent="0.2">
      <c r="A322" s="252" t="s">
        <v>594</v>
      </c>
      <c r="B322" s="256">
        <v>496858978650</v>
      </c>
      <c r="C322" s="234">
        <v>781860712052</v>
      </c>
      <c r="D322" s="234">
        <v>97772478978</v>
      </c>
      <c r="E322" s="234">
        <v>381413057278</v>
      </c>
      <c r="F322" s="234">
        <v>86185861868</v>
      </c>
      <c r="G322" s="234">
        <v>19328876505</v>
      </c>
    </row>
    <row r="323" spans="1:7" s="257" customFormat="1" ht="16.5" x14ac:dyDescent="0.2">
      <c r="A323" s="251" t="s">
        <v>595</v>
      </c>
      <c r="B323" s="256">
        <v>125950737000</v>
      </c>
      <c r="C323" s="256">
        <v>306023121000</v>
      </c>
      <c r="D323" s="256">
        <v>55794569000</v>
      </c>
      <c r="E323" s="256">
        <v>182058901000</v>
      </c>
      <c r="F323" s="256">
        <v>26941160000</v>
      </c>
      <c r="G323" s="256">
        <v>2810852000</v>
      </c>
    </row>
    <row r="324" spans="1:7" s="257" customFormat="1" ht="16.5" x14ac:dyDescent="0.2">
      <c r="A324" s="252" t="s">
        <v>557</v>
      </c>
      <c r="B324" s="256">
        <v>602862632000</v>
      </c>
      <c r="C324" s="256">
        <v>1221438563000</v>
      </c>
      <c r="D324" s="256">
        <v>90838895000</v>
      </c>
      <c r="E324" s="256">
        <v>313672256000</v>
      </c>
      <c r="F324" s="258">
        <v>12260354000</v>
      </c>
      <c r="G324" s="258">
        <v>1685385836</v>
      </c>
    </row>
    <row r="325" spans="1:7" s="257" customFormat="1" ht="16.5" x14ac:dyDescent="0.2">
      <c r="A325" s="251" t="s">
        <v>558</v>
      </c>
      <c r="B325" s="256">
        <v>105530450000</v>
      </c>
      <c r="C325" s="256">
        <v>177709159000</v>
      </c>
      <c r="D325" s="256">
        <v>26597174000</v>
      </c>
      <c r="E325" s="256">
        <v>86264821000</v>
      </c>
      <c r="F325" s="256">
        <v>10965783000</v>
      </c>
      <c r="G325" s="256">
        <v>851217000</v>
      </c>
    </row>
    <row r="326" spans="1:7" s="257" customFormat="1" ht="33" x14ac:dyDescent="0.2">
      <c r="A326" s="264" t="s">
        <v>596</v>
      </c>
      <c r="B326" s="256">
        <v>2295678127</v>
      </c>
      <c r="C326" s="256">
        <f>+B326</f>
        <v>2295678127</v>
      </c>
      <c r="D326" s="256">
        <v>348900763</v>
      </c>
      <c r="E326" s="256">
        <v>770266924</v>
      </c>
      <c r="F326" s="256">
        <v>655872197</v>
      </c>
      <c r="G326" s="256">
        <v>0</v>
      </c>
    </row>
    <row r="327" spans="1:7" s="257" customFormat="1" ht="16.5" x14ac:dyDescent="0.2">
      <c r="A327" s="251" t="s">
        <v>597</v>
      </c>
      <c r="B327" s="256">
        <v>315120631268</v>
      </c>
      <c r="C327" s="256">
        <v>543278488364</v>
      </c>
      <c r="D327" s="256">
        <v>167620420272</v>
      </c>
      <c r="E327" s="256">
        <v>372815514726</v>
      </c>
      <c r="F327" s="256">
        <v>15439009067</v>
      </c>
      <c r="G327" s="256">
        <v>11706907316</v>
      </c>
    </row>
    <row r="328" spans="1:7" s="257" customFormat="1" ht="16.5" x14ac:dyDescent="0.2">
      <c r="A328" s="251" t="s">
        <v>559</v>
      </c>
      <c r="B328" s="256">
        <v>100770574941</v>
      </c>
      <c r="C328" s="256">
        <v>110372836990</v>
      </c>
      <c r="D328" s="256">
        <v>34706671910</v>
      </c>
      <c r="E328" s="256">
        <v>71961267307</v>
      </c>
      <c r="F328" s="256">
        <v>12667769546</v>
      </c>
      <c r="G328" s="256">
        <v>4386783624</v>
      </c>
    </row>
    <row r="329" spans="1:7" s="257" customFormat="1" ht="16.5" x14ac:dyDescent="0.2">
      <c r="A329" s="252" t="s">
        <v>560</v>
      </c>
      <c r="B329" s="256">
        <v>9390500530</v>
      </c>
      <c r="C329" s="256">
        <v>14320336874</v>
      </c>
      <c r="D329" s="256">
        <v>2752492796</v>
      </c>
      <c r="E329" s="256">
        <v>8377689888</v>
      </c>
      <c r="F329" s="256">
        <v>2976922996</v>
      </c>
      <c r="G329" s="256">
        <v>530214099</v>
      </c>
    </row>
    <row r="330" spans="1:7" s="257" customFormat="1" ht="16.5" x14ac:dyDescent="0.2">
      <c r="A330" s="252" t="s">
        <v>561</v>
      </c>
      <c r="B330" s="256">
        <v>6358022883</v>
      </c>
      <c r="C330" s="256">
        <v>8825805702</v>
      </c>
      <c r="D330" s="256">
        <v>2153085818</v>
      </c>
      <c r="E330" s="256">
        <v>4939292735</v>
      </c>
      <c r="F330" s="256">
        <v>503003184</v>
      </c>
      <c r="G330" s="256">
        <v>21117099</v>
      </c>
    </row>
    <row r="331" spans="1:7" s="257" customFormat="1" ht="16.5" x14ac:dyDescent="0.2">
      <c r="A331" s="252" t="s">
        <v>562</v>
      </c>
      <c r="B331" s="256">
        <v>870789423</v>
      </c>
      <c r="C331" s="256">
        <v>1124189423</v>
      </c>
      <c r="D331" s="256">
        <v>83688021</v>
      </c>
      <c r="E331" s="256">
        <v>288580833</v>
      </c>
      <c r="F331" s="256">
        <v>467074516</v>
      </c>
      <c r="G331" s="256">
        <v>55932711</v>
      </c>
    </row>
    <row r="332" spans="1:7" s="257" customFormat="1" ht="16.5" x14ac:dyDescent="0.2">
      <c r="A332" s="252" t="s">
        <v>598</v>
      </c>
      <c r="B332" s="256">
        <v>53199181958</v>
      </c>
      <c r="C332" s="256">
        <v>311761028501</v>
      </c>
      <c r="D332" s="256">
        <v>20696361955</v>
      </c>
      <c r="E332" s="256">
        <v>68642587160</v>
      </c>
      <c r="F332" s="256">
        <v>10319400025</v>
      </c>
      <c r="G332" s="256">
        <v>4361412118</v>
      </c>
    </row>
    <row r="333" spans="1:7" s="257" customFormat="1" ht="16.5" x14ac:dyDescent="0.2">
      <c r="A333" s="252" t="s">
        <v>563</v>
      </c>
      <c r="B333" s="256">
        <v>486667190867</v>
      </c>
      <c r="C333" s="256">
        <v>1908965170327</v>
      </c>
      <c r="D333" s="256">
        <v>350751874184</v>
      </c>
      <c r="E333" s="256">
        <v>845091437313</v>
      </c>
      <c r="F333" s="256">
        <v>73667163134</v>
      </c>
      <c r="G333" s="256">
        <v>22275576796</v>
      </c>
    </row>
    <row r="334" spans="1:7" s="257" customFormat="1" ht="16.5" x14ac:dyDescent="0.2">
      <c r="A334" s="251" t="s">
        <v>564</v>
      </c>
      <c r="B334" s="256">
        <v>231857344801</v>
      </c>
      <c r="C334" s="256">
        <v>411109702022</v>
      </c>
      <c r="D334" s="256">
        <v>49632709586</v>
      </c>
      <c r="E334" s="256">
        <v>126660057846</v>
      </c>
      <c r="F334" s="256">
        <v>23280992461</v>
      </c>
      <c r="G334" s="256">
        <v>6815957043</v>
      </c>
    </row>
    <row r="335" spans="1:7" s="257" customFormat="1" ht="33" x14ac:dyDescent="0.2">
      <c r="A335" s="252" t="s">
        <v>565</v>
      </c>
      <c r="B335" s="256">
        <v>3666733732</v>
      </c>
      <c r="C335" s="256">
        <v>13661582505</v>
      </c>
      <c r="D335" s="256">
        <v>96195850</v>
      </c>
      <c r="E335" s="256">
        <v>5065005781</v>
      </c>
      <c r="F335" s="256">
        <v>481833215</v>
      </c>
      <c r="G335" s="256">
        <v>500000</v>
      </c>
    </row>
    <row r="336" spans="1:7" s="257" customFormat="1" ht="16.5" x14ac:dyDescent="0.2">
      <c r="A336" s="251" t="s">
        <v>568</v>
      </c>
      <c r="B336" s="256">
        <v>49734034325</v>
      </c>
      <c r="C336" s="256">
        <v>107338076638</v>
      </c>
      <c r="D336" s="256">
        <v>3013452767</v>
      </c>
      <c r="E336" s="256">
        <v>24892808699</v>
      </c>
      <c r="F336" s="256">
        <v>5804641386</v>
      </c>
      <c r="G336" s="256">
        <v>83504729</v>
      </c>
    </row>
    <row r="337" spans="1:7" s="257" customFormat="1" ht="16.5" x14ac:dyDescent="0.2">
      <c r="A337" s="252" t="s">
        <v>566</v>
      </c>
      <c r="B337" s="256">
        <v>121885774</v>
      </c>
      <c r="C337" s="256">
        <v>741561294</v>
      </c>
      <c r="D337" s="256">
        <v>6513147</v>
      </c>
      <c r="E337" s="256">
        <v>370628004</v>
      </c>
      <c r="F337" s="256">
        <v>0</v>
      </c>
      <c r="G337" s="256">
        <v>0</v>
      </c>
    </row>
    <row r="338" spans="1:7" s="257" customFormat="1" ht="16.5" x14ac:dyDescent="0.2">
      <c r="A338" s="252" t="s">
        <v>567</v>
      </c>
      <c r="B338" s="256">
        <v>394128889000</v>
      </c>
      <c r="C338" s="256">
        <v>1491064801000</v>
      </c>
      <c r="D338" s="256">
        <v>140080983000</v>
      </c>
      <c r="E338" s="256">
        <v>599760750000</v>
      </c>
      <c r="F338" s="256">
        <v>50832164000</v>
      </c>
      <c r="G338" s="256">
        <v>3877615000</v>
      </c>
    </row>
    <row r="339" spans="1:7" s="257" customFormat="1" ht="16.5" x14ac:dyDescent="0.2">
      <c r="A339" s="252" t="s">
        <v>569</v>
      </c>
      <c r="B339" s="256">
        <v>4375364311</v>
      </c>
      <c r="C339" s="256">
        <v>10382273674</v>
      </c>
      <c r="D339" s="256">
        <v>1156594417</v>
      </c>
      <c r="E339" s="256">
        <v>5736392654</v>
      </c>
      <c r="F339" s="256">
        <v>1366225613</v>
      </c>
      <c r="G339" s="256">
        <v>110272608</v>
      </c>
    </row>
    <row r="340" spans="1:7" s="257" customFormat="1" ht="16.5" x14ac:dyDescent="0.2">
      <c r="A340" s="286" t="s">
        <v>570</v>
      </c>
      <c r="B340" s="256">
        <v>4833313924</v>
      </c>
      <c r="C340" s="256">
        <v>7875626209</v>
      </c>
      <c r="D340" s="256">
        <v>546552691</v>
      </c>
      <c r="E340" s="256">
        <v>2884335122</v>
      </c>
      <c r="F340" s="256">
        <v>912328718</v>
      </c>
      <c r="G340" s="256">
        <v>1500000</v>
      </c>
    </row>
    <row r="341" spans="1:7" s="257" customFormat="1" ht="16.5" x14ac:dyDescent="0.2">
      <c r="A341" s="252" t="s">
        <v>571</v>
      </c>
      <c r="B341" s="256">
        <v>2537403409</v>
      </c>
      <c r="C341" s="256">
        <v>3613708206</v>
      </c>
      <c r="D341" s="256">
        <v>479585581</v>
      </c>
      <c r="E341" s="256">
        <v>1616042978</v>
      </c>
      <c r="F341" s="256">
        <v>456874899</v>
      </c>
      <c r="G341" s="256">
        <v>56236150</v>
      </c>
    </row>
    <row r="342" spans="1:7" s="257" customFormat="1" x14ac:dyDescent="0.2">
      <c r="A342" s="287" t="s">
        <v>572</v>
      </c>
      <c r="B342" s="287">
        <v>92210018302</v>
      </c>
      <c r="C342" s="287">
        <v>94420009743</v>
      </c>
      <c r="D342" s="287">
        <v>34140838840</v>
      </c>
      <c r="E342" s="287">
        <v>34140838840</v>
      </c>
      <c r="F342" s="287">
        <v>2489239647</v>
      </c>
      <c r="G342" s="287">
        <v>5222098099</v>
      </c>
    </row>
    <row r="343" spans="1:7" s="257" customFormat="1" x14ac:dyDescent="0.2">
      <c r="A343" s="287" t="s">
        <v>573</v>
      </c>
      <c r="B343" s="287">
        <v>10279471308</v>
      </c>
      <c r="C343" s="287">
        <v>27122575080</v>
      </c>
      <c r="D343" s="287">
        <v>4092703017</v>
      </c>
      <c r="E343" s="287">
        <v>15523985135</v>
      </c>
      <c r="F343" s="287">
        <v>1996747722</v>
      </c>
      <c r="G343" s="287">
        <v>1071752026</v>
      </c>
    </row>
    <row r="344" spans="1:7" s="257" customFormat="1" ht="33" x14ac:dyDescent="0.2">
      <c r="A344" s="252" t="s">
        <v>574</v>
      </c>
      <c r="B344" s="256">
        <v>290761927000</v>
      </c>
      <c r="C344" s="256">
        <v>839390986000</v>
      </c>
      <c r="D344" s="256">
        <v>164104562000</v>
      </c>
      <c r="E344" s="256">
        <v>182984498000</v>
      </c>
      <c r="F344" s="256">
        <v>77434830000</v>
      </c>
      <c r="G344" s="256">
        <v>1950187000</v>
      </c>
    </row>
    <row r="345" spans="1:7" s="257" customFormat="1" x14ac:dyDescent="0.2">
      <c r="A345" s="288" t="s">
        <v>599</v>
      </c>
      <c r="B345" s="287">
        <v>5764847795</v>
      </c>
      <c r="C345" s="287">
        <v>10697899225</v>
      </c>
      <c r="D345" s="287">
        <v>2954669233</v>
      </c>
      <c r="E345" s="287">
        <v>4112213210</v>
      </c>
      <c r="F345" s="287">
        <v>1252480904</v>
      </c>
      <c r="G345" s="287">
        <v>170192593</v>
      </c>
    </row>
    <row r="346" spans="1:7" s="257" customFormat="1" ht="16.5" x14ac:dyDescent="0.2">
      <c r="A346" s="252" t="s">
        <v>575</v>
      </c>
      <c r="B346" s="256">
        <v>7092081516</v>
      </c>
      <c r="C346" s="256">
        <v>13037355389</v>
      </c>
      <c r="D346" s="256">
        <v>1797013280</v>
      </c>
      <c r="E346" s="256">
        <v>4248976354</v>
      </c>
      <c r="F346" s="256">
        <v>509855897</v>
      </c>
      <c r="G346" s="256">
        <v>135113816</v>
      </c>
    </row>
    <row r="347" spans="1:7" s="257" customFormat="1" ht="16.5" x14ac:dyDescent="0.2">
      <c r="A347" s="252" t="s">
        <v>576</v>
      </c>
      <c r="B347" s="256">
        <v>56272924150</v>
      </c>
      <c r="C347" s="256">
        <v>65341159673</v>
      </c>
      <c r="D347" s="256">
        <v>5928263213</v>
      </c>
      <c r="E347" s="256">
        <v>28780814798</v>
      </c>
      <c r="F347" s="256">
        <v>1977528434</v>
      </c>
      <c r="G347" s="256">
        <v>32950</v>
      </c>
    </row>
    <row r="348" spans="1:7" s="257" customFormat="1" ht="16.5" x14ac:dyDescent="0.2">
      <c r="A348" s="251" t="s">
        <v>600</v>
      </c>
      <c r="B348" s="256">
        <v>132276555860</v>
      </c>
      <c r="C348" s="256">
        <v>288671503372</v>
      </c>
      <c r="D348" s="256">
        <v>38949212913</v>
      </c>
      <c r="E348" s="256">
        <v>152538802016</v>
      </c>
      <c r="F348" s="256">
        <v>21450353754</v>
      </c>
      <c r="G348" s="256">
        <v>8526562360</v>
      </c>
    </row>
    <row r="349" spans="1:7" s="257" customFormat="1" ht="16.5" x14ac:dyDescent="0.2">
      <c r="A349" s="252" t="s">
        <v>601</v>
      </c>
      <c r="B349" s="256">
        <v>3118350903</v>
      </c>
      <c r="C349" s="256">
        <v>7079734577</v>
      </c>
      <c r="D349" s="256">
        <v>356201396</v>
      </c>
      <c r="E349" s="256">
        <v>2041525278</v>
      </c>
      <c r="F349" s="256">
        <v>573022122</v>
      </c>
      <c r="G349" s="256">
        <v>83716244</v>
      </c>
    </row>
    <row r="350" spans="1:7" s="257" customFormat="1" x14ac:dyDescent="0.2">
      <c r="A350" s="285" t="s">
        <v>577</v>
      </c>
      <c r="B350" s="256">
        <v>20405185000</v>
      </c>
      <c r="C350" s="256">
        <v>29540745000</v>
      </c>
      <c r="D350" s="256">
        <v>5020229000</v>
      </c>
      <c r="E350" s="256">
        <v>18055550000</v>
      </c>
      <c r="F350" s="256">
        <v>1674558000</v>
      </c>
      <c r="G350" s="256">
        <v>489919000</v>
      </c>
    </row>
    <row r="351" spans="1:7" s="257" customFormat="1" ht="16.5" x14ac:dyDescent="0.2">
      <c r="A351" s="252" t="s">
        <v>602</v>
      </c>
      <c r="B351" s="256">
        <v>1543789275</v>
      </c>
      <c r="C351" s="256">
        <v>5558734303</v>
      </c>
      <c r="D351" s="256">
        <v>902623373</v>
      </c>
      <c r="E351" s="256">
        <v>3304950585</v>
      </c>
      <c r="F351" s="256">
        <v>1203342284</v>
      </c>
      <c r="G351" s="256">
        <v>122803194</v>
      </c>
    </row>
    <row r="352" spans="1:7" s="257" customFormat="1" ht="16.5" x14ac:dyDescent="0.2">
      <c r="A352" s="251" t="s">
        <v>603</v>
      </c>
      <c r="B352" s="256">
        <v>51730866000</v>
      </c>
      <c r="C352" s="256">
        <v>56370700000</v>
      </c>
      <c r="D352" s="256">
        <v>7445068000</v>
      </c>
      <c r="E352" s="256">
        <v>47487413000</v>
      </c>
      <c r="F352" s="256">
        <v>78334000</v>
      </c>
      <c r="G352" s="256">
        <v>22165000</v>
      </c>
    </row>
    <row r="353" spans="1:7" s="257" customFormat="1" ht="16.5" x14ac:dyDescent="0.2">
      <c r="A353" s="252" t="s">
        <v>153</v>
      </c>
      <c r="B353" s="256">
        <v>7828006000</v>
      </c>
      <c r="C353" s="256">
        <v>13116804000</v>
      </c>
      <c r="D353" s="256">
        <v>1102639000</v>
      </c>
      <c r="E353" s="256">
        <v>1252432000</v>
      </c>
      <c r="F353" s="256">
        <v>613054000</v>
      </c>
      <c r="G353" s="256">
        <v>1000</v>
      </c>
    </row>
    <row r="354" spans="1:7" s="257" customFormat="1" ht="16.5" x14ac:dyDescent="0.2">
      <c r="A354" s="252" t="s">
        <v>604</v>
      </c>
      <c r="B354" s="256">
        <v>1422745700</v>
      </c>
      <c r="C354" s="256">
        <f>+B354</f>
        <v>1422745700</v>
      </c>
      <c r="D354" s="256">
        <v>59065138</v>
      </c>
      <c r="E354" s="256">
        <f>+D354</f>
        <v>59065138</v>
      </c>
      <c r="F354" s="256">
        <v>384800000</v>
      </c>
      <c r="G354" s="256">
        <v>50000000</v>
      </c>
    </row>
    <row r="355" spans="1:7" s="257" customFormat="1" ht="16.5" x14ac:dyDescent="0.2">
      <c r="A355" s="252" t="s">
        <v>605</v>
      </c>
      <c r="B355" s="256">
        <v>5554017574</v>
      </c>
      <c r="C355" s="256">
        <v>7757739398</v>
      </c>
      <c r="D355" s="256">
        <v>1129034465</v>
      </c>
      <c r="E355" s="256">
        <v>4826890136</v>
      </c>
      <c r="F355" s="256">
        <v>1398158323</v>
      </c>
      <c r="G355" s="256">
        <v>165085237</v>
      </c>
    </row>
    <row r="356" spans="1:7" s="257" customFormat="1" ht="16.5" x14ac:dyDescent="0.2">
      <c r="A356" s="246" t="s">
        <v>578</v>
      </c>
      <c r="B356" s="256">
        <v>55627812486</v>
      </c>
      <c r="C356" s="256">
        <v>73935811615</v>
      </c>
      <c r="D356" s="256">
        <v>8325702602</v>
      </c>
      <c r="E356" s="256">
        <v>43861216959</v>
      </c>
      <c r="F356" s="256">
        <v>17822436877</v>
      </c>
      <c r="G356" s="256">
        <v>2654547251</v>
      </c>
    </row>
    <row r="357" spans="1:7" s="257" customFormat="1" ht="16.5" x14ac:dyDescent="0.2">
      <c r="A357" s="248" t="s">
        <v>579</v>
      </c>
      <c r="B357" s="256">
        <v>111978227476</v>
      </c>
      <c r="C357" s="256">
        <v>121783955706</v>
      </c>
      <c r="D357" s="256">
        <v>61117912924</v>
      </c>
      <c r="E357" s="256">
        <v>61668502811</v>
      </c>
      <c r="F357" s="256">
        <v>1780689851</v>
      </c>
      <c r="G357" s="256">
        <v>37831743</v>
      </c>
    </row>
    <row r="358" spans="1:7" s="257" customFormat="1" ht="16.5" x14ac:dyDescent="0.2">
      <c r="A358" s="246" t="s">
        <v>580</v>
      </c>
      <c r="B358" s="256">
        <v>76130314543</v>
      </c>
      <c r="C358" s="256">
        <v>203133047552</v>
      </c>
      <c r="D358" s="256">
        <v>15521673696</v>
      </c>
      <c r="E358" s="256">
        <v>146978831380</v>
      </c>
      <c r="F358" s="256">
        <v>24925260996</v>
      </c>
      <c r="G358" s="256">
        <v>1369931326</v>
      </c>
    </row>
    <row r="359" spans="1:7" s="257" customFormat="1" ht="16.5" x14ac:dyDescent="0.2">
      <c r="A359" s="252" t="s">
        <v>212</v>
      </c>
      <c r="B359" s="234">
        <v>36413462209.900002</v>
      </c>
      <c r="C359" s="234">
        <v>40793501745.879997</v>
      </c>
      <c r="D359" s="234">
        <v>13172884175.15</v>
      </c>
      <c r="E359" s="234">
        <v>13349177864.959999</v>
      </c>
      <c r="F359" s="234">
        <v>12282762182.379999</v>
      </c>
      <c r="G359" s="234">
        <v>77527998.769999996</v>
      </c>
    </row>
    <row r="360" spans="1:7" s="257" customFormat="1" ht="16.5" x14ac:dyDescent="0.2">
      <c r="A360" s="252" t="s">
        <v>606</v>
      </c>
      <c r="B360" s="256">
        <v>521350644000</v>
      </c>
      <c r="C360" s="256">
        <v>1090713489000</v>
      </c>
      <c r="D360" s="256">
        <v>275138540000</v>
      </c>
      <c r="E360" s="256">
        <v>660498140000</v>
      </c>
      <c r="F360" s="256">
        <v>64784370000</v>
      </c>
      <c r="G360" s="256">
        <v>6561098000</v>
      </c>
    </row>
    <row r="361" spans="1:7" s="257" customFormat="1" ht="16.5" x14ac:dyDescent="0.2">
      <c r="A361" s="289" t="s">
        <v>607</v>
      </c>
      <c r="B361" s="256">
        <v>76091345579</v>
      </c>
      <c r="C361" s="256">
        <v>82430675639</v>
      </c>
      <c r="D361" s="256">
        <v>14535220841</v>
      </c>
      <c r="E361" s="256">
        <v>60914583723</v>
      </c>
      <c r="F361" s="256">
        <v>7029893934</v>
      </c>
      <c r="G361" s="256">
        <v>468329500</v>
      </c>
    </row>
    <row r="362" spans="1:7" s="257" customFormat="1" x14ac:dyDescent="0.2">
      <c r="A362" s="288" t="s">
        <v>608</v>
      </c>
      <c r="B362" s="287">
        <v>122824223927</v>
      </c>
      <c r="C362" s="287">
        <v>152112152235</v>
      </c>
      <c r="D362" s="287">
        <v>70062372878</v>
      </c>
      <c r="E362" s="287">
        <v>92742797975</v>
      </c>
      <c r="F362" s="287">
        <v>4598777041</v>
      </c>
      <c r="G362" s="287">
        <v>1473463479</v>
      </c>
    </row>
    <row r="363" spans="1:7" s="257" customFormat="1" ht="33" x14ac:dyDescent="0.2">
      <c r="A363" s="252" t="s">
        <v>609</v>
      </c>
      <c r="B363" s="256">
        <v>848485</v>
      </c>
      <c r="C363" s="256">
        <v>16874000000</v>
      </c>
      <c r="D363" s="256">
        <v>1</v>
      </c>
      <c r="E363" s="256">
        <v>1</v>
      </c>
      <c r="F363" s="256">
        <v>1</v>
      </c>
      <c r="G363" s="256">
        <v>1</v>
      </c>
    </row>
    <row r="364" spans="1:7" s="257" customFormat="1" x14ac:dyDescent="0.2">
      <c r="A364" s="290" t="s">
        <v>610</v>
      </c>
      <c r="B364" s="287">
        <v>5996400000</v>
      </c>
      <c r="C364" s="287">
        <v>7646460000</v>
      </c>
      <c r="D364" s="287">
        <v>1170821000</v>
      </c>
      <c r="E364" s="287">
        <v>2241252000</v>
      </c>
      <c r="F364" s="287">
        <v>1655058000</v>
      </c>
      <c r="G364" s="287">
        <v>77670000</v>
      </c>
    </row>
    <row r="365" spans="1:7" s="257" customFormat="1" x14ac:dyDescent="0.2">
      <c r="A365" s="290" t="s">
        <v>611</v>
      </c>
      <c r="B365" s="287">
        <v>13012906000</v>
      </c>
      <c r="C365" s="287">
        <v>13798726000</v>
      </c>
      <c r="D365" s="287">
        <v>3049462000</v>
      </c>
      <c r="E365" s="287">
        <v>6197792000</v>
      </c>
      <c r="F365" s="287">
        <v>1707296000</v>
      </c>
      <c r="G365" s="287">
        <v>249516000</v>
      </c>
    </row>
    <row r="366" spans="1:7" s="257" customFormat="1" ht="16.5" x14ac:dyDescent="0.2">
      <c r="A366" s="289" t="s">
        <v>612</v>
      </c>
      <c r="B366" s="256">
        <v>18323991867</v>
      </c>
      <c r="C366" s="256">
        <v>21093128213</v>
      </c>
      <c r="D366" s="256">
        <v>1195281763</v>
      </c>
      <c r="E366" s="256">
        <v>6509918816</v>
      </c>
      <c r="F366" s="256">
        <v>2655089978</v>
      </c>
      <c r="G366" s="256">
        <v>210157362</v>
      </c>
    </row>
    <row r="367" spans="1:7" s="257" customFormat="1" ht="16.5" x14ac:dyDescent="0.2">
      <c r="A367" s="289" t="s">
        <v>613</v>
      </c>
      <c r="B367" s="256">
        <v>8393991959</v>
      </c>
      <c r="C367" s="256">
        <v>8543515815</v>
      </c>
      <c r="D367" s="256">
        <v>66452554</v>
      </c>
      <c r="E367" s="256">
        <v>594248007</v>
      </c>
      <c r="F367" s="256">
        <v>1351495331</v>
      </c>
      <c r="G367" s="256">
        <v>631346</v>
      </c>
    </row>
    <row r="368" spans="1:7" s="257" customFormat="1" ht="16.5" x14ac:dyDescent="0.2">
      <c r="A368" s="252" t="s">
        <v>614</v>
      </c>
      <c r="B368" s="234">
        <v>46541112224</v>
      </c>
      <c r="C368" s="234">
        <v>83800682174</v>
      </c>
      <c r="D368" s="234">
        <v>22737050480</v>
      </c>
      <c r="E368" s="234">
        <v>43312727754</v>
      </c>
      <c r="F368" s="234">
        <v>3958615375</v>
      </c>
      <c r="G368" s="234">
        <v>751725076</v>
      </c>
    </row>
    <row r="369" spans="1:7" s="257" customFormat="1" ht="33" x14ac:dyDescent="0.2">
      <c r="A369" s="289" t="s">
        <v>615</v>
      </c>
      <c r="B369" s="256">
        <v>8659739250</v>
      </c>
      <c r="C369" s="256">
        <v>20107409884</v>
      </c>
      <c r="D369" s="256">
        <v>1513789319</v>
      </c>
      <c r="E369" s="256">
        <v>3442836721</v>
      </c>
      <c r="F369" s="256">
        <v>2415937704</v>
      </c>
      <c r="G369" s="256">
        <v>1329650</v>
      </c>
    </row>
    <row r="370" spans="1:7" s="257" customFormat="1" ht="16.5" x14ac:dyDescent="0.2">
      <c r="A370" s="289" t="s">
        <v>616</v>
      </c>
      <c r="B370" s="256">
        <v>5063629913</v>
      </c>
      <c r="C370" s="256">
        <v>5233728046</v>
      </c>
      <c r="D370" s="256">
        <v>543392116</v>
      </c>
      <c r="E370" s="256">
        <v>819015649</v>
      </c>
      <c r="F370" s="256">
        <v>1832351977</v>
      </c>
      <c r="G370" s="256">
        <v>37882686</v>
      </c>
    </row>
    <row r="371" spans="1:7" s="257" customFormat="1" ht="16.5" x14ac:dyDescent="0.2">
      <c r="A371" s="252" t="s">
        <v>617</v>
      </c>
      <c r="B371" s="256">
        <v>146117913000</v>
      </c>
      <c r="C371" s="256">
        <v>228410239000</v>
      </c>
      <c r="D371" s="256">
        <v>61530297000</v>
      </c>
      <c r="E371" s="256">
        <v>132660764000</v>
      </c>
      <c r="F371" s="256">
        <v>20385551000</v>
      </c>
      <c r="G371" s="256">
        <v>4202470644</v>
      </c>
    </row>
    <row r="372" spans="1:7" s="257" customFormat="1" ht="16.5" x14ac:dyDescent="0.2">
      <c r="A372" s="289" t="s">
        <v>618</v>
      </c>
      <c r="B372" s="256">
        <v>6939486556</v>
      </c>
      <c r="C372" s="256">
        <v>13947711832</v>
      </c>
      <c r="D372" s="256">
        <v>2271013313</v>
      </c>
      <c r="E372" s="256">
        <v>5546924544</v>
      </c>
      <c r="F372" s="256">
        <v>1322022221</v>
      </c>
      <c r="G372" s="256">
        <v>301632220</v>
      </c>
    </row>
    <row r="373" spans="1:7" s="257" customFormat="1" ht="16.5" x14ac:dyDescent="0.2">
      <c r="A373" s="289" t="s">
        <v>619</v>
      </c>
      <c r="B373" s="256">
        <v>19586513438</v>
      </c>
      <c r="C373" s="256">
        <v>20616997694</v>
      </c>
      <c r="D373" s="256">
        <v>12442968779</v>
      </c>
      <c r="E373" s="256">
        <v>13555055313</v>
      </c>
      <c r="F373" s="256">
        <v>1910985185</v>
      </c>
      <c r="G373" s="256">
        <v>281287463</v>
      </c>
    </row>
    <row r="374" spans="1:7" s="257" customFormat="1" ht="16.5" x14ac:dyDescent="0.2">
      <c r="A374" s="252" t="s">
        <v>620</v>
      </c>
      <c r="B374" s="256">
        <v>9304934373</v>
      </c>
      <c r="C374" s="256">
        <v>10707102193</v>
      </c>
      <c r="D374" s="256">
        <v>2997593872</v>
      </c>
      <c r="E374" s="256">
        <v>3597593872</v>
      </c>
      <c r="F374" s="256">
        <v>2231615466</v>
      </c>
      <c r="G374" s="256">
        <v>95232557</v>
      </c>
    </row>
    <row r="375" spans="1:7" s="257" customFormat="1" ht="16.5" x14ac:dyDescent="0.2">
      <c r="A375" s="252"/>
      <c r="B375" s="256"/>
      <c r="C375" s="256"/>
      <c r="D375" s="256"/>
      <c r="E375" s="256"/>
      <c r="F375" s="256"/>
      <c r="G375" s="256"/>
    </row>
    <row r="376" spans="1:7" s="257" customFormat="1" ht="16.5" x14ac:dyDescent="0.2">
      <c r="A376" s="252"/>
      <c r="B376" s="256"/>
      <c r="C376" s="256"/>
      <c r="D376" s="256"/>
      <c r="E376" s="256"/>
      <c r="F376" s="256"/>
      <c r="G376" s="256"/>
    </row>
    <row r="377" spans="1:7" s="257" customFormat="1" ht="16.5" x14ac:dyDescent="0.2">
      <c r="A377" s="252"/>
      <c r="B377" s="256"/>
      <c r="C377" s="256"/>
      <c r="D377" s="256"/>
      <c r="E377" s="256"/>
      <c r="F377" s="256"/>
      <c r="G377" s="256"/>
    </row>
    <row r="378" spans="1:7" s="257" customFormat="1" ht="16.5" x14ac:dyDescent="0.2">
      <c r="A378" s="252"/>
      <c r="B378" s="256"/>
      <c r="C378" s="256"/>
      <c r="D378" s="256"/>
      <c r="E378" s="256"/>
      <c r="F378" s="256"/>
      <c r="G378" s="256"/>
    </row>
    <row r="379" spans="1:7" s="257" customFormat="1" ht="16.5" x14ac:dyDescent="0.2">
      <c r="A379" s="252"/>
      <c r="B379" s="256"/>
      <c r="C379" s="256"/>
      <c r="D379" s="256"/>
      <c r="E379" s="256"/>
      <c r="F379" s="256"/>
      <c r="G379" s="256"/>
    </row>
    <row r="380" spans="1:7" s="257" customFormat="1" ht="16.5" x14ac:dyDescent="0.2">
      <c r="A380" s="252"/>
      <c r="B380" s="256"/>
      <c r="C380" s="256"/>
      <c r="D380" s="256"/>
      <c r="E380" s="256"/>
      <c r="F380" s="256"/>
      <c r="G380" s="256"/>
    </row>
    <row r="381" spans="1:7" s="257" customFormat="1" ht="16.5" x14ac:dyDescent="0.2">
      <c r="A381" s="252"/>
      <c r="B381" s="256"/>
      <c r="C381" s="256"/>
      <c r="D381" s="256"/>
      <c r="E381" s="256"/>
      <c r="F381" s="256"/>
      <c r="G381" s="256"/>
    </row>
    <row r="382" spans="1:7" s="257" customFormat="1" ht="16.5" x14ac:dyDescent="0.2">
      <c r="A382" s="252"/>
      <c r="B382" s="256"/>
      <c r="C382" s="256"/>
      <c r="D382" s="256"/>
      <c r="E382" s="256"/>
      <c r="F382" s="256"/>
      <c r="G382" s="256"/>
    </row>
    <row r="383" spans="1:7" s="257" customFormat="1" ht="16.5" x14ac:dyDescent="0.2">
      <c r="A383" s="252"/>
      <c r="B383" s="256"/>
      <c r="C383" s="256"/>
      <c r="D383" s="256"/>
      <c r="E383" s="256"/>
      <c r="F383" s="256"/>
      <c r="G383" s="256"/>
    </row>
    <row r="384" spans="1:7" s="257" customFormat="1" ht="16.5" x14ac:dyDescent="0.2">
      <c r="A384" s="252"/>
      <c r="B384" s="256"/>
      <c r="C384" s="256"/>
      <c r="D384" s="256"/>
      <c r="E384" s="256"/>
      <c r="F384" s="256"/>
      <c r="G384" s="256"/>
    </row>
    <row r="385" spans="1:7" s="257" customFormat="1" ht="16.5" x14ac:dyDescent="0.2">
      <c r="A385" s="252"/>
      <c r="B385" s="256"/>
      <c r="C385" s="256"/>
      <c r="D385" s="256"/>
      <c r="E385" s="256"/>
      <c r="F385" s="256"/>
      <c r="G385" s="256"/>
    </row>
    <row r="386" spans="1:7" s="257" customFormat="1" ht="16.5" x14ac:dyDescent="0.2">
      <c r="A386" s="252"/>
      <c r="B386" s="256"/>
      <c r="C386" s="256"/>
      <c r="D386" s="256"/>
      <c r="E386" s="256"/>
      <c r="F386" s="256"/>
      <c r="G386" s="256"/>
    </row>
    <row r="387" spans="1:7" s="257" customFormat="1" ht="16.5" x14ac:dyDescent="0.2">
      <c r="A387" s="252"/>
      <c r="B387" s="256"/>
      <c r="C387" s="256"/>
      <c r="D387" s="256"/>
      <c r="E387" s="256"/>
      <c r="F387" s="256"/>
      <c r="G387" s="256"/>
    </row>
    <row r="388" spans="1:7" s="257" customFormat="1" ht="16.5" x14ac:dyDescent="0.2">
      <c r="A388" s="252"/>
      <c r="B388" s="256"/>
      <c r="C388" s="256"/>
      <c r="D388" s="256"/>
      <c r="E388" s="256"/>
      <c r="F388" s="256"/>
      <c r="G388" s="256"/>
    </row>
    <row r="389" spans="1:7" s="257" customFormat="1" ht="16.5" x14ac:dyDescent="0.2">
      <c r="A389" s="252"/>
      <c r="B389" s="256"/>
      <c r="C389" s="256"/>
      <c r="D389" s="256"/>
      <c r="E389" s="256"/>
      <c r="F389" s="256"/>
      <c r="G389" s="256"/>
    </row>
    <row r="390" spans="1:7" s="257" customFormat="1" ht="16.5" x14ac:dyDescent="0.2">
      <c r="A390" s="252"/>
      <c r="B390" s="256"/>
      <c r="C390" s="256"/>
      <c r="D390" s="256"/>
      <c r="E390" s="256"/>
      <c r="F390" s="256"/>
      <c r="G390" s="256"/>
    </row>
    <row r="391" spans="1:7" s="257" customFormat="1" ht="16.5" x14ac:dyDescent="0.2">
      <c r="A391" s="252"/>
      <c r="B391" s="256"/>
      <c r="C391" s="256"/>
      <c r="D391" s="256"/>
      <c r="E391" s="256"/>
      <c r="F391" s="256"/>
      <c r="G391" s="256"/>
    </row>
    <row r="392" spans="1:7" s="257" customFormat="1" ht="16.5" x14ac:dyDescent="0.2">
      <c r="A392" s="252"/>
      <c r="B392" s="256"/>
      <c r="C392" s="256"/>
      <c r="D392" s="256"/>
      <c r="E392" s="256"/>
      <c r="F392" s="256"/>
      <c r="G392" s="256"/>
    </row>
    <row r="393" spans="1:7" s="257" customFormat="1" ht="16.5" x14ac:dyDescent="0.2">
      <c r="A393" s="252"/>
      <c r="B393" s="256"/>
      <c r="C393" s="256"/>
      <c r="D393" s="256"/>
      <c r="E393" s="256"/>
      <c r="F393" s="256"/>
      <c r="G393" s="256"/>
    </row>
    <row r="394" spans="1:7" s="257" customFormat="1" ht="16.5" x14ac:dyDescent="0.2">
      <c r="A394" s="252"/>
      <c r="B394" s="256"/>
      <c r="C394" s="256"/>
      <c r="D394" s="256"/>
      <c r="E394" s="256"/>
      <c r="F394" s="256"/>
      <c r="G394" s="256"/>
    </row>
    <row r="395" spans="1:7" s="257" customFormat="1" ht="16.5" x14ac:dyDescent="0.2">
      <c r="A395" s="252"/>
      <c r="B395" s="256"/>
      <c r="C395" s="256"/>
      <c r="D395" s="256"/>
      <c r="E395" s="256"/>
      <c r="F395" s="256"/>
      <c r="G395" s="256"/>
    </row>
    <row r="396" spans="1:7" s="257" customFormat="1" ht="16.5" x14ac:dyDescent="0.2">
      <c r="A396" s="252"/>
      <c r="B396" s="256"/>
      <c r="C396" s="256"/>
      <c r="D396" s="256"/>
      <c r="E396" s="256"/>
      <c r="F396" s="256"/>
      <c r="G396" s="256"/>
    </row>
    <row r="397" spans="1:7" s="257" customFormat="1" ht="16.5" x14ac:dyDescent="0.2">
      <c r="A397" s="252"/>
      <c r="B397" s="256"/>
      <c r="C397" s="256"/>
      <c r="D397" s="256"/>
      <c r="E397" s="256"/>
      <c r="F397" s="256"/>
      <c r="G397" s="256"/>
    </row>
    <row r="398" spans="1:7" s="257" customFormat="1" ht="16.5" x14ac:dyDescent="0.2">
      <c r="A398" s="252"/>
      <c r="B398" s="256"/>
      <c r="C398" s="256"/>
      <c r="D398" s="256"/>
      <c r="E398" s="256"/>
      <c r="F398" s="256"/>
      <c r="G398" s="256"/>
    </row>
    <row r="399" spans="1:7" s="257" customFormat="1" ht="16.5" x14ac:dyDescent="0.2">
      <c r="A399" s="252"/>
      <c r="B399" s="256"/>
      <c r="C399" s="256"/>
      <c r="D399" s="256"/>
      <c r="E399" s="256"/>
      <c r="F399" s="256"/>
      <c r="G399" s="256"/>
    </row>
    <row r="400" spans="1:7" s="257" customFormat="1" ht="16.5" x14ac:dyDescent="0.2">
      <c r="A400" s="252"/>
      <c r="B400" s="256"/>
      <c r="C400" s="256"/>
      <c r="D400" s="256"/>
      <c r="E400" s="256"/>
      <c r="F400" s="256"/>
      <c r="G400" s="256"/>
    </row>
    <row r="401" spans="1:7" s="257" customFormat="1" ht="16.5" x14ac:dyDescent="0.2">
      <c r="A401" s="252"/>
      <c r="B401" s="256"/>
      <c r="C401" s="256"/>
      <c r="D401" s="256"/>
      <c r="E401" s="256"/>
      <c r="F401" s="256"/>
      <c r="G401" s="256"/>
    </row>
    <row r="402" spans="1:7" s="257" customFormat="1" ht="16.5" x14ac:dyDescent="0.2">
      <c r="A402" s="252"/>
      <c r="B402" s="256"/>
      <c r="C402" s="256"/>
      <c r="D402" s="256"/>
      <c r="E402" s="256"/>
      <c r="F402" s="256"/>
      <c r="G402" s="256"/>
    </row>
    <row r="403" spans="1:7" s="257" customFormat="1" ht="16.5" x14ac:dyDescent="0.2">
      <c r="A403" s="252"/>
      <c r="B403" s="256"/>
      <c r="C403" s="256"/>
      <c r="D403" s="256"/>
      <c r="E403" s="256"/>
      <c r="F403" s="256"/>
      <c r="G403" s="256"/>
    </row>
    <row r="404" spans="1:7" s="257" customFormat="1" ht="16.5" x14ac:dyDescent="0.2">
      <c r="A404" s="252"/>
      <c r="B404" s="256"/>
      <c r="C404" s="256"/>
      <c r="D404" s="256"/>
      <c r="E404" s="256"/>
      <c r="F404" s="256"/>
      <c r="G404" s="256"/>
    </row>
    <row r="405" spans="1:7" s="257" customFormat="1" ht="16.5" x14ac:dyDescent="0.2">
      <c r="A405" s="252"/>
      <c r="B405" s="256"/>
      <c r="C405" s="256"/>
      <c r="D405" s="256"/>
      <c r="E405" s="256"/>
      <c r="F405" s="256"/>
      <c r="G405" s="256"/>
    </row>
    <row r="406" spans="1:7" s="257" customFormat="1" ht="16.5" x14ac:dyDescent="0.2">
      <c r="A406" s="252"/>
      <c r="B406" s="256"/>
      <c r="C406" s="256"/>
      <c r="D406" s="256"/>
      <c r="E406" s="256"/>
      <c r="F406" s="256"/>
      <c r="G406" s="256"/>
    </row>
    <row r="407" spans="1:7" s="257" customFormat="1" ht="16.5" x14ac:dyDescent="0.2">
      <c r="A407" s="252"/>
      <c r="B407" s="256"/>
      <c r="C407" s="256"/>
      <c r="D407" s="256"/>
      <c r="E407" s="256"/>
      <c r="F407" s="256"/>
      <c r="G407" s="256"/>
    </row>
    <row r="408" spans="1:7" s="257" customFormat="1" ht="16.5" x14ac:dyDescent="0.2">
      <c r="A408" s="252"/>
      <c r="B408" s="256"/>
      <c r="C408" s="256"/>
      <c r="D408" s="256"/>
      <c r="E408" s="256"/>
      <c r="F408" s="256"/>
      <c r="G408" s="256"/>
    </row>
    <row r="409" spans="1:7" s="257" customFormat="1" ht="16.5" x14ac:dyDescent="0.2">
      <c r="A409" s="252"/>
      <c r="B409" s="256"/>
      <c r="C409" s="256"/>
      <c r="D409" s="256"/>
      <c r="E409" s="256"/>
      <c r="F409" s="256"/>
      <c r="G409" s="256"/>
    </row>
    <row r="410" spans="1:7" s="257" customFormat="1" ht="16.5" x14ac:dyDescent="0.2">
      <c r="A410" s="252"/>
      <c r="B410" s="256"/>
      <c r="C410" s="256"/>
      <c r="D410" s="256"/>
      <c r="E410" s="256"/>
      <c r="F410" s="256"/>
      <c r="G410" s="256"/>
    </row>
    <row r="411" spans="1:7" s="257" customFormat="1" ht="16.5" x14ac:dyDescent="0.2">
      <c r="A411" s="252"/>
      <c r="B411" s="256"/>
      <c r="C411" s="256"/>
      <c r="D411" s="256"/>
      <c r="E411" s="256"/>
      <c r="F411" s="256"/>
      <c r="G411" s="256"/>
    </row>
    <row r="412" spans="1:7" s="257" customFormat="1" ht="16.5" x14ac:dyDescent="0.2">
      <c r="A412" s="252"/>
      <c r="B412" s="256"/>
      <c r="C412" s="256"/>
      <c r="D412" s="256"/>
      <c r="E412" s="256"/>
      <c r="F412" s="256"/>
      <c r="G412" s="256"/>
    </row>
    <row r="413" spans="1:7" s="257" customFormat="1" ht="16.5" x14ac:dyDescent="0.2">
      <c r="A413" s="252"/>
      <c r="B413" s="256"/>
      <c r="C413" s="256"/>
      <c r="D413" s="256"/>
      <c r="E413" s="256"/>
      <c r="F413" s="256"/>
      <c r="G413" s="256"/>
    </row>
    <row r="414" spans="1:7" s="257" customFormat="1" ht="16.5" x14ac:dyDescent="0.2">
      <c r="A414" s="252"/>
      <c r="B414" s="256"/>
      <c r="C414" s="256"/>
      <c r="D414" s="256"/>
      <c r="E414" s="256"/>
      <c r="F414" s="256"/>
      <c r="G414" s="256"/>
    </row>
    <row r="415" spans="1:7" s="257" customFormat="1" ht="16.5" x14ac:dyDescent="0.2">
      <c r="A415" s="252"/>
      <c r="B415" s="256"/>
      <c r="C415" s="256"/>
      <c r="D415" s="256"/>
      <c r="E415" s="256"/>
      <c r="F415" s="256"/>
      <c r="G415" s="256"/>
    </row>
    <row r="416" spans="1:7" s="257" customFormat="1" ht="16.5" x14ac:dyDescent="0.2">
      <c r="A416" s="252"/>
      <c r="B416" s="256"/>
      <c r="C416" s="256"/>
      <c r="D416" s="256"/>
      <c r="E416" s="256"/>
      <c r="F416" s="256"/>
      <c r="G416" s="256"/>
    </row>
    <row r="417" spans="1:7" s="257" customFormat="1" ht="16.5" x14ac:dyDescent="0.2">
      <c r="A417" s="252"/>
      <c r="B417" s="256"/>
      <c r="C417" s="256"/>
      <c r="D417" s="256"/>
      <c r="E417" s="256"/>
      <c r="F417" s="256"/>
      <c r="G417" s="256"/>
    </row>
    <row r="418" spans="1:7" s="257" customFormat="1" ht="16.5" x14ac:dyDescent="0.2">
      <c r="A418" s="252"/>
      <c r="B418" s="256"/>
      <c r="C418" s="256"/>
      <c r="D418" s="256"/>
      <c r="E418" s="256"/>
      <c r="F418" s="256"/>
      <c r="G418" s="256"/>
    </row>
    <row r="419" spans="1:7" s="257" customFormat="1" ht="16.5" x14ac:dyDescent="0.2">
      <c r="A419" s="252"/>
      <c r="B419" s="256"/>
      <c r="C419" s="256"/>
      <c r="D419" s="256"/>
      <c r="E419" s="256"/>
      <c r="F419" s="256"/>
      <c r="G419" s="256"/>
    </row>
    <row r="420" spans="1:7" s="257" customFormat="1" ht="16.5" x14ac:dyDescent="0.2">
      <c r="A420" s="252"/>
      <c r="B420" s="256"/>
      <c r="C420" s="256"/>
      <c r="D420" s="256"/>
      <c r="E420" s="256"/>
      <c r="F420" s="256"/>
      <c r="G420" s="256"/>
    </row>
    <row r="421" spans="1:7" s="257" customFormat="1" ht="16.5" x14ac:dyDescent="0.2">
      <c r="A421" s="252"/>
      <c r="B421" s="256"/>
      <c r="C421" s="256"/>
      <c r="D421" s="256"/>
      <c r="E421" s="256"/>
      <c r="F421" s="256"/>
      <c r="G421" s="256"/>
    </row>
    <row r="422" spans="1:7" s="257" customFormat="1" ht="16.5" x14ac:dyDescent="0.2">
      <c r="A422" s="252"/>
      <c r="B422" s="256"/>
      <c r="C422" s="256"/>
      <c r="D422" s="256"/>
      <c r="E422" s="256"/>
      <c r="F422" s="256"/>
      <c r="G422" s="256"/>
    </row>
    <row r="423" spans="1:7" s="257" customFormat="1" ht="16.5" x14ac:dyDescent="0.2">
      <c r="A423" s="252"/>
      <c r="B423" s="256"/>
      <c r="C423" s="256"/>
      <c r="D423" s="256"/>
      <c r="E423" s="256"/>
      <c r="F423" s="256"/>
      <c r="G423" s="256"/>
    </row>
    <row r="424" spans="1:7" x14ac:dyDescent="0.2">
      <c r="A424" s="243"/>
      <c r="B424" s="244"/>
      <c r="C424" s="244"/>
      <c r="D424" s="244"/>
      <c r="E424" s="244"/>
      <c r="F424" s="244"/>
      <c r="G424" s="244"/>
    </row>
    <row r="425" spans="1:7" x14ac:dyDescent="0.2">
      <c r="A425" s="243"/>
      <c r="B425" s="244"/>
      <c r="C425" s="244"/>
      <c r="D425" s="244"/>
      <c r="E425" s="244"/>
      <c r="F425" s="244"/>
      <c r="G425" s="244"/>
    </row>
  </sheetData>
  <customSheetViews>
    <customSheetView guid="{7043DB3C-32B3-43B5-9ACE-4B1C78863594}">
      <pane ySplit="3.1818181818181817" topLeftCell="A1189" activePane="bottomLeft"/>
      <selection pane="bottomLeft" activeCell="E1196" sqref="E1196"/>
      <pageMargins left="0.75" right="0.75" top="1" bottom="1" header="0" footer="0"/>
      <pageSetup orientation="portrait" r:id="rId1"/>
      <headerFooter alignWithMargins="0"/>
    </customSheetView>
  </customSheetViews>
  <mergeCells count="17">
    <mergeCell ref="L1:L3"/>
    <mergeCell ref="E1:E3"/>
    <mergeCell ref="A1:A3"/>
    <mergeCell ref="B1:B3"/>
    <mergeCell ref="C1:C3"/>
    <mergeCell ref="D1:D3"/>
    <mergeCell ref="F1:F3"/>
    <mergeCell ref="G1:G3"/>
    <mergeCell ref="H1:H3"/>
    <mergeCell ref="I1:I3"/>
    <mergeCell ref="J1:J3"/>
    <mergeCell ref="K1:K3"/>
    <mergeCell ref="M1:M3"/>
    <mergeCell ref="N1:N3"/>
    <mergeCell ref="O1:O3"/>
    <mergeCell ref="P1:P3"/>
    <mergeCell ref="Q1:Q3"/>
  </mergeCells>
  <phoneticPr fontId="0" type="noConversion"/>
  <conditionalFormatting sqref="A363 A359 A368 A371 A375:A1331">
    <cfRule type="cellIs" dxfId="373" priority="398" stopIfTrue="1" operator="equal">
      <formula>"NO ADMISIBLE"</formula>
    </cfRule>
  </conditionalFormatting>
  <conditionalFormatting sqref="A650">
    <cfRule type="cellIs" dxfId="372" priority="397" stopIfTrue="1" operator="equal">
      <formula>"NO ADMISIBLE"</formula>
    </cfRule>
  </conditionalFormatting>
  <conditionalFormatting sqref="A651:A652">
    <cfRule type="cellIs" dxfId="371" priority="396" stopIfTrue="1" operator="equal">
      <formula>"NO ADMISIBLE"</formula>
    </cfRule>
  </conditionalFormatting>
  <conditionalFormatting sqref="A653">
    <cfRule type="cellIs" dxfId="370" priority="395" stopIfTrue="1" operator="equal">
      <formula>"NO ADMISIBLE"</formula>
    </cfRule>
  </conditionalFormatting>
  <conditionalFormatting sqref="A654">
    <cfRule type="cellIs" dxfId="369" priority="394" stopIfTrue="1" operator="equal">
      <formula>"NO ADMISIBLE"</formula>
    </cfRule>
  </conditionalFormatting>
  <conditionalFormatting sqref="A655:A658">
    <cfRule type="cellIs" dxfId="368" priority="393" stopIfTrue="1" operator="equal">
      <formula>"NO ADMISIBLE"</formula>
    </cfRule>
  </conditionalFormatting>
  <conditionalFormatting sqref="A659">
    <cfRule type="cellIs" dxfId="367" priority="392" stopIfTrue="1" operator="equal">
      <formula>"NO ADMISIBLE"</formula>
    </cfRule>
  </conditionalFormatting>
  <conditionalFormatting sqref="A660:A662">
    <cfRule type="cellIs" dxfId="366" priority="391" stopIfTrue="1" operator="equal">
      <formula>"NO ADMISIBLE"</formula>
    </cfRule>
  </conditionalFormatting>
  <conditionalFormatting sqref="A663">
    <cfRule type="cellIs" dxfId="365" priority="389" stopIfTrue="1" operator="equal">
      <formula>"NO ADMISIBLE"</formula>
    </cfRule>
  </conditionalFormatting>
  <conditionalFormatting sqref="A664">
    <cfRule type="cellIs" dxfId="364" priority="388" stopIfTrue="1" operator="equal">
      <formula>"NO ADMISIBLE"</formula>
    </cfRule>
  </conditionalFormatting>
  <conditionalFormatting sqref="A664">
    <cfRule type="cellIs" dxfId="363" priority="387" stopIfTrue="1" operator="equal">
      <formula>"NO ADMISIBLE"</formula>
    </cfRule>
  </conditionalFormatting>
  <conditionalFormatting sqref="A665">
    <cfRule type="cellIs" dxfId="362" priority="386" stopIfTrue="1" operator="equal">
      <formula>"NO ADMISIBLE"</formula>
    </cfRule>
  </conditionalFormatting>
  <conditionalFormatting sqref="A666">
    <cfRule type="cellIs" dxfId="361" priority="385" stopIfTrue="1" operator="equal">
      <formula>"NO ADMISIBLE"</formula>
    </cfRule>
  </conditionalFormatting>
  <conditionalFormatting sqref="A666">
    <cfRule type="cellIs" dxfId="360" priority="384" stopIfTrue="1" operator="equal">
      <formula>"NO ADMISIBLE"</formula>
    </cfRule>
  </conditionalFormatting>
  <conditionalFormatting sqref="A667">
    <cfRule type="cellIs" dxfId="359" priority="383" stopIfTrue="1" operator="equal">
      <formula>"NO ADMISIBLE"</formula>
    </cfRule>
  </conditionalFormatting>
  <conditionalFormatting sqref="A668">
    <cfRule type="cellIs" dxfId="358" priority="382" stopIfTrue="1" operator="equal">
      <formula>"NO ADMISIBLE"</formula>
    </cfRule>
  </conditionalFormatting>
  <conditionalFormatting sqref="A669:A670">
    <cfRule type="cellIs" dxfId="357" priority="381" stopIfTrue="1" operator="equal">
      <formula>"NO ADMISIBLE"</formula>
    </cfRule>
  </conditionalFormatting>
  <conditionalFormatting sqref="A672">
    <cfRule type="cellIs" dxfId="356" priority="380" stopIfTrue="1" operator="equal">
      <formula>"NO ADMISIBLE"</formula>
    </cfRule>
  </conditionalFormatting>
  <conditionalFormatting sqref="A673:A674">
    <cfRule type="cellIs" dxfId="355" priority="379" stopIfTrue="1" operator="equal">
      <formula>"NO ADMISIBLE"</formula>
    </cfRule>
  </conditionalFormatting>
  <conditionalFormatting sqref="A675:A676">
    <cfRule type="cellIs" dxfId="354" priority="378" stopIfTrue="1" operator="equal">
      <formula>"NO ADMISIBLE"</formula>
    </cfRule>
  </conditionalFormatting>
  <conditionalFormatting sqref="A677:A678">
    <cfRule type="cellIs" dxfId="353" priority="377" stopIfTrue="1" operator="equal">
      <formula>"NO ADMISIBLE"</formula>
    </cfRule>
  </conditionalFormatting>
  <conditionalFormatting sqref="A677">
    <cfRule type="cellIs" dxfId="352" priority="376" stopIfTrue="1" operator="equal">
      <formula>"NO ADMISIBLE"</formula>
    </cfRule>
  </conditionalFormatting>
  <conditionalFormatting sqref="A678">
    <cfRule type="cellIs" dxfId="351" priority="375" stopIfTrue="1" operator="equal">
      <formula>"NO ADMISIBLE"</formula>
    </cfRule>
  </conditionalFormatting>
  <conditionalFormatting sqref="A679">
    <cfRule type="cellIs" dxfId="350" priority="374" stopIfTrue="1" operator="equal">
      <formula>"NO ADMISIBLE"</formula>
    </cfRule>
  </conditionalFormatting>
  <conditionalFormatting sqref="A680:A681">
    <cfRule type="cellIs" dxfId="349" priority="373" stopIfTrue="1" operator="equal">
      <formula>"NO ADMISIBLE"</formula>
    </cfRule>
  </conditionalFormatting>
  <conditionalFormatting sqref="A682:A683">
    <cfRule type="cellIs" dxfId="348" priority="372" stopIfTrue="1" operator="equal">
      <formula>"NO ADMISIBLE"</formula>
    </cfRule>
  </conditionalFormatting>
  <conditionalFormatting sqref="A684">
    <cfRule type="cellIs" dxfId="347" priority="371" stopIfTrue="1" operator="equal">
      <formula>"NO ADMISIBLE"</formula>
    </cfRule>
  </conditionalFormatting>
  <conditionalFormatting sqref="A685">
    <cfRule type="cellIs" dxfId="346" priority="370" stopIfTrue="1" operator="equal">
      <formula>"NO ADMISIBLE"</formula>
    </cfRule>
  </conditionalFormatting>
  <conditionalFormatting sqref="A686:A687">
    <cfRule type="cellIs" dxfId="345" priority="369" stopIfTrue="1" operator="equal">
      <formula>"NO ADMISIBLE"</formula>
    </cfRule>
  </conditionalFormatting>
  <conditionalFormatting sqref="A688">
    <cfRule type="cellIs" dxfId="344" priority="368" stopIfTrue="1" operator="equal">
      <formula>"NO ADMISIBLE"</formula>
    </cfRule>
  </conditionalFormatting>
  <conditionalFormatting sqref="A689">
    <cfRule type="cellIs" dxfId="343" priority="367" stopIfTrue="1" operator="equal">
      <formula>"NO ADMISIBLE"</formula>
    </cfRule>
  </conditionalFormatting>
  <conditionalFormatting sqref="A690:A692">
    <cfRule type="cellIs" dxfId="342" priority="366" stopIfTrue="1" operator="equal">
      <formula>"NO ADMISIBLE"</formula>
    </cfRule>
  </conditionalFormatting>
  <conditionalFormatting sqref="A693">
    <cfRule type="cellIs" dxfId="341" priority="365" stopIfTrue="1" operator="equal">
      <formula>"NO ADMISIBLE"</formula>
    </cfRule>
  </conditionalFormatting>
  <conditionalFormatting sqref="A694">
    <cfRule type="cellIs" dxfId="340" priority="364" stopIfTrue="1" operator="equal">
      <formula>"NO ADMISIBLE"</formula>
    </cfRule>
  </conditionalFormatting>
  <conditionalFormatting sqref="A694">
    <cfRule type="cellIs" dxfId="339" priority="363" stopIfTrue="1" operator="equal">
      <formula>"NO ADMISIBLE"</formula>
    </cfRule>
  </conditionalFormatting>
  <conditionalFormatting sqref="A695:A696">
    <cfRule type="cellIs" dxfId="338" priority="362" stopIfTrue="1" operator="equal">
      <formula>"NO ADMISIBLE"</formula>
    </cfRule>
  </conditionalFormatting>
  <conditionalFormatting sqref="A697:A699">
    <cfRule type="cellIs" dxfId="337" priority="361" stopIfTrue="1" operator="equal">
      <formula>"NO ADMISIBLE"</formula>
    </cfRule>
  </conditionalFormatting>
  <conditionalFormatting sqref="A700">
    <cfRule type="cellIs" dxfId="336" priority="360" stopIfTrue="1" operator="equal">
      <formula>"NO ADMISIBLE"</formula>
    </cfRule>
  </conditionalFormatting>
  <conditionalFormatting sqref="A94:A95 A115 A117 B116 A120 A123 A126:A128 A137:A138 A140 A143 A60 A176:A177 A193 A198:A199 A202 A205:A206 A209:A210 A213:A214 A220:A221 A223:A224 A231 A240:A241 A249:A250 A256:A258 A261 A277 A293:A294 A296 A299 A302 A308 A310 A332:A333 A338:A339 A341 A344 A347">
    <cfRule type="cellIs" dxfId="335" priority="184" stopIfTrue="1" operator="equal">
      <formula>"NO ADMISIBLE"</formula>
    </cfRule>
  </conditionalFormatting>
  <conditionalFormatting sqref="A1397:A1404 A1394 A1407:A1469 A1502:A1504 A1507:A1514">
    <cfRule type="cellIs" dxfId="334" priority="399" stopIfTrue="1" operator="equal">
      <formula>"NO ADMISIBLE"</formula>
    </cfRule>
  </conditionalFormatting>
  <conditionalFormatting sqref="A663">
    <cfRule type="cellIs" dxfId="333" priority="390" stopIfTrue="1" operator="equal">
      <formula>"NO ADMISIBLE"</formula>
    </cfRule>
  </conditionalFormatting>
  <conditionalFormatting sqref="A25">
    <cfRule type="cellIs" dxfId="332" priority="183" stopIfTrue="1" operator="equal">
      <formula>"NO ADMISIBLE"</formula>
    </cfRule>
  </conditionalFormatting>
  <conditionalFormatting sqref="A31:A32">
    <cfRule type="cellIs" dxfId="331" priority="182" stopIfTrue="1" operator="equal">
      <formula>"NO ADMISIBLE"</formula>
    </cfRule>
  </conditionalFormatting>
  <conditionalFormatting sqref="A33:A34">
    <cfRule type="cellIs" dxfId="330" priority="181" stopIfTrue="1" operator="equal">
      <formula>"NO ADMISIBLE"</formula>
    </cfRule>
  </conditionalFormatting>
  <conditionalFormatting sqref="A35">
    <cfRule type="cellIs" dxfId="329" priority="180" stopIfTrue="1" operator="equal">
      <formula>"NO ADMISIBLE"</formula>
    </cfRule>
  </conditionalFormatting>
  <conditionalFormatting sqref="A36">
    <cfRule type="cellIs" dxfId="328" priority="179" stopIfTrue="1" operator="equal">
      <formula>"NO ADMISIBLE"</formula>
    </cfRule>
  </conditionalFormatting>
  <conditionalFormatting sqref="A37:A38">
    <cfRule type="cellIs" dxfId="327" priority="178" stopIfTrue="1" operator="equal">
      <formula>"NO ADMISIBLE"</formula>
    </cfRule>
  </conditionalFormatting>
  <conditionalFormatting sqref="A39">
    <cfRule type="cellIs" dxfId="326" priority="177" stopIfTrue="1" operator="equal">
      <formula>"NO ADMISIBLE"</formula>
    </cfRule>
  </conditionalFormatting>
  <conditionalFormatting sqref="A40:A41">
    <cfRule type="cellIs" dxfId="325" priority="176" stopIfTrue="1" operator="equal">
      <formula>"NO ADMISIBLE"</formula>
    </cfRule>
  </conditionalFormatting>
  <conditionalFormatting sqref="A43:A44">
    <cfRule type="cellIs" dxfId="324" priority="175" stopIfTrue="1" operator="equal">
      <formula>"NO ADMISIBLE"</formula>
    </cfRule>
  </conditionalFormatting>
  <conditionalFormatting sqref="A45:A47">
    <cfRule type="cellIs" dxfId="323" priority="174" stopIfTrue="1" operator="equal">
      <formula>"NO ADMISIBLE"</formula>
    </cfRule>
  </conditionalFormatting>
  <conditionalFormatting sqref="A48:A51">
    <cfRule type="cellIs" dxfId="322" priority="173" stopIfTrue="1" operator="equal">
      <formula>"NO ADMISIBLE"</formula>
    </cfRule>
  </conditionalFormatting>
  <conditionalFormatting sqref="A52:A53">
    <cfRule type="cellIs" dxfId="321" priority="172" stopIfTrue="1" operator="equal">
      <formula>"NO ADMISIBLE"</formula>
    </cfRule>
  </conditionalFormatting>
  <conditionalFormatting sqref="A54:A55">
    <cfRule type="cellIs" dxfId="320" priority="171" stopIfTrue="1" operator="equal">
      <formula>"NO ADMISIBLE"</formula>
    </cfRule>
  </conditionalFormatting>
  <conditionalFormatting sqref="A56:A58">
    <cfRule type="cellIs" dxfId="319" priority="170" stopIfTrue="1" operator="equal">
      <formula>"NO ADMISIBLE"</formula>
    </cfRule>
  </conditionalFormatting>
  <conditionalFormatting sqref="A59">
    <cfRule type="cellIs" dxfId="318" priority="169" stopIfTrue="1" operator="equal">
      <formula>"NO ADMISIBLE"</formula>
    </cfRule>
  </conditionalFormatting>
  <conditionalFormatting sqref="A61:A62">
    <cfRule type="cellIs" dxfId="317" priority="168" stopIfTrue="1" operator="equal">
      <formula>"NO ADMISIBLE"</formula>
    </cfRule>
  </conditionalFormatting>
  <conditionalFormatting sqref="A66">
    <cfRule type="cellIs" dxfId="316" priority="166" stopIfTrue="1" operator="equal">
      <formula>"NO ADMISIBLE"</formula>
    </cfRule>
  </conditionalFormatting>
  <conditionalFormatting sqref="A63:A65">
    <cfRule type="cellIs" dxfId="315" priority="167" stopIfTrue="1" operator="equal">
      <formula>"NO ADMISIBLE"</formula>
    </cfRule>
  </conditionalFormatting>
  <conditionalFormatting sqref="A67:A68">
    <cfRule type="cellIs" dxfId="314" priority="165" stopIfTrue="1" operator="equal">
      <formula>"NO ADMISIBLE"</formula>
    </cfRule>
  </conditionalFormatting>
  <conditionalFormatting sqref="A69">
    <cfRule type="cellIs" dxfId="313" priority="164" stopIfTrue="1" operator="equal">
      <formula>"NO ADMISIBLE"</formula>
    </cfRule>
  </conditionalFormatting>
  <conditionalFormatting sqref="A71">
    <cfRule type="cellIs" dxfId="312" priority="163" stopIfTrue="1" operator="equal">
      <formula>"NO ADMISIBLE"</formula>
    </cfRule>
  </conditionalFormatting>
  <conditionalFormatting sqref="A72:A73">
    <cfRule type="cellIs" dxfId="311" priority="162" stopIfTrue="1" operator="equal">
      <formula>"NO ADMISIBLE"</formula>
    </cfRule>
  </conditionalFormatting>
  <conditionalFormatting sqref="A74:A75">
    <cfRule type="cellIs" dxfId="310" priority="161" stopIfTrue="1" operator="equal">
      <formula>"NO ADMISIBLE"</formula>
    </cfRule>
  </conditionalFormatting>
  <conditionalFormatting sqref="A76:A77">
    <cfRule type="cellIs" dxfId="309" priority="160" stopIfTrue="1" operator="equal">
      <formula>"NO ADMISIBLE"</formula>
    </cfRule>
  </conditionalFormatting>
  <conditionalFormatting sqref="A78">
    <cfRule type="cellIs" dxfId="308" priority="159" stopIfTrue="1" operator="equal">
      <formula>"NO ADMISIBLE"</formula>
    </cfRule>
  </conditionalFormatting>
  <conditionalFormatting sqref="A79">
    <cfRule type="cellIs" dxfId="307" priority="158" stopIfTrue="1" operator="equal">
      <formula>"NO ADMISIBLE"</formula>
    </cfRule>
  </conditionalFormatting>
  <conditionalFormatting sqref="A80">
    <cfRule type="cellIs" dxfId="306" priority="157" stopIfTrue="1" operator="equal">
      <formula>"NO ADMISIBLE"</formula>
    </cfRule>
  </conditionalFormatting>
  <conditionalFormatting sqref="A83:A84">
    <cfRule type="cellIs" dxfId="305" priority="156" stopIfTrue="1" operator="equal">
      <formula>"NO ADMISIBLE"</formula>
    </cfRule>
  </conditionalFormatting>
  <conditionalFormatting sqref="A85">
    <cfRule type="cellIs" dxfId="304" priority="155" stopIfTrue="1" operator="equal">
      <formula>"NO ADMISIBLE"</formula>
    </cfRule>
  </conditionalFormatting>
  <conditionalFormatting sqref="A88:A89">
    <cfRule type="cellIs" dxfId="303" priority="154" stopIfTrue="1" operator="equal">
      <formula>"NO ADMISIBLE"</formula>
    </cfRule>
  </conditionalFormatting>
  <conditionalFormatting sqref="A90:A91">
    <cfRule type="cellIs" dxfId="302" priority="153" stopIfTrue="1" operator="equal">
      <formula>"NO ADMISIBLE"</formula>
    </cfRule>
  </conditionalFormatting>
  <conditionalFormatting sqref="A96:A97">
    <cfRule type="cellIs" dxfId="301" priority="152" stopIfTrue="1" operator="equal">
      <formula>"NO ADMISIBLE"</formula>
    </cfRule>
  </conditionalFormatting>
  <conditionalFormatting sqref="A99">
    <cfRule type="cellIs" dxfId="300" priority="151" stopIfTrue="1" operator="equal">
      <formula>"NO ADMISIBLE"</formula>
    </cfRule>
  </conditionalFormatting>
  <conditionalFormatting sqref="A101:A102">
    <cfRule type="cellIs" dxfId="299" priority="150" stopIfTrue="1" operator="equal">
      <formula>"NO ADMISIBLE"</formula>
    </cfRule>
  </conditionalFormatting>
  <conditionalFormatting sqref="A106:A108">
    <cfRule type="cellIs" dxfId="298" priority="149" stopIfTrue="1" operator="equal">
      <formula>"NO ADMISIBLE"</formula>
    </cfRule>
  </conditionalFormatting>
  <conditionalFormatting sqref="A111:A112">
    <cfRule type="cellIs" dxfId="297" priority="148" stopIfTrue="1" operator="equal">
      <formula>"NO ADMISIBLE"</formula>
    </cfRule>
  </conditionalFormatting>
  <conditionalFormatting sqref="A113:A114">
    <cfRule type="cellIs" dxfId="296" priority="147" stopIfTrue="1" operator="equal">
      <formula>"NO ADMISIBLE"</formula>
    </cfRule>
  </conditionalFormatting>
  <conditionalFormatting sqref="A118:A119">
    <cfRule type="cellIs" dxfId="295" priority="146" stopIfTrue="1" operator="equal">
      <formula>"NO ADMISIBLE"</formula>
    </cfRule>
  </conditionalFormatting>
  <conditionalFormatting sqref="A121:A122">
    <cfRule type="cellIs" dxfId="294" priority="145" stopIfTrue="1" operator="equal">
      <formula>"NO ADMISIBLE"</formula>
    </cfRule>
  </conditionalFormatting>
  <conditionalFormatting sqref="A124:A125">
    <cfRule type="cellIs" dxfId="293" priority="144" stopIfTrue="1" operator="equal">
      <formula>"NO ADMISIBLE"</formula>
    </cfRule>
  </conditionalFormatting>
  <conditionalFormatting sqref="A129:A130">
    <cfRule type="cellIs" dxfId="292" priority="143" stopIfTrue="1" operator="equal">
      <formula>"NO ADMISIBLE"</formula>
    </cfRule>
  </conditionalFormatting>
  <conditionalFormatting sqref="A131:A132">
    <cfRule type="cellIs" dxfId="291" priority="142" stopIfTrue="1" operator="equal">
      <formula>"NO ADMISIBLE"</formula>
    </cfRule>
  </conditionalFormatting>
  <conditionalFormatting sqref="A133">
    <cfRule type="cellIs" dxfId="290" priority="141" stopIfTrue="1" operator="equal">
      <formula>"NO ADMISIBLE"</formula>
    </cfRule>
  </conditionalFormatting>
  <conditionalFormatting sqref="A134">
    <cfRule type="cellIs" dxfId="289" priority="140" stopIfTrue="1" operator="equal">
      <formula>"NO ADMISIBLE"</formula>
    </cfRule>
  </conditionalFormatting>
  <conditionalFormatting sqref="A135:A136">
    <cfRule type="cellIs" dxfId="288" priority="139" stopIfTrue="1" operator="equal">
      <formula>"NO ADMISIBLE"</formula>
    </cfRule>
  </conditionalFormatting>
  <conditionalFormatting sqref="A139">
    <cfRule type="cellIs" dxfId="287" priority="138" stopIfTrue="1" operator="equal">
      <formula>"NO ADMISIBLE"</formula>
    </cfRule>
  </conditionalFormatting>
  <conditionalFormatting sqref="A141:A142">
    <cfRule type="cellIs" dxfId="286" priority="137" stopIfTrue="1" operator="equal">
      <formula>"NO ADMISIBLE"</formula>
    </cfRule>
  </conditionalFormatting>
  <conditionalFormatting sqref="A144 A146">
    <cfRule type="cellIs" dxfId="285" priority="136" stopIfTrue="1" operator="equal">
      <formula>"NO ADMISIBLE"</formula>
    </cfRule>
  </conditionalFormatting>
  <conditionalFormatting sqref="A145">
    <cfRule type="cellIs" dxfId="284" priority="135" stopIfTrue="1" operator="equal">
      <formula>"NO ADMISIBLE"</formula>
    </cfRule>
  </conditionalFormatting>
  <conditionalFormatting sqref="A147:A148">
    <cfRule type="cellIs" dxfId="283" priority="134" stopIfTrue="1" operator="equal">
      <formula>"NO ADMISIBLE"</formula>
    </cfRule>
  </conditionalFormatting>
  <conditionalFormatting sqref="A149">
    <cfRule type="cellIs" dxfId="282" priority="133" stopIfTrue="1" operator="equal">
      <formula>"NO ADMISIBLE"</formula>
    </cfRule>
  </conditionalFormatting>
  <conditionalFormatting sqref="A150">
    <cfRule type="cellIs" dxfId="281" priority="132" stopIfTrue="1" operator="equal">
      <formula>"NO ADMISIBLE"</formula>
    </cfRule>
  </conditionalFormatting>
  <conditionalFormatting sqref="A151:A154 A157 A160 A163:A165">
    <cfRule type="cellIs" dxfId="280" priority="131" stopIfTrue="1" operator="equal">
      <formula>"NO ADMISIBLE"</formula>
    </cfRule>
  </conditionalFormatting>
  <conditionalFormatting sqref="A155:A156">
    <cfRule type="cellIs" dxfId="279" priority="130" stopIfTrue="1" operator="equal">
      <formula>"NO ADMISIBLE"</formula>
    </cfRule>
  </conditionalFormatting>
  <conditionalFormatting sqref="A158">
    <cfRule type="cellIs" dxfId="278" priority="129" stopIfTrue="1" operator="equal">
      <formula>"NO ADMISIBLE"</formula>
    </cfRule>
  </conditionalFormatting>
  <conditionalFormatting sqref="A159">
    <cfRule type="cellIs" dxfId="277" priority="128" stopIfTrue="1" operator="equal">
      <formula>"NO ADMISIBLE"</formula>
    </cfRule>
  </conditionalFormatting>
  <conditionalFormatting sqref="A161">
    <cfRule type="cellIs" dxfId="276" priority="127" stopIfTrue="1" operator="equal">
      <formula>"NO ADMISIBLE"</formula>
    </cfRule>
  </conditionalFormatting>
  <conditionalFormatting sqref="A162">
    <cfRule type="cellIs" dxfId="275" priority="126" stopIfTrue="1" operator="equal">
      <formula>"NO ADMISIBLE"</formula>
    </cfRule>
  </conditionalFormatting>
  <conditionalFormatting sqref="A166:A167">
    <cfRule type="cellIs" dxfId="274" priority="125" stopIfTrue="1" operator="equal">
      <formula>"NO ADMISIBLE"</formula>
    </cfRule>
  </conditionalFormatting>
  <conditionalFormatting sqref="A168">
    <cfRule type="cellIs" dxfId="273" priority="124" stopIfTrue="1" operator="equal">
      <formula>"NO ADMISIBLE"</formula>
    </cfRule>
  </conditionalFormatting>
  <conditionalFormatting sqref="A169">
    <cfRule type="cellIs" dxfId="272" priority="123" stopIfTrue="1" operator="equal">
      <formula>"NO ADMISIBLE"</formula>
    </cfRule>
  </conditionalFormatting>
  <conditionalFormatting sqref="A170:A171">
    <cfRule type="cellIs" dxfId="271" priority="122" stopIfTrue="1" operator="equal">
      <formula>"NO ADMISIBLE"</formula>
    </cfRule>
  </conditionalFormatting>
  <conditionalFormatting sqref="A173:A175">
    <cfRule type="cellIs" dxfId="270" priority="121" stopIfTrue="1" operator="equal">
      <formula>"NO ADMISIBLE"</formula>
    </cfRule>
  </conditionalFormatting>
  <conditionalFormatting sqref="A172">
    <cfRule type="cellIs" dxfId="269" priority="120" stopIfTrue="1" operator="equal">
      <formula>"NO ADMISIBLE"</formula>
    </cfRule>
  </conditionalFormatting>
  <conditionalFormatting sqref="A179">
    <cfRule type="cellIs" dxfId="268" priority="119" stopIfTrue="1" operator="equal">
      <formula>"NO ADMISIBLE"</formula>
    </cfRule>
  </conditionalFormatting>
  <conditionalFormatting sqref="A178">
    <cfRule type="cellIs" dxfId="267" priority="118" stopIfTrue="1" operator="equal">
      <formula>"NO ADMISIBLE"</formula>
    </cfRule>
  </conditionalFormatting>
  <conditionalFormatting sqref="A181:A182">
    <cfRule type="cellIs" dxfId="266" priority="117" stopIfTrue="1" operator="equal">
      <formula>"NO ADMISIBLE"</formula>
    </cfRule>
  </conditionalFormatting>
  <conditionalFormatting sqref="A180">
    <cfRule type="cellIs" dxfId="265" priority="116" stopIfTrue="1" operator="equal">
      <formula>"NO ADMISIBLE"</formula>
    </cfRule>
  </conditionalFormatting>
  <conditionalFormatting sqref="A183">
    <cfRule type="cellIs" dxfId="264" priority="115" stopIfTrue="1" operator="equal">
      <formula>"NO ADMISIBLE"</formula>
    </cfRule>
  </conditionalFormatting>
  <conditionalFormatting sqref="A185:A186">
    <cfRule type="cellIs" dxfId="263" priority="114" stopIfTrue="1" operator="equal">
      <formula>"NO ADMISIBLE"</formula>
    </cfRule>
  </conditionalFormatting>
  <conditionalFormatting sqref="A184">
    <cfRule type="cellIs" dxfId="262" priority="113" stopIfTrue="1" operator="equal">
      <formula>"NO ADMISIBLE"</formula>
    </cfRule>
  </conditionalFormatting>
  <conditionalFormatting sqref="A188">
    <cfRule type="cellIs" dxfId="261" priority="112" stopIfTrue="1" operator="equal">
      <formula>"NO ADMISIBLE"</formula>
    </cfRule>
  </conditionalFormatting>
  <conditionalFormatting sqref="A187">
    <cfRule type="cellIs" dxfId="260" priority="111" stopIfTrue="1" operator="equal">
      <formula>"NO ADMISIBLE"</formula>
    </cfRule>
  </conditionalFormatting>
  <conditionalFormatting sqref="A190">
    <cfRule type="cellIs" dxfId="259" priority="110" stopIfTrue="1" operator="equal">
      <formula>"NO ADMISIBLE"</formula>
    </cfRule>
  </conditionalFormatting>
  <conditionalFormatting sqref="A189">
    <cfRule type="cellIs" dxfId="258" priority="109" stopIfTrue="1" operator="equal">
      <formula>"NO ADMISIBLE"</formula>
    </cfRule>
  </conditionalFormatting>
  <conditionalFormatting sqref="A191">
    <cfRule type="cellIs" dxfId="257" priority="108" stopIfTrue="1" operator="equal">
      <formula>"NO ADMISIBLE"</formula>
    </cfRule>
  </conditionalFormatting>
  <conditionalFormatting sqref="A192">
    <cfRule type="cellIs" dxfId="256" priority="107" stopIfTrue="1" operator="equal">
      <formula>"NO ADMISIBLE"</formula>
    </cfRule>
  </conditionalFormatting>
  <conditionalFormatting sqref="A195">
    <cfRule type="cellIs" dxfId="255" priority="106" stopIfTrue="1" operator="equal">
      <formula>"NO ADMISIBLE"</formula>
    </cfRule>
  </conditionalFormatting>
  <conditionalFormatting sqref="A194">
    <cfRule type="cellIs" dxfId="254" priority="105" stopIfTrue="1" operator="equal">
      <formula>"NO ADMISIBLE"</formula>
    </cfRule>
  </conditionalFormatting>
  <conditionalFormatting sqref="A197">
    <cfRule type="cellIs" dxfId="253" priority="104" stopIfTrue="1" operator="equal">
      <formula>"NO ADMISIBLE"</formula>
    </cfRule>
  </conditionalFormatting>
  <conditionalFormatting sqref="A196">
    <cfRule type="cellIs" dxfId="252" priority="103" stopIfTrue="1" operator="equal">
      <formula>"NO ADMISIBLE"</formula>
    </cfRule>
  </conditionalFormatting>
  <conditionalFormatting sqref="A200">
    <cfRule type="cellIs" dxfId="251" priority="102" stopIfTrue="1" operator="equal">
      <formula>"NO ADMISIBLE"</formula>
    </cfRule>
  </conditionalFormatting>
  <conditionalFormatting sqref="A201">
    <cfRule type="cellIs" dxfId="250" priority="101" stopIfTrue="1" operator="equal">
      <formula>"NO ADMISIBLE"</formula>
    </cfRule>
  </conditionalFormatting>
  <conditionalFormatting sqref="A203">
    <cfRule type="cellIs" dxfId="249" priority="100" stopIfTrue="1" operator="equal">
      <formula>"NO ADMISIBLE"</formula>
    </cfRule>
  </conditionalFormatting>
  <conditionalFormatting sqref="A204">
    <cfRule type="cellIs" dxfId="248" priority="99" stopIfTrue="1" operator="equal">
      <formula>"NO ADMISIBLE"</formula>
    </cfRule>
  </conditionalFormatting>
  <conditionalFormatting sqref="A208">
    <cfRule type="cellIs" dxfId="247" priority="98" stopIfTrue="1" operator="equal">
      <formula>"NO ADMISIBLE"</formula>
    </cfRule>
  </conditionalFormatting>
  <conditionalFormatting sqref="A207">
    <cfRule type="cellIs" dxfId="246" priority="97" stopIfTrue="1" operator="equal">
      <formula>"NO ADMISIBLE"</formula>
    </cfRule>
  </conditionalFormatting>
  <conditionalFormatting sqref="A212">
    <cfRule type="cellIs" dxfId="245" priority="96" stopIfTrue="1" operator="equal">
      <formula>"NO ADMISIBLE"</formula>
    </cfRule>
  </conditionalFormatting>
  <conditionalFormatting sqref="A211">
    <cfRule type="cellIs" dxfId="244" priority="95" stopIfTrue="1" operator="equal">
      <formula>"NO ADMISIBLE"</formula>
    </cfRule>
  </conditionalFormatting>
  <conditionalFormatting sqref="A216">
    <cfRule type="cellIs" dxfId="243" priority="94" stopIfTrue="1" operator="equal">
      <formula>"NO ADMISIBLE"</formula>
    </cfRule>
  </conditionalFormatting>
  <conditionalFormatting sqref="A215">
    <cfRule type="cellIs" dxfId="242" priority="93" stopIfTrue="1" operator="equal">
      <formula>"NO ADMISIBLE"</formula>
    </cfRule>
  </conditionalFormatting>
  <conditionalFormatting sqref="A218:A219">
    <cfRule type="cellIs" dxfId="241" priority="92" stopIfTrue="1" operator="equal">
      <formula>"NO ADMISIBLE"</formula>
    </cfRule>
  </conditionalFormatting>
  <conditionalFormatting sqref="A217">
    <cfRule type="cellIs" dxfId="240" priority="91" stopIfTrue="1" operator="equal">
      <formula>"NO ADMISIBLE"</formula>
    </cfRule>
  </conditionalFormatting>
  <conditionalFormatting sqref="A225">
    <cfRule type="cellIs" dxfId="239" priority="88" stopIfTrue="1" operator="equal">
      <formula>"NO ADMISIBLE"</formula>
    </cfRule>
  </conditionalFormatting>
  <conditionalFormatting sqref="A226 A228">
    <cfRule type="cellIs" dxfId="238" priority="89" stopIfTrue="1" operator="equal">
      <formula>"NO ADMISIBLE"</formula>
    </cfRule>
  </conditionalFormatting>
  <conditionalFormatting sqref="A222">
    <cfRule type="cellIs" dxfId="237" priority="90" stopIfTrue="1" operator="equal">
      <formula>"NO ADMISIBLE"</formula>
    </cfRule>
  </conditionalFormatting>
  <conditionalFormatting sqref="A227">
    <cfRule type="cellIs" dxfId="236" priority="87" stopIfTrue="1" operator="equal">
      <formula>"NO ADMISIBLE"</formula>
    </cfRule>
  </conditionalFormatting>
  <conditionalFormatting sqref="A230">
    <cfRule type="cellIs" dxfId="235" priority="86" stopIfTrue="1" operator="equal">
      <formula>"NO ADMISIBLE"</formula>
    </cfRule>
  </conditionalFormatting>
  <conditionalFormatting sqref="A229">
    <cfRule type="cellIs" dxfId="234" priority="85" stopIfTrue="1" operator="equal">
      <formula>"NO ADMISIBLE"</formula>
    </cfRule>
  </conditionalFormatting>
  <conditionalFormatting sqref="A233">
    <cfRule type="cellIs" dxfId="233" priority="84" stopIfTrue="1" operator="equal">
      <formula>"NO ADMISIBLE"</formula>
    </cfRule>
  </conditionalFormatting>
  <conditionalFormatting sqref="A235">
    <cfRule type="cellIs" dxfId="232" priority="81" stopIfTrue="1" operator="equal">
      <formula>"NO ADMISIBLE"</formula>
    </cfRule>
  </conditionalFormatting>
  <conditionalFormatting sqref="A232">
    <cfRule type="cellIs" dxfId="231" priority="83" stopIfTrue="1" operator="equal">
      <formula>"NO ADMISIBLE"</formula>
    </cfRule>
  </conditionalFormatting>
  <conditionalFormatting sqref="A234">
    <cfRule type="cellIs" dxfId="230" priority="82" stopIfTrue="1" operator="equal">
      <formula>"NO ADMISIBLE"</formula>
    </cfRule>
  </conditionalFormatting>
  <conditionalFormatting sqref="A237">
    <cfRule type="cellIs" dxfId="229" priority="80" stopIfTrue="1" operator="equal">
      <formula>"NO ADMISIBLE"</formula>
    </cfRule>
  </conditionalFormatting>
  <conditionalFormatting sqref="A236">
    <cfRule type="cellIs" dxfId="228" priority="79" stopIfTrue="1" operator="equal">
      <formula>"NO ADMISIBLE"</formula>
    </cfRule>
  </conditionalFormatting>
  <conditionalFormatting sqref="A239">
    <cfRule type="cellIs" dxfId="227" priority="78" stopIfTrue="1" operator="equal">
      <formula>"NO ADMISIBLE"</formula>
    </cfRule>
  </conditionalFormatting>
  <conditionalFormatting sqref="A238">
    <cfRule type="cellIs" dxfId="226" priority="77" stopIfTrue="1" operator="equal">
      <formula>"NO ADMISIBLE"</formula>
    </cfRule>
  </conditionalFormatting>
  <conditionalFormatting sqref="A243:A244">
    <cfRule type="cellIs" dxfId="225" priority="76" stopIfTrue="1" operator="equal">
      <formula>"NO ADMISIBLE"</formula>
    </cfRule>
  </conditionalFormatting>
  <conditionalFormatting sqref="A242">
    <cfRule type="cellIs" dxfId="224" priority="75" stopIfTrue="1" operator="equal">
      <formula>"NO ADMISIBLE"</formula>
    </cfRule>
  </conditionalFormatting>
  <conditionalFormatting sqref="A246:A248">
    <cfRule type="cellIs" dxfId="223" priority="74" stopIfTrue="1" operator="equal">
      <formula>"NO ADMISIBLE"</formula>
    </cfRule>
  </conditionalFormatting>
  <conditionalFormatting sqref="A245">
    <cfRule type="cellIs" dxfId="222" priority="73" stopIfTrue="1" operator="equal">
      <formula>"NO ADMISIBLE"</formula>
    </cfRule>
  </conditionalFormatting>
  <conditionalFormatting sqref="A252">
    <cfRule type="cellIs" dxfId="221" priority="72" stopIfTrue="1" operator="equal">
      <formula>"NO ADMISIBLE"</formula>
    </cfRule>
  </conditionalFormatting>
  <conditionalFormatting sqref="A251">
    <cfRule type="cellIs" dxfId="220" priority="71" stopIfTrue="1" operator="equal">
      <formula>"NO ADMISIBLE"</formula>
    </cfRule>
  </conditionalFormatting>
  <conditionalFormatting sqref="A254">
    <cfRule type="cellIs" dxfId="219" priority="70" stopIfTrue="1" operator="equal">
      <formula>"NO ADMISIBLE"</formula>
    </cfRule>
  </conditionalFormatting>
  <conditionalFormatting sqref="A255">
    <cfRule type="cellIs" dxfId="218" priority="68" stopIfTrue="1" operator="equal">
      <formula>"NO ADMISIBLE"</formula>
    </cfRule>
  </conditionalFormatting>
  <conditionalFormatting sqref="A253">
    <cfRule type="cellIs" dxfId="217" priority="69" stopIfTrue="1" operator="equal">
      <formula>"NO ADMISIBLE"</formula>
    </cfRule>
  </conditionalFormatting>
  <conditionalFormatting sqref="A260">
    <cfRule type="cellIs" dxfId="216" priority="67" stopIfTrue="1" operator="equal">
      <formula>"NO ADMISIBLE"</formula>
    </cfRule>
  </conditionalFormatting>
  <conditionalFormatting sqref="A259">
    <cfRule type="cellIs" dxfId="215" priority="66" stopIfTrue="1" operator="equal">
      <formula>"NO ADMISIBLE"</formula>
    </cfRule>
  </conditionalFormatting>
  <conditionalFormatting sqref="A263:A264">
    <cfRule type="cellIs" dxfId="214" priority="65" stopIfTrue="1" operator="equal">
      <formula>"NO ADMISIBLE"</formula>
    </cfRule>
  </conditionalFormatting>
  <conditionalFormatting sqref="A262">
    <cfRule type="cellIs" dxfId="213" priority="64" stopIfTrue="1" operator="equal">
      <formula>"NO ADMISIBLE"</formula>
    </cfRule>
  </conditionalFormatting>
  <conditionalFormatting sqref="A266">
    <cfRule type="cellIs" dxfId="212" priority="63" stopIfTrue="1" operator="equal">
      <formula>"NO ADMISIBLE"</formula>
    </cfRule>
  </conditionalFormatting>
  <conditionalFormatting sqref="A265">
    <cfRule type="cellIs" dxfId="211" priority="62" stopIfTrue="1" operator="equal">
      <formula>"NO ADMISIBLE"</formula>
    </cfRule>
  </conditionalFormatting>
  <conditionalFormatting sqref="A268">
    <cfRule type="cellIs" dxfId="210" priority="61" stopIfTrue="1" operator="equal">
      <formula>"NO ADMISIBLE"</formula>
    </cfRule>
  </conditionalFormatting>
  <conditionalFormatting sqref="A267">
    <cfRule type="cellIs" dxfId="209" priority="60" stopIfTrue="1" operator="equal">
      <formula>"NO ADMISIBLE"</formula>
    </cfRule>
  </conditionalFormatting>
  <conditionalFormatting sqref="A269">
    <cfRule type="cellIs" dxfId="208" priority="59" stopIfTrue="1" operator="equal">
      <formula>"NO ADMISIBLE"</formula>
    </cfRule>
  </conditionalFormatting>
  <conditionalFormatting sqref="A271:A274">
    <cfRule type="cellIs" dxfId="207" priority="58" stopIfTrue="1" operator="equal">
      <formula>"NO ADMISIBLE"</formula>
    </cfRule>
  </conditionalFormatting>
  <conditionalFormatting sqref="A276">
    <cfRule type="cellIs" dxfId="206" priority="55" stopIfTrue="1" operator="equal">
      <formula>"NO ADMISIBLE"</formula>
    </cfRule>
  </conditionalFormatting>
  <conditionalFormatting sqref="A270">
    <cfRule type="cellIs" dxfId="205" priority="57" stopIfTrue="1" operator="equal">
      <formula>"NO ADMISIBLE"</formula>
    </cfRule>
  </conditionalFormatting>
  <conditionalFormatting sqref="A275">
    <cfRule type="cellIs" dxfId="204" priority="56" stopIfTrue="1" operator="equal">
      <formula>"NO ADMISIBLE"</formula>
    </cfRule>
  </conditionalFormatting>
  <conditionalFormatting sqref="A279:A280">
    <cfRule type="cellIs" dxfId="203" priority="54" stopIfTrue="1" operator="equal">
      <formula>"NO ADMISIBLE"</formula>
    </cfRule>
  </conditionalFormatting>
  <conditionalFormatting sqref="A278">
    <cfRule type="cellIs" dxfId="202" priority="53" stopIfTrue="1" operator="equal">
      <formula>"NO ADMISIBLE"</formula>
    </cfRule>
  </conditionalFormatting>
  <conditionalFormatting sqref="A281">
    <cfRule type="cellIs" dxfId="201" priority="52" stopIfTrue="1" operator="equal">
      <formula>"NO ADMISIBLE"</formula>
    </cfRule>
  </conditionalFormatting>
  <conditionalFormatting sqref="A283:A284">
    <cfRule type="cellIs" dxfId="200" priority="51" stopIfTrue="1" operator="equal">
      <formula>"NO ADMISIBLE"</formula>
    </cfRule>
  </conditionalFormatting>
  <conditionalFormatting sqref="A282">
    <cfRule type="cellIs" dxfId="199" priority="50" stopIfTrue="1" operator="equal">
      <formula>"NO ADMISIBLE"</formula>
    </cfRule>
  </conditionalFormatting>
  <conditionalFormatting sqref="A285">
    <cfRule type="cellIs" dxfId="198" priority="49" stopIfTrue="1" operator="equal">
      <formula>"NO ADMISIBLE"</formula>
    </cfRule>
  </conditionalFormatting>
  <conditionalFormatting sqref="A286">
    <cfRule type="cellIs" dxfId="197" priority="48" stopIfTrue="1" operator="equal">
      <formula>"NO ADMISIBLE"</formula>
    </cfRule>
  </conditionalFormatting>
  <conditionalFormatting sqref="A289:A292">
    <cfRule type="cellIs" dxfId="196" priority="46" stopIfTrue="1" operator="equal">
      <formula>"NO ADMISIBLE"</formula>
    </cfRule>
  </conditionalFormatting>
  <conditionalFormatting sqref="A287">
    <cfRule type="cellIs" dxfId="195" priority="47" stopIfTrue="1" operator="equal">
      <formula>"NO ADMISIBLE"</formula>
    </cfRule>
  </conditionalFormatting>
  <conditionalFormatting sqref="A288">
    <cfRule type="cellIs" dxfId="194" priority="45" stopIfTrue="1" operator="equal">
      <formula>"NO ADMISIBLE"</formula>
    </cfRule>
  </conditionalFormatting>
  <conditionalFormatting sqref="A295">
    <cfRule type="cellIs" dxfId="193" priority="44" stopIfTrue="1" operator="equal">
      <formula>"NO ADMISIBLE"</formula>
    </cfRule>
  </conditionalFormatting>
  <conditionalFormatting sqref="A297">
    <cfRule type="cellIs" dxfId="192" priority="43" stopIfTrue="1" operator="equal">
      <formula>"NO ADMISIBLE"</formula>
    </cfRule>
  </conditionalFormatting>
  <conditionalFormatting sqref="A298">
    <cfRule type="cellIs" dxfId="191" priority="42" stopIfTrue="1" operator="equal">
      <formula>"NO ADMISIBLE"</formula>
    </cfRule>
  </conditionalFormatting>
  <conditionalFormatting sqref="A300:A301">
    <cfRule type="cellIs" dxfId="190" priority="41" stopIfTrue="1" operator="equal">
      <formula>"NO ADMISIBLE"</formula>
    </cfRule>
  </conditionalFormatting>
  <conditionalFormatting sqref="A303">
    <cfRule type="cellIs" dxfId="189" priority="40" stopIfTrue="1" operator="equal">
      <formula>"NO ADMISIBLE"</formula>
    </cfRule>
  </conditionalFormatting>
  <conditionalFormatting sqref="A304">
    <cfRule type="cellIs" dxfId="188" priority="39" stopIfTrue="1" operator="equal">
      <formula>"NO ADMISIBLE"</formula>
    </cfRule>
  </conditionalFormatting>
  <conditionalFormatting sqref="A305">
    <cfRule type="cellIs" dxfId="187" priority="38" stopIfTrue="1" operator="equal">
      <formula>"NO ADMISIBLE"</formula>
    </cfRule>
  </conditionalFormatting>
  <conditionalFormatting sqref="A306">
    <cfRule type="cellIs" dxfId="186" priority="37" stopIfTrue="1" operator="equal">
      <formula>"NO ADMISIBLE"</formula>
    </cfRule>
  </conditionalFormatting>
  <conditionalFormatting sqref="A307">
    <cfRule type="cellIs" dxfId="185" priority="36" stopIfTrue="1" operator="equal">
      <formula>"NO ADMISIBLE"</formula>
    </cfRule>
  </conditionalFormatting>
  <conditionalFormatting sqref="A309">
    <cfRule type="cellIs" dxfId="184" priority="35" stopIfTrue="1" operator="equal">
      <formula>"NO ADMISIBLE"</formula>
    </cfRule>
  </conditionalFormatting>
  <conditionalFormatting sqref="A311:A313">
    <cfRule type="cellIs" dxfId="183" priority="34" stopIfTrue="1" operator="equal">
      <formula>"NO ADMISIBLE"</formula>
    </cfRule>
  </conditionalFormatting>
  <conditionalFormatting sqref="A314:A316">
    <cfRule type="cellIs" dxfId="182" priority="33" stopIfTrue="1" operator="equal">
      <formula>"NO ADMISIBLE"</formula>
    </cfRule>
  </conditionalFormatting>
  <conditionalFormatting sqref="A317:A320">
    <cfRule type="cellIs" dxfId="181" priority="32" stopIfTrue="1" operator="equal">
      <formula>"NO ADMISIBLE"</formula>
    </cfRule>
  </conditionalFormatting>
  <conditionalFormatting sqref="A321:A322">
    <cfRule type="cellIs" dxfId="180" priority="31" stopIfTrue="1" operator="equal">
      <formula>"NO ADMISIBLE"</formula>
    </cfRule>
  </conditionalFormatting>
  <conditionalFormatting sqref="A323:A324">
    <cfRule type="cellIs" dxfId="179" priority="30" stopIfTrue="1" operator="equal">
      <formula>"NO ADMISIBLE"</formula>
    </cfRule>
  </conditionalFormatting>
  <conditionalFormatting sqref="A325">
    <cfRule type="cellIs" dxfId="178" priority="29" stopIfTrue="1" operator="equal">
      <formula>"NO ADMISIBLE"</formula>
    </cfRule>
  </conditionalFormatting>
  <conditionalFormatting sqref="A326">
    <cfRule type="cellIs" dxfId="177" priority="28" stopIfTrue="1" operator="equal">
      <formula>"NO ADMISIBLE"</formula>
    </cfRule>
  </conditionalFormatting>
  <conditionalFormatting sqref="A327">
    <cfRule type="cellIs" dxfId="176" priority="27" stopIfTrue="1" operator="equal">
      <formula>"NO ADMISIBLE"</formula>
    </cfRule>
  </conditionalFormatting>
  <conditionalFormatting sqref="A328">
    <cfRule type="cellIs" dxfId="175" priority="26" stopIfTrue="1" operator="equal">
      <formula>"NO ADMISIBLE"</formula>
    </cfRule>
  </conditionalFormatting>
  <conditionalFormatting sqref="A329">
    <cfRule type="cellIs" dxfId="174" priority="25" stopIfTrue="1" operator="equal">
      <formula>"NO ADMISIBLE"</formula>
    </cfRule>
  </conditionalFormatting>
  <conditionalFormatting sqref="A330">
    <cfRule type="cellIs" dxfId="173" priority="24" stopIfTrue="1" operator="equal">
      <formula>"NO ADMISIBLE"</formula>
    </cfRule>
  </conditionalFormatting>
  <conditionalFormatting sqref="A331">
    <cfRule type="cellIs" dxfId="172" priority="23" stopIfTrue="1" operator="equal">
      <formula>"NO ADMISIBLE"</formula>
    </cfRule>
  </conditionalFormatting>
  <conditionalFormatting sqref="A334:A335">
    <cfRule type="cellIs" dxfId="171" priority="22" stopIfTrue="1" operator="equal">
      <formula>"NO ADMISIBLE"</formula>
    </cfRule>
  </conditionalFormatting>
  <conditionalFormatting sqref="A336:A337">
    <cfRule type="cellIs" dxfId="170" priority="21" stopIfTrue="1" operator="equal">
      <formula>"NO ADMISIBLE"</formula>
    </cfRule>
  </conditionalFormatting>
  <conditionalFormatting sqref="A340">
    <cfRule type="cellIs" dxfId="169" priority="20" stopIfTrue="1" operator="equal">
      <formula>"NO ADMISIBLE"</formula>
    </cfRule>
  </conditionalFormatting>
  <conditionalFormatting sqref="A345">
    <cfRule type="cellIs" dxfId="168" priority="19" stopIfTrue="1" operator="equal">
      <formula>"NO ADMISIBLE"</formula>
    </cfRule>
  </conditionalFormatting>
  <conditionalFormatting sqref="A346">
    <cfRule type="cellIs" dxfId="167" priority="18" stopIfTrue="1" operator="equal">
      <formula>"NO ADMISIBLE"</formula>
    </cfRule>
  </conditionalFormatting>
  <conditionalFormatting sqref="A349">
    <cfRule type="cellIs" dxfId="166" priority="17" stopIfTrue="1" operator="equal">
      <formula>"NO ADMISIBLE"</formula>
    </cfRule>
  </conditionalFormatting>
  <conditionalFormatting sqref="A348">
    <cfRule type="cellIs" dxfId="165" priority="16" stopIfTrue="1" operator="equal">
      <formula>"NO ADMISIBLE"</formula>
    </cfRule>
  </conditionalFormatting>
  <conditionalFormatting sqref="A351">
    <cfRule type="cellIs" dxfId="164" priority="15" stopIfTrue="1" operator="equal">
      <formula>"NO ADMISIBLE"</formula>
    </cfRule>
  </conditionalFormatting>
  <conditionalFormatting sqref="A356">
    <cfRule type="cellIs" dxfId="163" priority="13" stopIfTrue="1" operator="equal">
      <formula>"NO ADMISIBLE"</formula>
    </cfRule>
  </conditionalFormatting>
  <conditionalFormatting sqref="A352:A355">
    <cfRule type="cellIs" dxfId="162" priority="14" stopIfTrue="1" operator="equal">
      <formula>"NO ADMISIBLE"</formula>
    </cfRule>
  </conditionalFormatting>
  <conditionalFormatting sqref="F359:G359">
    <cfRule type="cellIs" dxfId="161" priority="187" stopIfTrue="1" operator="equal">
      <formula>"NO ADMISIBLE"</formula>
    </cfRule>
  </conditionalFormatting>
  <conditionalFormatting sqref="A360">
    <cfRule type="cellIs" dxfId="160" priority="186" stopIfTrue="1" operator="equal">
      <formula>"NO ADMISIBLE"</formula>
    </cfRule>
  </conditionalFormatting>
  <conditionalFormatting sqref="A4:A24 A26:A30 A42 A70 A81:A82 A86:A87 A92:A93 A98 A100 A103:A105 A109">
    <cfRule type="cellIs" dxfId="159" priority="185" stopIfTrue="1" operator="equal">
      <formula>"NO ADMISIBLE"</formula>
    </cfRule>
  </conditionalFormatting>
  <conditionalFormatting sqref="A357:A358">
    <cfRule type="cellIs" dxfId="158" priority="12" stopIfTrue="1" operator="equal">
      <formula>"NO ADMISIBLE"</formula>
    </cfRule>
  </conditionalFormatting>
  <conditionalFormatting sqref="A361">
    <cfRule type="cellIs" dxfId="157" priority="11" stopIfTrue="1" operator="equal">
      <formula>"NO ADMISIBLE"</formula>
    </cfRule>
  </conditionalFormatting>
  <conditionalFormatting sqref="A364">
    <cfRule type="cellIs" dxfId="156" priority="10" stopIfTrue="1" operator="equal">
      <formula>"NO ADMISIBLE"</formula>
    </cfRule>
  </conditionalFormatting>
  <conditionalFormatting sqref="A365">
    <cfRule type="cellIs" dxfId="155" priority="9" stopIfTrue="1" operator="equal">
      <formula>"NO ADMISIBLE"</formula>
    </cfRule>
  </conditionalFormatting>
  <conditionalFormatting sqref="A366">
    <cfRule type="cellIs" dxfId="154" priority="8" stopIfTrue="1" operator="equal">
      <formula>"NO ADMISIBLE"</formula>
    </cfRule>
  </conditionalFormatting>
  <conditionalFormatting sqref="A367">
    <cfRule type="cellIs" dxfId="153" priority="7" stopIfTrue="1" operator="equal">
      <formula>"NO ADMISIBLE"</formula>
    </cfRule>
  </conditionalFormatting>
  <conditionalFormatting sqref="F368:G368">
    <cfRule type="cellIs" dxfId="152" priority="6" stopIfTrue="1" operator="equal">
      <formula>"NO ADMISIBLE"</formula>
    </cfRule>
  </conditionalFormatting>
  <conditionalFormatting sqref="A369">
    <cfRule type="cellIs" dxfId="151" priority="5" stopIfTrue="1" operator="equal">
      <formula>"NO ADMISIBLE"</formula>
    </cfRule>
  </conditionalFormatting>
  <conditionalFormatting sqref="A370">
    <cfRule type="cellIs" dxfId="150" priority="4" stopIfTrue="1" operator="equal">
      <formula>"NO ADMISIBLE"</formula>
    </cfRule>
  </conditionalFormatting>
  <conditionalFormatting sqref="A372:A373">
    <cfRule type="cellIs" dxfId="149" priority="3" stopIfTrue="1" operator="equal">
      <formula>"NO ADMISIBLE"</formula>
    </cfRule>
  </conditionalFormatting>
  <conditionalFormatting sqref="A374">
    <cfRule type="cellIs" dxfId="148" priority="1" stopIfTrue="1" operator="equal">
      <formula>"NO ADMISIBLE"</formula>
    </cfRule>
  </conditionalFormatting>
  <dataValidations count="2">
    <dataValidation type="list" allowBlank="1" showInputMessage="1" showErrorMessage="1" sqref="A1502:A1503 B660:B662 A507:A547 A494:A495 A431:A492 A430:B430 A672:A700 A344:A349 B526 A497:A504 A549:A670 A117:A137 A19:A20 A25 A31:A41 A101:A109 B116 A111:A115 A43:A99 A139:A226 A228 A231:A341 A351:A361 A363 A366:A429" xr:uid="{00000000-0002-0000-0100-000000000000}">
      <formula1>prueba</formula1>
    </dataValidation>
    <dataValidation type="list" allowBlank="1" showInputMessage="1" showErrorMessage="1" sqref="A785 A1262 A773:A774 A768 A736" xr:uid="{00000000-0002-0000-0100-000001000000}">
      <formula1>A</formula1>
    </dataValidation>
  </dataValidations>
  <pageMargins left="0.75" right="0.75" top="1" bottom="1" header="0" footer="0"/>
  <pageSetup orientation="portrait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5"/>
  <dimension ref="A3:G372"/>
  <sheetViews>
    <sheetView workbookViewId="0">
      <selection activeCell="B95" sqref="B95"/>
    </sheetView>
  </sheetViews>
  <sheetFormatPr baseColWidth="10" defaultRowHeight="12.75" x14ac:dyDescent="0.2"/>
  <cols>
    <col min="1" max="1" width="85.140625" customWidth="1"/>
    <col min="2" max="2" width="27.28515625" customWidth="1"/>
    <col min="3" max="3" width="22.28515625" customWidth="1"/>
    <col min="4" max="4" width="27.5703125" bestFit="1" customWidth="1"/>
    <col min="5" max="5" width="22.5703125" bestFit="1" customWidth="1"/>
    <col min="6" max="6" width="42.140625" customWidth="1"/>
    <col min="7" max="7" width="28.140625" customWidth="1"/>
  </cols>
  <sheetData>
    <row r="3" spans="1:7" x14ac:dyDescent="0.2">
      <c r="A3" s="267"/>
      <c r="B3" s="268" t="s">
        <v>2</v>
      </c>
      <c r="C3" s="269"/>
      <c r="D3" s="269"/>
      <c r="E3" s="269"/>
      <c r="F3" s="269"/>
      <c r="G3" s="270"/>
    </row>
    <row r="4" spans="1:7" x14ac:dyDescent="0.2">
      <c r="A4" s="268" t="s">
        <v>163</v>
      </c>
      <c r="B4" s="267" t="s">
        <v>3</v>
      </c>
      <c r="C4" s="271" t="s">
        <v>4</v>
      </c>
      <c r="D4" s="271" t="s">
        <v>5</v>
      </c>
      <c r="E4" s="271" t="s">
        <v>6</v>
      </c>
      <c r="F4" s="271" t="s">
        <v>536</v>
      </c>
      <c r="G4" s="272" t="s">
        <v>537</v>
      </c>
    </row>
    <row r="5" spans="1:7" x14ac:dyDescent="0.2">
      <c r="A5" s="267" t="s">
        <v>394</v>
      </c>
      <c r="B5" s="273">
        <v>5482900540</v>
      </c>
      <c r="C5" s="274">
        <v>6074425978</v>
      </c>
      <c r="D5" s="274">
        <v>1822584051</v>
      </c>
      <c r="E5" s="274">
        <v>4135460909</v>
      </c>
      <c r="F5" s="280">
        <v>245201081</v>
      </c>
      <c r="G5" s="281">
        <v>489962</v>
      </c>
    </row>
    <row r="6" spans="1:7" x14ac:dyDescent="0.2">
      <c r="A6" s="275" t="s">
        <v>424</v>
      </c>
      <c r="B6" s="276">
        <v>668817419</v>
      </c>
      <c r="C6" s="92">
        <v>1922426848</v>
      </c>
      <c r="D6" s="92">
        <v>118646415</v>
      </c>
      <c r="E6" s="92">
        <v>717953923</v>
      </c>
      <c r="F6" s="28">
        <v>120967202</v>
      </c>
      <c r="G6" s="282">
        <v>2684003</v>
      </c>
    </row>
    <row r="7" spans="1:7" x14ac:dyDescent="0.2">
      <c r="A7" s="275" t="s">
        <v>418</v>
      </c>
      <c r="B7" s="276">
        <v>162560000</v>
      </c>
      <c r="C7" s="92">
        <v>206871908</v>
      </c>
      <c r="D7" s="92">
        <v>2239860</v>
      </c>
      <c r="E7" s="92">
        <v>57068473</v>
      </c>
      <c r="F7" s="28">
        <v>51693888</v>
      </c>
      <c r="G7" s="282">
        <v>1568441</v>
      </c>
    </row>
    <row r="8" spans="1:7" x14ac:dyDescent="0.2">
      <c r="A8" s="275" t="s">
        <v>332</v>
      </c>
      <c r="B8" s="276">
        <v>1845145000</v>
      </c>
      <c r="C8" s="92">
        <v>3561853000</v>
      </c>
      <c r="D8" s="92">
        <v>943487000</v>
      </c>
      <c r="E8" s="92">
        <v>1337114000</v>
      </c>
      <c r="F8" s="28">
        <v>372401000</v>
      </c>
      <c r="G8" s="282">
        <v>63793121</v>
      </c>
    </row>
    <row r="9" spans="1:7" x14ac:dyDescent="0.2">
      <c r="A9" s="275" t="s">
        <v>429</v>
      </c>
      <c r="B9" s="276">
        <v>669347660</v>
      </c>
      <c r="C9" s="92">
        <v>992651660</v>
      </c>
      <c r="D9" s="92">
        <v>22356230</v>
      </c>
      <c r="E9" s="92">
        <v>22356230</v>
      </c>
      <c r="F9" s="28">
        <v>85551165</v>
      </c>
      <c r="G9" s="282">
        <v>2956230</v>
      </c>
    </row>
    <row r="10" spans="1:7" x14ac:dyDescent="0.2">
      <c r="A10" s="275" t="s">
        <v>502</v>
      </c>
      <c r="B10" s="276">
        <v>9555548431</v>
      </c>
      <c r="C10" s="92">
        <v>37149005515</v>
      </c>
      <c r="D10" s="92">
        <v>837169749</v>
      </c>
      <c r="E10" s="92">
        <v>9071800712</v>
      </c>
      <c r="F10" s="28">
        <v>519236471</v>
      </c>
      <c r="G10" s="282">
        <v>606784150</v>
      </c>
    </row>
    <row r="11" spans="1:7" x14ac:dyDescent="0.2">
      <c r="A11" s="275" t="s">
        <v>471</v>
      </c>
      <c r="B11" s="276">
        <v>296936037000</v>
      </c>
      <c r="C11" s="92">
        <v>357883262000</v>
      </c>
      <c r="D11" s="92">
        <v>146849515000</v>
      </c>
      <c r="E11" s="92">
        <v>156433141000</v>
      </c>
      <c r="F11" s="28">
        <v>13660285000</v>
      </c>
      <c r="G11" s="282">
        <v>2478424000</v>
      </c>
    </row>
    <row r="12" spans="1:7" x14ac:dyDescent="0.2">
      <c r="A12" s="275" t="s">
        <v>403</v>
      </c>
      <c r="B12" s="276">
        <v>16985456767</v>
      </c>
      <c r="C12" s="92">
        <v>32316363079</v>
      </c>
      <c r="D12" s="92">
        <v>8223868947</v>
      </c>
      <c r="E12" s="92">
        <v>18542157464</v>
      </c>
      <c r="F12" s="28">
        <v>3762826226</v>
      </c>
      <c r="G12" s="282">
        <v>359375410</v>
      </c>
    </row>
    <row r="13" spans="1:7" x14ac:dyDescent="0.2">
      <c r="A13" s="275" t="s">
        <v>225</v>
      </c>
      <c r="B13" s="276">
        <v>2952589398</v>
      </c>
      <c r="C13" s="92">
        <v>3919048222</v>
      </c>
      <c r="D13" s="92">
        <v>956457876</v>
      </c>
      <c r="E13" s="92">
        <v>2171168110</v>
      </c>
      <c r="F13" s="28">
        <v>308560542</v>
      </c>
      <c r="G13" s="282">
        <v>34958464</v>
      </c>
    </row>
    <row r="14" spans="1:7" x14ac:dyDescent="0.2">
      <c r="A14" s="275" t="s">
        <v>573</v>
      </c>
      <c r="B14" s="276">
        <v>10279471308</v>
      </c>
      <c r="C14" s="92">
        <v>27122575080</v>
      </c>
      <c r="D14" s="92">
        <v>4092703017</v>
      </c>
      <c r="E14" s="92">
        <v>15523985135</v>
      </c>
      <c r="F14" s="28">
        <v>1996747722</v>
      </c>
      <c r="G14" s="282">
        <v>1071752026</v>
      </c>
    </row>
    <row r="15" spans="1:7" x14ac:dyDescent="0.2">
      <c r="A15" s="275" t="s">
        <v>452</v>
      </c>
      <c r="B15" s="276">
        <v>6381766836</v>
      </c>
      <c r="C15" s="92">
        <v>9012753000</v>
      </c>
      <c r="D15" s="92">
        <v>542417062</v>
      </c>
      <c r="E15" s="92">
        <v>4201904904</v>
      </c>
      <c r="F15" s="28">
        <v>423144797</v>
      </c>
      <c r="G15" s="282">
        <v>46541606</v>
      </c>
    </row>
    <row r="16" spans="1:7" x14ac:dyDescent="0.2">
      <c r="A16" s="275" t="s">
        <v>534</v>
      </c>
      <c r="B16" s="276">
        <v>2521575616</v>
      </c>
      <c r="C16" s="92">
        <v>3480727107</v>
      </c>
      <c r="D16" s="92">
        <v>284553418</v>
      </c>
      <c r="E16" s="92">
        <v>1369539011</v>
      </c>
      <c r="F16" s="28">
        <v>543189292</v>
      </c>
      <c r="G16" s="282">
        <v>133972634</v>
      </c>
    </row>
    <row r="17" spans="1:7" x14ac:dyDescent="0.2">
      <c r="A17" s="275" t="s">
        <v>535</v>
      </c>
      <c r="B17" s="276">
        <v>4074143882</v>
      </c>
      <c r="C17" s="92">
        <v>4949275851</v>
      </c>
      <c r="D17" s="92">
        <v>376409856</v>
      </c>
      <c r="E17" s="92">
        <v>1456502766</v>
      </c>
      <c r="F17" s="28">
        <v>826737125</v>
      </c>
      <c r="G17" s="282">
        <v>122057578</v>
      </c>
    </row>
    <row r="18" spans="1:7" x14ac:dyDescent="0.2">
      <c r="A18" s="275" t="s">
        <v>373</v>
      </c>
      <c r="B18" s="276">
        <v>3015263011</v>
      </c>
      <c r="C18" s="92">
        <v>3678630834</v>
      </c>
      <c r="D18" s="92">
        <v>297394825</v>
      </c>
      <c r="E18" s="92">
        <v>1102988472</v>
      </c>
      <c r="F18" s="28">
        <v>397312270</v>
      </c>
      <c r="G18" s="282">
        <v>14478717</v>
      </c>
    </row>
    <row r="19" spans="1:7" x14ac:dyDescent="0.2">
      <c r="A19" s="275" t="s">
        <v>202</v>
      </c>
      <c r="B19" s="276">
        <v>1364588281</v>
      </c>
      <c r="C19" s="92">
        <v>1844588281</v>
      </c>
      <c r="D19" s="92">
        <v>9244889</v>
      </c>
      <c r="E19" s="92">
        <v>9244889</v>
      </c>
      <c r="F19" s="28">
        <v>233613552</v>
      </c>
      <c r="G19" s="282">
        <v>1</v>
      </c>
    </row>
    <row r="20" spans="1:7" x14ac:dyDescent="0.2">
      <c r="A20" s="275" t="s">
        <v>426</v>
      </c>
      <c r="B20" s="276">
        <v>5482900540</v>
      </c>
      <c r="C20" s="92">
        <v>6074425978</v>
      </c>
      <c r="D20" s="92">
        <v>1822584051</v>
      </c>
      <c r="E20" s="92">
        <v>4135460909</v>
      </c>
      <c r="F20" s="28">
        <v>245201081</v>
      </c>
      <c r="G20" s="282">
        <v>489962</v>
      </c>
    </row>
    <row r="21" spans="1:7" x14ac:dyDescent="0.2">
      <c r="A21" s="275" t="s">
        <v>509</v>
      </c>
      <c r="B21" s="276">
        <v>383334591720</v>
      </c>
      <c r="C21" s="92">
        <v>554897185782</v>
      </c>
      <c r="D21" s="92">
        <v>149984182672</v>
      </c>
      <c r="E21" s="92">
        <v>259060997505</v>
      </c>
      <c r="F21" s="28">
        <v>31879385958</v>
      </c>
      <c r="G21" s="282">
        <v>3690832343</v>
      </c>
    </row>
    <row r="22" spans="1:7" x14ac:dyDescent="0.2">
      <c r="A22" s="275" t="s">
        <v>346</v>
      </c>
      <c r="B22" s="276"/>
      <c r="C22" s="92"/>
      <c r="D22" s="92"/>
      <c r="E22" s="92"/>
      <c r="F22" s="28"/>
      <c r="G22" s="282"/>
    </row>
    <row r="23" spans="1:7" x14ac:dyDescent="0.2">
      <c r="A23" s="275" t="s">
        <v>420</v>
      </c>
      <c r="B23" s="276">
        <v>511082812</v>
      </c>
      <c r="C23" s="92">
        <v>689129321</v>
      </c>
      <c r="D23" s="92">
        <v>1674441</v>
      </c>
      <c r="E23" s="92">
        <v>5234441</v>
      </c>
      <c r="F23" s="28">
        <v>32275881</v>
      </c>
      <c r="G23" s="282">
        <v>3128441</v>
      </c>
    </row>
    <row r="24" spans="1:7" x14ac:dyDescent="0.2">
      <c r="A24" s="275" t="s">
        <v>223</v>
      </c>
      <c r="B24" s="276">
        <v>1016900000</v>
      </c>
      <c r="C24" s="92">
        <v>1170211000</v>
      </c>
      <c r="D24" s="92">
        <v>12140000</v>
      </c>
      <c r="E24" s="92">
        <v>310310000</v>
      </c>
      <c r="F24" s="28">
        <v>147511000</v>
      </c>
      <c r="G24" s="282">
        <v>1</v>
      </c>
    </row>
    <row r="25" spans="1:7" x14ac:dyDescent="0.2">
      <c r="A25" s="275" t="s">
        <v>619</v>
      </c>
      <c r="B25" s="276">
        <v>19586513438</v>
      </c>
      <c r="C25" s="92">
        <v>20616997694</v>
      </c>
      <c r="D25" s="92">
        <v>12442968779</v>
      </c>
      <c r="E25" s="92">
        <v>13555055313</v>
      </c>
      <c r="F25" s="28">
        <v>1910985185</v>
      </c>
      <c r="G25" s="282">
        <v>281287463</v>
      </c>
    </row>
    <row r="26" spans="1:7" x14ac:dyDescent="0.2">
      <c r="A26" s="275" t="s">
        <v>542</v>
      </c>
      <c r="B26" s="276">
        <v>1959802297</v>
      </c>
      <c r="C26" s="92">
        <v>1961442980</v>
      </c>
      <c r="D26" s="92">
        <v>76251555</v>
      </c>
      <c r="E26" s="92">
        <v>76251555</v>
      </c>
      <c r="F26" s="28">
        <v>460473366</v>
      </c>
      <c r="G26" s="282">
        <v>1147839</v>
      </c>
    </row>
    <row r="27" spans="1:7" x14ac:dyDescent="0.2">
      <c r="A27" s="275" t="s">
        <v>464</v>
      </c>
      <c r="B27" s="276">
        <v>749824536336</v>
      </c>
      <c r="C27" s="92">
        <v>938542173707</v>
      </c>
      <c r="D27" s="92">
        <v>268514271200</v>
      </c>
      <c r="E27" s="92">
        <v>446535198470</v>
      </c>
      <c r="F27" s="28">
        <v>74666780002</v>
      </c>
      <c r="G27" s="282">
        <v>15673012709</v>
      </c>
    </row>
    <row r="28" spans="1:7" x14ac:dyDescent="0.2">
      <c r="A28" s="275" t="s">
        <v>508</v>
      </c>
      <c r="B28" s="276">
        <v>6432171840</v>
      </c>
      <c r="C28" s="92">
        <v>7694229812</v>
      </c>
      <c r="D28" s="92">
        <v>889838369</v>
      </c>
      <c r="E28" s="92">
        <v>1197097825</v>
      </c>
      <c r="F28" s="28">
        <v>250319101</v>
      </c>
      <c r="G28" s="282">
        <v>0</v>
      </c>
    </row>
    <row r="29" spans="1:7" x14ac:dyDescent="0.2">
      <c r="A29" s="275" t="s">
        <v>395</v>
      </c>
      <c r="B29" s="276">
        <v>6432171840</v>
      </c>
      <c r="C29" s="92">
        <v>7694229812</v>
      </c>
      <c r="D29" s="92">
        <v>889838369</v>
      </c>
      <c r="E29" s="92">
        <v>1197097825</v>
      </c>
      <c r="F29" s="28">
        <v>250319101</v>
      </c>
      <c r="G29" s="282">
        <v>1</v>
      </c>
    </row>
    <row r="30" spans="1:7" x14ac:dyDescent="0.2">
      <c r="A30" s="275" t="s">
        <v>363</v>
      </c>
      <c r="B30" s="276">
        <v>2728503645</v>
      </c>
      <c r="C30" s="92">
        <v>3326135610</v>
      </c>
      <c r="D30" s="92">
        <v>388870407</v>
      </c>
      <c r="E30" s="92">
        <v>823368967</v>
      </c>
      <c r="F30" s="28">
        <v>378433021</v>
      </c>
      <c r="G30" s="282">
        <v>26676376</v>
      </c>
    </row>
    <row r="31" spans="1:7" x14ac:dyDescent="0.2">
      <c r="A31" s="275" t="s">
        <v>341</v>
      </c>
      <c r="B31" s="276">
        <v>685223771</v>
      </c>
      <c r="C31" s="92">
        <v>826763082</v>
      </c>
      <c r="D31" s="92">
        <v>78696964</v>
      </c>
      <c r="E31" s="92">
        <v>277319795</v>
      </c>
      <c r="F31" s="28">
        <v>329830323</v>
      </c>
      <c r="G31" s="282">
        <v>1049566</v>
      </c>
    </row>
    <row r="32" spans="1:7" x14ac:dyDescent="0.2">
      <c r="A32" s="275" t="s">
        <v>547</v>
      </c>
      <c r="B32" s="276">
        <v>694511721270</v>
      </c>
      <c r="C32" s="92">
        <v>1060701756540</v>
      </c>
      <c r="D32" s="92">
        <v>539219350930</v>
      </c>
      <c r="E32" s="92">
        <v>798773458140</v>
      </c>
      <c r="F32" s="28">
        <v>4033229630</v>
      </c>
      <c r="G32" s="282">
        <v>27537722280</v>
      </c>
    </row>
    <row r="33" spans="1:7" x14ac:dyDescent="0.2">
      <c r="A33" s="275" t="s">
        <v>380</v>
      </c>
      <c r="B33" s="276">
        <v>3596990011</v>
      </c>
      <c r="C33" s="92">
        <v>6174345294</v>
      </c>
      <c r="D33" s="92">
        <v>1362601369</v>
      </c>
      <c r="E33" s="92">
        <v>3617159092</v>
      </c>
      <c r="F33" s="28">
        <v>584431071</v>
      </c>
      <c r="G33" s="282">
        <v>281934390</v>
      </c>
    </row>
    <row r="34" spans="1:7" x14ac:dyDescent="0.2">
      <c r="A34" s="275" t="s">
        <v>384</v>
      </c>
      <c r="B34" s="276">
        <v>11264189797</v>
      </c>
      <c r="C34" s="92">
        <v>11771793030</v>
      </c>
      <c r="D34" s="92">
        <v>5323537651</v>
      </c>
      <c r="E34" s="92">
        <v>6870950750</v>
      </c>
      <c r="F34" s="28">
        <v>1667684017</v>
      </c>
      <c r="G34" s="282">
        <v>174727194</v>
      </c>
    </row>
    <row r="35" spans="1:7" x14ac:dyDescent="0.2">
      <c r="A35" s="275" t="s">
        <v>188</v>
      </c>
      <c r="B35" s="276">
        <v>18034455000</v>
      </c>
      <c r="C35" s="92">
        <v>27312769000</v>
      </c>
      <c r="D35" s="92">
        <v>8958987000</v>
      </c>
      <c r="E35" s="92">
        <v>12875861000</v>
      </c>
      <c r="F35" s="28">
        <v>1878381000</v>
      </c>
      <c r="G35" s="282">
        <v>1090815000</v>
      </c>
    </row>
    <row r="36" spans="1:7" x14ac:dyDescent="0.2">
      <c r="A36" s="275" t="s">
        <v>491</v>
      </c>
      <c r="B36" s="276">
        <v>3010363697</v>
      </c>
      <c r="C36" s="92">
        <v>11657362606</v>
      </c>
      <c r="D36" s="92">
        <v>411891146</v>
      </c>
      <c r="E36" s="92">
        <v>2215241491</v>
      </c>
      <c r="F36" s="28">
        <v>589343035</v>
      </c>
      <c r="G36" s="282">
        <v>10487904</v>
      </c>
    </row>
    <row r="37" spans="1:7" x14ac:dyDescent="0.2">
      <c r="A37" s="275" t="s">
        <v>548</v>
      </c>
      <c r="B37" s="276">
        <v>21040353000</v>
      </c>
      <c r="C37" s="92">
        <v>37725272000</v>
      </c>
      <c r="D37" s="92">
        <v>5020073000</v>
      </c>
      <c r="E37" s="92">
        <v>8253666000</v>
      </c>
      <c r="F37" s="28">
        <v>2874434000</v>
      </c>
      <c r="G37" s="282">
        <v>286572000</v>
      </c>
    </row>
    <row r="38" spans="1:7" x14ac:dyDescent="0.2">
      <c r="A38" s="275" t="s">
        <v>515</v>
      </c>
      <c r="B38" s="276">
        <v>91924151000</v>
      </c>
      <c r="C38" s="92">
        <v>148937884000</v>
      </c>
      <c r="D38" s="92">
        <v>56335634000</v>
      </c>
      <c r="E38" s="92">
        <v>74335488000</v>
      </c>
      <c r="F38" s="28">
        <v>8449312000</v>
      </c>
      <c r="G38" s="282">
        <v>0</v>
      </c>
    </row>
    <row r="39" spans="1:7" x14ac:dyDescent="0.2">
      <c r="A39" s="275" t="s">
        <v>586</v>
      </c>
      <c r="B39" s="276">
        <v>91924151000</v>
      </c>
      <c r="C39" s="92">
        <v>148937884000</v>
      </c>
      <c r="D39" s="92">
        <v>56335634000</v>
      </c>
      <c r="E39" s="92">
        <v>74335488000</v>
      </c>
      <c r="F39" s="28">
        <v>11413735000</v>
      </c>
      <c r="G39" s="282">
        <v>5589543</v>
      </c>
    </row>
    <row r="40" spans="1:7" x14ac:dyDescent="0.2">
      <c r="A40" s="275" t="s">
        <v>427</v>
      </c>
      <c r="B40" s="276">
        <v>497952033</v>
      </c>
      <c r="C40" s="92">
        <v>797708849</v>
      </c>
      <c r="D40" s="92">
        <v>90311735</v>
      </c>
      <c r="E40" s="92">
        <v>90311735</v>
      </c>
      <c r="F40" s="28">
        <v>216256295</v>
      </c>
      <c r="G40" s="282">
        <v>1</v>
      </c>
    </row>
    <row r="41" spans="1:7" x14ac:dyDescent="0.2">
      <c r="A41" s="275" t="s">
        <v>557</v>
      </c>
      <c r="B41" s="276">
        <v>602862632000</v>
      </c>
      <c r="C41" s="92">
        <v>1221438563000</v>
      </c>
      <c r="D41" s="92">
        <v>90838895000</v>
      </c>
      <c r="E41" s="92">
        <v>313672256000</v>
      </c>
      <c r="F41" s="28">
        <v>12260354000</v>
      </c>
      <c r="G41" s="282">
        <v>1685385836</v>
      </c>
    </row>
    <row r="42" spans="1:7" x14ac:dyDescent="0.2">
      <c r="A42" s="275" t="s">
        <v>484</v>
      </c>
      <c r="B42" s="276">
        <v>872666346</v>
      </c>
      <c r="C42" s="92">
        <v>1949382677</v>
      </c>
      <c r="D42" s="92">
        <v>241382102</v>
      </c>
      <c r="E42" s="92">
        <v>717088454</v>
      </c>
      <c r="F42" s="28">
        <v>100014673</v>
      </c>
      <c r="G42" s="282">
        <v>0</v>
      </c>
    </row>
    <row r="43" spans="1:7" x14ac:dyDescent="0.2">
      <c r="A43" s="275" t="s">
        <v>457</v>
      </c>
      <c r="B43" s="276">
        <v>11938693622</v>
      </c>
      <c r="C43" s="92">
        <v>14823899914</v>
      </c>
      <c r="D43" s="92">
        <v>3107174709</v>
      </c>
      <c r="E43" s="92">
        <v>5764545093</v>
      </c>
      <c r="F43" s="28">
        <v>3698311977</v>
      </c>
      <c r="G43" s="282">
        <v>379149462</v>
      </c>
    </row>
    <row r="44" spans="1:7" x14ac:dyDescent="0.2">
      <c r="A44" s="275" t="s">
        <v>595</v>
      </c>
      <c r="B44" s="276">
        <v>125950737000</v>
      </c>
      <c r="C44" s="92">
        <v>306023121000</v>
      </c>
      <c r="D44" s="92">
        <v>55794569000</v>
      </c>
      <c r="E44" s="92">
        <v>182058901000</v>
      </c>
      <c r="F44" s="28">
        <v>26941160000</v>
      </c>
      <c r="G44" s="282">
        <v>2810852000</v>
      </c>
    </row>
    <row r="45" spans="1:7" x14ac:dyDescent="0.2">
      <c r="A45" s="275" t="s">
        <v>324</v>
      </c>
      <c r="B45" s="276">
        <v>10965801080</v>
      </c>
      <c r="C45" s="92">
        <v>12148851956</v>
      </c>
      <c r="D45" s="92">
        <v>3645168102</v>
      </c>
      <c r="E45" s="92">
        <v>8270921818</v>
      </c>
      <c r="F45" s="28">
        <v>490402162</v>
      </c>
      <c r="G45" s="282">
        <v>979924</v>
      </c>
    </row>
    <row r="46" spans="1:7" x14ac:dyDescent="0.2">
      <c r="A46" s="275" t="s">
        <v>194</v>
      </c>
      <c r="B46" s="276">
        <v>99708840151</v>
      </c>
      <c r="C46" s="92">
        <v>169772806631</v>
      </c>
      <c r="D46" s="92">
        <v>52782667480</v>
      </c>
      <c r="E46" s="92">
        <v>70091400004</v>
      </c>
      <c r="F46" s="28">
        <v>9082108219</v>
      </c>
      <c r="G46" s="282">
        <v>4236622637</v>
      </c>
    </row>
    <row r="47" spans="1:7" x14ac:dyDescent="0.2">
      <c r="A47" s="275" t="s">
        <v>434</v>
      </c>
      <c r="B47" s="276">
        <v>752781993</v>
      </c>
      <c r="C47" s="92">
        <v>853293044</v>
      </c>
      <c r="D47" s="92">
        <v>191708805</v>
      </c>
      <c r="E47" s="92">
        <v>241515134</v>
      </c>
      <c r="F47" s="28">
        <v>125946923</v>
      </c>
      <c r="G47" s="282">
        <v>447750</v>
      </c>
    </row>
    <row r="48" spans="1:7" x14ac:dyDescent="0.2">
      <c r="A48" s="275" t="s">
        <v>312</v>
      </c>
      <c r="B48" s="276">
        <v>852078406</v>
      </c>
      <c r="C48" s="92">
        <v>1356078410</v>
      </c>
      <c r="D48" s="92">
        <v>65771359</v>
      </c>
      <c r="E48" s="92">
        <v>378637143</v>
      </c>
      <c r="F48" s="28">
        <v>482538419</v>
      </c>
      <c r="G48" s="282">
        <v>28359625</v>
      </c>
    </row>
    <row r="49" spans="1:7" x14ac:dyDescent="0.2">
      <c r="A49" s="275" t="s">
        <v>385</v>
      </c>
      <c r="B49" s="276">
        <v>1104924253</v>
      </c>
      <c r="C49" s="92">
        <v>1871427946</v>
      </c>
      <c r="D49" s="92">
        <v>27799686</v>
      </c>
      <c r="E49" s="92">
        <v>138726390</v>
      </c>
      <c r="F49" s="28">
        <v>187534976</v>
      </c>
      <c r="G49" s="282">
        <v>4736860</v>
      </c>
    </row>
    <row r="50" spans="1:7" x14ac:dyDescent="0.2">
      <c r="A50" s="275" t="s">
        <v>496</v>
      </c>
      <c r="B50" s="276">
        <v>239621914000</v>
      </c>
      <c r="C50" s="92">
        <v>288408482000</v>
      </c>
      <c r="D50" s="92">
        <v>92082312000</v>
      </c>
      <c r="E50" s="92">
        <v>151334870000</v>
      </c>
      <c r="F50" s="28">
        <v>15251952000</v>
      </c>
      <c r="G50" s="282">
        <v>4845170000</v>
      </c>
    </row>
    <row r="51" spans="1:7" x14ac:dyDescent="0.2">
      <c r="A51" s="275" t="s">
        <v>320</v>
      </c>
      <c r="B51" s="276">
        <v>230487882</v>
      </c>
      <c r="C51" s="92">
        <v>330073967</v>
      </c>
      <c r="D51" s="92">
        <v>18682000</v>
      </c>
      <c r="E51" s="92">
        <v>35935000</v>
      </c>
      <c r="F51" s="28">
        <v>84166700</v>
      </c>
      <c r="G51" s="282">
        <v>3277000</v>
      </c>
    </row>
    <row r="52" spans="1:7" x14ac:dyDescent="0.2">
      <c r="A52" s="275" t="s">
        <v>469</v>
      </c>
      <c r="B52" s="276">
        <v>2000000000</v>
      </c>
      <c r="C52" s="92">
        <v>2000000000</v>
      </c>
      <c r="D52" s="92">
        <v>0</v>
      </c>
      <c r="E52" s="92">
        <v>0</v>
      </c>
      <c r="F52" s="28">
        <v>0</v>
      </c>
      <c r="G52" s="282">
        <v>0</v>
      </c>
    </row>
    <row r="53" spans="1:7" x14ac:dyDescent="0.2">
      <c r="A53" s="275" t="s">
        <v>386</v>
      </c>
      <c r="B53" s="276">
        <v>225784849</v>
      </c>
      <c r="C53" s="92">
        <v>801124714</v>
      </c>
      <c r="D53" s="92">
        <v>372000</v>
      </c>
      <c r="E53" s="92">
        <v>13665011</v>
      </c>
      <c r="F53" s="28">
        <v>41862405</v>
      </c>
      <c r="G53" s="282">
        <v>1468511</v>
      </c>
    </row>
    <row r="54" spans="1:7" x14ac:dyDescent="0.2">
      <c r="A54" s="275" t="s">
        <v>605</v>
      </c>
      <c r="B54" s="276">
        <v>5554017574</v>
      </c>
      <c r="C54" s="92">
        <v>7757739398</v>
      </c>
      <c r="D54" s="92">
        <v>1129034465</v>
      </c>
      <c r="E54" s="92">
        <v>4826890136</v>
      </c>
      <c r="F54" s="28">
        <v>1398158323</v>
      </c>
      <c r="G54" s="282">
        <v>165085237</v>
      </c>
    </row>
    <row r="55" spans="1:7" x14ac:dyDescent="0.2">
      <c r="A55" s="275" t="s">
        <v>408</v>
      </c>
      <c r="B55" s="276">
        <v>494576582</v>
      </c>
      <c r="C55" s="92">
        <v>770565979</v>
      </c>
      <c r="D55" s="92">
        <v>56772362</v>
      </c>
      <c r="E55" s="92">
        <v>213798643</v>
      </c>
      <c r="F55" s="28">
        <v>135143637</v>
      </c>
      <c r="G55" s="282">
        <v>821409</v>
      </c>
    </row>
    <row r="56" spans="1:7" x14ac:dyDescent="0.2">
      <c r="A56" s="275" t="s">
        <v>571</v>
      </c>
      <c r="B56" s="276">
        <v>2537403409</v>
      </c>
      <c r="C56" s="92">
        <v>3613708206</v>
      </c>
      <c r="D56" s="92">
        <v>479585581</v>
      </c>
      <c r="E56" s="92">
        <v>1616042978</v>
      </c>
      <c r="F56" s="28">
        <v>456874899</v>
      </c>
      <c r="G56" s="282">
        <v>56236150</v>
      </c>
    </row>
    <row r="57" spans="1:7" x14ac:dyDescent="0.2">
      <c r="A57" s="275" t="s">
        <v>456</v>
      </c>
      <c r="B57" s="276">
        <v>3043824929</v>
      </c>
      <c r="C57" s="92">
        <v>3350424485</v>
      </c>
      <c r="D57" s="92">
        <v>487583654</v>
      </c>
      <c r="E57" s="92">
        <v>1620232943</v>
      </c>
      <c r="F57" s="28">
        <v>1050584776</v>
      </c>
      <c r="G57" s="282">
        <v>0</v>
      </c>
    </row>
    <row r="58" spans="1:7" x14ac:dyDescent="0.2">
      <c r="A58" s="275" t="s">
        <v>483</v>
      </c>
      <c r="B58" s="276">
        <v>1859748000</v>
      </c>
      <c r="C58" s="92">
        <v>2103799000</v>
      </c>
      <c r="D58" s="92">
        <v>713046000</v>
      </c>
      <c r="E58" s="92">
        <v>946969000</v>
      </c>
      <c r="F58" s="28">
        <v>407919000</v>
      </c>
      <c r="G58" s="282">
        <v>14257000</v>
      </c>
    </row>
    <row r="59" spans="1:7" x14ac:dyDescent="0.2">
      <c r="A59" s="275" t="s">
        <v>553</v>
      </c>
      <c r="B59" s="276">
        <v>1760447203208</v>
      </c>
      <c r="C59" s="92">
        <v>3115400970445</v>
      </c>
      <c r="D59" s="92">
        <v>1644916588935</v>
      </c>
      <c r="E59" s="92">
        <v>2205932116997</v>
      </c>
      <c r="F59" s="28">
        <v>151877291852</v>
      </c>
      <c r="G59" s="282">
        <v>66787562865</v>
      </c>
    </row>
    <row r="60" spans="1:7" x14ac:dyDescent="0.2">
      <c r="A60" s="275" t="s">
        <v>463</v>
      </c>
      <c r="B60" s="276">
        <v>53199181958</v>
      </c>
      <c r="C60" s="92">
        <v>311761028501</v>
      </c>
      <c r="D60" s="92">
        <v>20696361955</v>
      </c>
      <c r="E60" s="92">
        <v>68642587160</v>
      </c>
      <c r="F60" s="28">
        <v>10319400025</v>
      </c>
      <c r="G60" s="282">
        <v>4361412118</v>
      </c>
    </row>
    <row r="61" spans="1:7" x14ac:dyDescent="0.2">
      <c r="A61" s="275" t="s">
        <v>435</v>
      </c>
      <c r="B61" s="276">
        <v>3578767991</v>
      </c>
      <c r="C61" s="92">
        <v>10078678227</v>
      </c>
      <c r="D61" s="92">
        <v>1302920031</v>
      </c>
      <c r="E61" s="92">
        <v>4077052468</v>
      </c>
      <c r="F61" s="28">
        <v>835211120</v>
      </c>
      <c r="G61" s="282">
        <v>120045806</v>
      </c>
    </row>
    <row r="62" spans="1:7" x14ac:dyDescent="0.2">
      <c r="A62" s="275" t="s">
        <v>476</v>
      </c>
      <c r="B62" s="276">
        <v>21018426706</v>
      </c>
      <c r="C62" s="92">
        <v>34555614155</v>
      </c>
      <c r="D62" s="92">
        <v>12825653551</v>
      </c>
      <c r="E62" s="92">
        <v>17008250613</v>
      </c>
      <c r="F62" s="28">
        <v>4268677400</v>
      </c>
      <c r="G62" s="282">
        <v>641955898</v>
      </c>
    </row>
    <row r="63" spans="1:7" x14ac:dyDescent="0.2">
      <c r="A63" s="275" t="s">
        <v>598</v>
      </c>
      <c r="B63" s="276">
        <v>53199181958</v>
      </c>
      <c r="C63" s="92">
        <v>311761028501</v>
      </c>
      <c r="D63" s="92">
        <v>20696361955</v>
      </c>
      <c r="E63" s="92">
        <v>68642587160</v>
      </c>
      <c r="F63" s="28">
        <v>10319400025</v>
      </c>
      <c r="G63" s="282">
        <v>4361412118</v>
      </c>
    </row>
    <row r="64" spans="1:7" x14ac:dyDescent="0.2">
      <c r="A64" s="275" t="s">
        <v>453</v>
      </c>
      <c r="B64" s="276">
        <v>6915953796</v>
      </c>
      <c r="C64" s="92">
        <v>11134370173</v>
      </c>
      <c r="D64" s="92">
        <v>985013478</v>
      </c>
      <c r="E64" s="92">
        <v>4046055334</v>
      </c>
      <c r="F64" s="28">
        <v>1637245137</v>
      </c>
      <c r="G64" s="282">
        <v>32666456</v>
      </c>
    </row>
    <row r="65" spans="1:7" x14ac:dyDescent="0.2">
      <c r="A65" s="275" t="s">
        <v>454</v>
      </c>
      <c r="B65" s="276">
        <v>10387886344</v>
      </c>
      <c r="C65" s="92">
        <v>43832432329</v>
      </c>
      <c r="D65" s="92">
        <v>372286426</v>
      </c>
      <c r="E65" s="92">
        <v>10407151567</v>
      </c>
      <c r="F65" s="28">
        <v>70204738</v>
      </c>
      <c r="G65" s="282">
        <v>933303</v>
      </c>
    </row>
    <row r="66" spans="1:7" x14ac:dyDescent="0.2">
      <c r="A66" s="275" t="s">
        <v>348</v>
      </c>
      <c r="B66" s="276">
        <v>971381569</v>
      </c>
      <c r="C66" s="92">
        <v>1472585263</v>
      </c>
      <c r="D66" s="92">
        <v>58300000</v>
      </c>
      <c r="E66" s="92">
        <v>488674645</v>
      </c>
      <c r="F66" s="28">
        <v>735545200</v>
      </c>
      <c r="G66" s="282">
        <v>8247974</v>
      </c>
    </row>
    <row r="67" spans="1:7" x14ac:dyDescent="0.2">
      <c r="A67" s="275" t="s">
        <v>588</v>
      </c>
      <c r="B67" s="276">
        <v>3177642705</v>
      </c>
      <c r="C67" s="92">
        <v>7429665134</v>
      </c>
      <c r="D67" s="92">
        <v>1773324438</v>
      </c>
      <c r="E67" s="92">
        <v>5143171043</v>
      </c>
      <c r="F67" s="28">
        <v>394044768</v>
      </c>
      <c r="G67" s="282">
        <v>245786168</v>
      </c>
    </row>
    <row r="68" spans="1:7" x14ac:dyDescent="0.2">
      <c r="A68" s="275" t="s">
        <v>461</v>
      </c>
      <c r="B68" s="276">
        <v>8257995775</v>
      </c>
      <c r="C68" s="92">
        <v>13859134696</v>
      </c>
      <c r="D68" s="92">
        <v>3245269708</v>
      </c>
      <c r="E68" s="92">
        <v>7523902580</v>
      </c>
      <c r="F68" s="28">
        <v>2779146245</v>
      </c>
      <c r="G68" s="282">
        <v>698070197</v>
      </c>
    </row>
    <row r="69" spans="1:7" x14ac:dyDescent="0.2">
      <c r="A69" s="275" t="s">
        <v>398</v>
      </c>
      <c r="B69" s="276">
        <v>8257995775</v>
      </c>
      <c r="C69" s="92">
        <v>13859134696</v>
      </c>
      <c r="D69" s="92">
        <v>3245269708</v>
      </c>
      <c r="E69" s="92">
        <v>7523902580</v>
      </c>
      <c r="F69" s="28">
        <v>2779146245</v>
      </c>
      <c r="G69" s="282">
        <v>698070197</v>
      </c>
    </row>
    <row r="70" spans="1:7" x14ac:dyDescent="0.2">
      <c r="A70" s="275" t="s">
        <v>510</v>
      </c>
      <c r="B70" s="276">
        <v>177874314787</v>
      </c>
      <c r="C70" s="92">
        <v>221020437891</v>
      </c>
      <c r="D70" s="92">
        <v>37607442339</v>
      </c>
      <c r="E70" s="92">
        <v>204577632424</v>
      </c>
      <c r="F70" s="28">
        <v>4605445914</v>
      </c>
      <c r="G70" s="282">
        <v>935246445</v>
      </c>
    </row>
    <row r="71" spans="1:7" x14ac:dyDescent="0.2">
      <c r="A71" s="275" t="s">
        <v>445</v>
      </c>
      <c r="B71" s="276">
        <v>78046556747</v>
      </c>
      <c r="C71" s="92">
        <v>86272070879</v>
      </c>
      <c r="D71" s="92">
        <v>16180875214</v>
      </c>
      <c r="E71" s="92">
        <v>57040251034</v>
      </c>
      <c r="F71" s="28">
        <v>7163158204</v>
      </c>
      <c r="G71" s="282">
        <v>3940421395</v>
      </c>
    </row>
    <row r="72" spans="1:7" x14ac:dyDescent="0.2">
      <c r="A72" s="275" t="s">
        <v>540</v>
      </c>
      <c r="B72" s="276">
        <v>351633333000</v>
      </c>
      <c r="C72" s="92">
        <v>1058781667000</v>
      </c>
      <c r="D72" s="92">
        <v>272114523000</v>
      </c>
      <c r="E72" s="92">
        <v>366471325000</v>
      </c>
      <c r="F72" s="28">
        <v>57454859000</v>
      </c>
      <c r="G72" s="282">
        <v>8102625000</v>
      </c>
    </row>
    <row r="73" spans="1:7" x14ac:dyDescent="0.2">
      <c r="A73" s="275" t="s">
        <v>440</v>
      </c>
      <c r="B73" s="276">
        <v>9279518156</v>
      </c>
      <c r="C73" s="92">
        <v>24212966306</v>
      </c>
      <c r="D73" s="92">
        <v>71387183</v>
      </c>
      <c r="E73" s="92">
        <v>11709244133</v>
      </c>
      <c r="F73" s="28">
        <v>1552244741</v>
      </c>
      <c r="G73" s="282">
        <v>488656866</v>
      </c>
    </row>
    <row r="74" spans="1:7" x14ac:dyDescent="0.2">
      <c r="A74" s="275" t="s">
        <v>492</v>
      </c>
      <c r="B74" s="276">
        <v>136595559</v>
      </c>
      <c r="C74" s="92">
        <v>148652005</v>
      </c>
      <c r="D74" s="92">
        <v>38983169</v>
      </c>
      <c r="E74" s="92">
        <v>38983169</v>
      </c>
      <c r="F74" s="28">
        <v>10577005</v>
      </c>
      <c r="G74" s="282">
        <v>442817</v>
      </c>
    </row>
    <row r="75" spans="1:7" x14ac:dyDescent="0.2">
      <c r="A75" s="275" t="s">
        <v>551</v>
      </c>
      <c r="B75" s="276">
        <v>7632471446</v>
      </c>
      <c r="C75" s="92">
        <v>10067844661</v>
      </c>
      <c r="D75" s="92">
        <v>915130427</v>
      </c>
      <c r="E75" s="92">
        <v>2727112673</v>
      </c>
      <c r="F75" s="28">
        <v>1268768173</v>
      </c>
      <c r="G75" s="282">
        <v>174428330</v>
      </c>
    </row>
    <row r="76" spans="1:7" x14ac:dyDescent="0.2">
      <c r="A76" s="275" t="s">
        <v>504</v>
      </c>
      <c r="B76" s="276">
        <v>282407622655</v>
      </c>
      <c r="C76" s="92">
        <v>470366195452</v>
      </c>
      <c r="D76" s="92">
        <v>234467889283</v>
      </c>
      <c r="E76" s="92">
        <v>272510570974</v>
      </c>
      <c r="F76" s="28">
        <v>6710385945</v>
      </c>
      <c r="G76" s="282">
        <v>429842068</v>
      </c>
    </row>
    <row r="77" spans="1:7" x14ac:dyDescent="0.2">
      <c r="A77" s="275" t="s">
        <v>466</v>
      </c>
      <c r="B77" s="276">
        <v>60061190</v>
      </c>
      <c r="C77" s="92">
        <v>60061190</v>
      </c>
      <c r="D77" s="92">
        <v>1982000</v>
      </c>
      <c r="E77" s="92">
        <v>1982000</v>
      </c>
      <c r="F77" s="28">
        <v>0</v>
      </c>
      <c r="G77" s="282">
        <v>0</v>
      </c>
    </row>
    <row r="78" spans="1:7" x14ac:dyDescent="0.2">
      <c r="A78" s="275" t="s">
        <v>221</v>
      </c>
      <c r="B78" s="276">
        <v>257999278291</v>
      </c>
      <c r="C78" s="92">
        <v>343409009043</v>
      </c>
      <c r="D78" s="92">
        <v>109721736317</v>
      </c>
      <c r="E78" s="92">
        <v>255400361090</v>
      </c>
      <c r="F78" s="28">
        <v>26669340686</v>
      </c>
      <c r="G78" s="282">
        <v>2137351046</v>
      </c>
    </row>
    <row r="79" spans="1:7" x14ac:dyDescent="0.2">
      <c r="A79" s="275" t="s">
        <v>514</v>
      </c>
      <c r="B79" s="276">
        <v>42544167000</v>
      </c>
      <c r="C79" s="92">
        <v>50915590000</v>
      </c>
      <c r="D79" s="92">
        <v>16817734000</v>
      </c>
      <c r="E79" s="92">
        <v>18871024000</v>
      </c>
      <c r="F79" s="28">
        <v>2997592000</v>
      </c>
      <c r="G79" s="282">
        <v>203378000</v>
      </c>
    </row>
    <row r="80" spans="1:7" x14ac:dyDescent="0.2">
      <c r="A80" s="275" t="s">
        <v>318</v>
      </c>
      <c r="B80" s="276">
        <v>1175012240</v>
      </c>
      <c r="C80" s="92">
        <v>1491896790</v>
      </c>
      <c r="D80" s="92">
        <v>198258785</v>
      </c>
      <c r="E80" s="92">
        <v>754001868</v>
      </c>
      <c r="F80" s="28">
        <v>63028840</v>
      </c>
      <c r="G80" s="282">
        <v>159556</v>
      </c>
    </row>
    <row r="81" spans="1:7" x14ac:dyDescent="0.2">
      <c r="A81" s="275" t="s">
        <v>462</v>
      </c>
      <c r="B81" s="276">
        <v>11055031000</v>
      </c>
      <c r="C81" s="92">
        <v>26776206000</v>
      </c>
      <c r="D81" s="92">
        <v>1560590000</v>
      </c>
      <c r="E81" s="92">
        <v>7878499000</v>
      </c>
      <c r="F81" s="28">
        <v>2051751000</v>
      </c>
      <c r="G81" s="282">
        <v>22086000</v>
      </c>
    </row>
    <row r="82" spans="1:7" x14ac:dyDescent="0.2">
      <c r="A82" s="275" t="s">
        <v>579</v>
      </c>
      <c r="B82" s="276">
        <v>111978227476</v>
      </c>
      <c r="C82" s="92">
        <v>121783955706</v>
      </c>
      <c r="D82" s="92">
        <v>61117912924</v>
      </c>
      <c r="E82" s="92">
        <v>61668502811</v>
      </c>
      <c r="F82" s="28">
        <v>1780689851</v>
      </c>
      <c r="G82" s="282">
        <v>37831743</v>
      </c>
    </row>
    <row r="83" spans="1:7" x14ac:dyDescent="0.2">
      <c r="A83" s="275" t="s">
        <v>449</v>
      </c>
      <c r="B83" s="276">
        <v>13816411000</v>
      </c>
      <c r="C83" s="92">
        <v>27637698000</v>
      </c>
      <c r="D83" s="92">
        <v>4798774000</v>
      </c>
      <c r="E83" s="92">
        <v>15029237000</v>
      </c>
      <c r="F83" s="28">
        <v>4513796000</v>
      </c>
      <c r="G83" s="282">
        <v>560375000</v>
      </c>
    </row>
    <row r="84" spans="1:7" x14ac:dyDescent="0.2">
      <c r="A84" s="275" t="s">
        <v>470</v>
      </c>
      <c r="B84" s="276">
        <v>280000000</v>
      </c>
      <c r="C84" s="92">
        <v>280000000</v>
      </c>
      <c r="D84" s="92">
        <v>0</v>
      </c>
      <c r="E84" s="92">
        <v>0</v>
      </c>
      <c r="F84" s="28">
        <v>0</v>
      </c>
      <c r="G84" s="282">
        <v>0</v>
      </c>
    </row>
    <row r="85" spans="1:7" x14ac:dyDescent="0.2">
      <c r="A85" s="275" t="s">
        <v>606</v>
      </c>
      <c r="B85" s="276">
        <v>521350644000</v>
      </c>
      <c r="C85" s="92">
        <v>1090713489000</v>
      </c>
      <c r="D85" s="92">
        <v>275138540000</v>
      </c>
      <c r="E85" s="92">
        <v>660498140000</v>
      </c>
      <c r="F85" s="28">
        <v>64784370000</v>
      </c>
      <c r="G85" s="282">
        <v>6561098000</v>
      </c>
    </row>
    <row r="86" spans="1:7" x14ac:dyDescent="0.2">
      <c r="A86" s="275" t="s">
        <v>563</v>
      </c>
      <c r="B86" s="276">
        <v>486667190867</v>
      </c>
      <c r="C86" s="92">
        <v>1908965170327</v>
      </c>
      <c r="D86" s="92">
        <v>350751874184</v>
      </c>
      <c r="E86" s="92">
        <v>845091437313</v>
      </c>
      <c r="F86" s="28">
        <v>73667163134</v>
      </c>
      <c r="G86" s="282">
        <v>22275576796</v>
      </c>
    </row>
    <row r="87" spans="1:7" x14ac:dyDescent="0.2">
      <c r="A87" s="275" t="s">
        <v>518</v>
      </c>
      <c r="B87" s="276">
        <v>14196830702</v>
      </c>
      <c r="C87" s="92">
        <v>18005091636</v>
      </c>
      <c r="D87" s="92">
        <v>4419798585</v>
      </c>
      <c r="E87" s="92">
        <v>10413250902</v>
      </c>
      <c r="F87" s="28">
        <v>2071437419</v>
      </c>
      <c r="G87" s="282">
        <v>191454495</v>
      </c>
    </row>
    <row r="88" spans="1:7" x14ac:dyDescent="0.2">
      <c r="A88" s="275" t="s">
        <v>396</v>
      </c>
      <c r="B88" s="276">
        <v>711673307</v>
      </c>
      <c r="C88" s="92">
        <v>935973307</v>
      </c>
      <c r="D88" s="92">
        <v>9950000</v>
      </c>
      <c r="E88" s="92">
        <v>70950000</v>
      </c>
      <c r="F88" s="28">
        <v>73042610</v>
      </c>
      <c r="G88" s="282">
        <v>1</v>
      </c>
    </row>
    <row r="89" spans="1:7" x14ac:dyDescent="0.2">
      <c r="A89" s="275" t="s">
        <v>494</v>
      </c>
      <c r="B89" s="276">
        <v>578297062375</v>
      </c>
      <c r="C89" s="92">
        <v>1079188897375</v>
      </c>
      <c r="D89" s="92">
        <v>208828730091</v>
      </c>
      <c r="E89" s="92">
        <v>434250505274</v>
      </c>
      <c r="F89" s="28">
        <v>91311474229</v>
      </c>
      <c r="G89" s="282">
        <v>15417012240</v>
      </c>
    </row>
    <row r="90" spans="1:7" x14ac:dyDescent="0.2">
      <c r="A90" s="275" t="s">
        <v>185</v>
      </c>
      <c r="B90" s="276">
        <v>135017621743</v>
      </c>
      <c r="C90" s="92">
        <v>171531298278</v>
      </c>
      <c r="D90" s="92">
        <v>42733975435</v>
      </c>
      <c r="E90" s="92">
        <v>123859975951</v>
      </c>
      <c r="F90" s="28">
        <v>5091593753</v>
      </c>
      <c r="G90" s="282">
        <v>4085250132</v>
      </c>
    </row>
    <row r="91" spans="1:7" x14ac:dyDescent="0.2">
      <c r="A91" s="275" t="s">
        <v>593</v>
      </c>
      <c r="B91" s="276">
        <v>135017621743</v>
      </c>
      <c r="C91" s="92">
        <v>171531298278</v>
      </c>
      <c r="D91" s="92">
        <v>42733975435</v>
      </c>
      <c r="E91" s="92">
        <v>123859975951</v>
      </c>
      <c r="F91" s="28">
        <v>5091593753</v>
      </c>
      <c r="G91" s="282">
        <v>4085250132</v>
      </c>
    </row>
    <row r="92" spans="1:7" x14ac:dyDescent="0.2">
      <c r="A92" s="275" t="s">
        <v>209</v>
      </c>
      <c r="B92" s="276">
        <v>8309480799</v>
      </c>
      <c r="C92" s="92">
        <v>13878619351</v>
      </c>
      <c r="D92" s="92">
        <v>705702360</v>
      </c>
      <c r="E92" s="92">
        <v>2938029149</v>
      </c>
      <c r="F92" s="28">
        <v>802521570</v>
      </c>
      <c r="G92" s="282">
        <v>13892033</v>
      </c>
    </row>
    <row r="93" spans="1:7" x14ac:dyDescent="0.2">
      <c r="A93" s="275" t="s">
        <v>436</v>
      </c>
      <c r="B93" s="276">
        <v>8309489799</v>
      </c>
      <c r="C93" s="92">
        <v>13878619351</v>
      </c>
      <c r="D93" s="92">
        <v>705702360</v>
      </c>
      <c r="E93" s="92">
        <v>2938029149</v>
      </c>
      <c r="F93" s="28">
        <v>802521570</v>
      </c>
      <c r="G93" s="282">
        <v>13892033</v>
      </c>
    </row>
    <row r="94" spans="1:7" x14ac:dyDescent="0.2">
      <c r="A94" s="275" t="s">
        <v>416</v>
      </c>
      <c r="B94" s="276">
        <v>1353789805</v>
      </c>
      <c r="C94" s="92">
        <v>2046220031</v>
      </c>
      <c r="D94" s="92">
        <v>332938789</v>
      </c>
      <c r="E94" s="92">
        <v>406871319</v>
      </c>
      <c r="F94" s="28">
        <v>152388017</v>
      </c>
      <c r="G94" s="282">
        <v>94447446</v>
      </c>
    </row>
    <row r="95" spans="1:7" x14ac:dyDescent="0.2">
      <c r="A95" s="275" t="s">
        <v>517</v>
      </c>
      <c r="B95" s="276">
        <v>13096104665</v>
      </c>
      <c r="C95" s="92">
        <v>13144838199</v>
      </c>
      <c r="D95" s="92">
        <v>4298434752</v>
      </c>
      <c r="E95" s="92">
        <v>11453472032</v>
      </c>
      <c r="F95" s="28">
        <v>3338933857</v>
      </c>
      <c r="G95" s="282">
        <v>109300</v>
      </c>
    </row>
    <row r="96" spans="1:7" x14ac:dyDescent="0.2">
      <c r="A96" s="275" t="s">
        <v>404</v>
      </c>
      <c r="B96" s="276">
        <v>647467180</v>
      </c>
      <c r="C96" s="92">
        <v>848817180</v>
      </c>
      <c r="D96" s="92">
        <v>10726140</v>
      </c>
      <c r="E96" s="92">
        <v>198716220</v>
      </c>
      <c r="F96" s="28">
        <v>90986620</v>
      </c>
      <c r="G96" s="282">
        <v>452300</v>
      </c>
    </row>
    <row r="97" spans="1:7" x14ac:dyDescent="0.2">
      <c r="A97" s="275" t="s">
        <v>618</v>
      </c>
      <c r="B97" s="276">
        <v>6939486556</v>
      </c>
      <c r="C97" s="92">
        <v>13947711832</v>
      </c>
      <c r="D97" s="92">
        <v>2271013313</v>
      </c>
      <c r="E97" s="92">
        <v>5546924544</v>
      </c>
      <c r="F97" s="28">
        <v>1322022221</v>
      </c>
      <c r="G97" s="282">
        <v>301632220</v>
      </c>
    </row>
    <row r="98" spans="1:7" x14ac:dyDescent="0.2">
      <c r="A98" s="275" t="s">
        <v>351</v>
      </c>
      <c r="B98" s="276">
        <v>177203390</v>
      </c>
      <c r="C98" s="92">
        <v>1291108390</v>
      </c>
      <c r="D98" s="92">
        <v>1</v>
      </c>
      <c r="E98" s="92">
        <v>14504</v>
      </c>
      <c r="F98" s="28"/>
      <c r="G98" s="282"/>
    </row>
    <row r="99" spans="1:7" x14ac:dyDescent="0.2">
      <c r="A99" s="275" t="s">
        <v>326</v>
      </c>
      <c r="B99" s="276">
        <v>761732731</v>
      </c>
      <c r="C99" s="92">
        <v>1301710239</v>
      </c>
      <c r="D99" s="92">
        <v>10073515</v>
      </c>
      <c r="E99" s="92">
        <v>253812654</v>
      </c>
      <c r="F99" s="28">
        <v>116767545</v>
      </c>
      <c r="G99" s="282">
        <v>9701529</v>
      </c>
    </row>
    <row r="100" spans="1:7" x14ac:dyDescent="0.2">
      <c r="A100" s="275" t="s">
        <v>546</v>
      </c>
      <c r="B100" s="276">
        <v>53908410167</v>
      </c>
      <c r="C100" s="92">
        <v>202888103863</v>
      </c>
      <c r="D100" s="92">
        <v>35731393959</v>
      </c>
      <c r="E100" s="92">
        <v>95972276486</v>
      </c>
      <c r="F100" s="28">
        <v>9619081672</v>
      </c>
      <c r="G100" s="282">
        <v>6638257987</v>
      </c>
    </row>
    <row r="101" spans="1:7" x14ac:dyDescent="0.2">
      <c r="A101" s="275" t="s">
        <v>578</v>
      </c>
      <c r="B101" s="276">
        <v>55627812486</v>
      </c>
      <c r="C101" s="92">
        <v>73935811615</v>
      </c>
      <c r="D101" s="92">
        <v>8325702602</v>
      </c>
      <c r="E101" s="92">
        <v>43861216959</v>
      </c>
      <c r="F101" s="28">
        <v>17822436877</v>
      </c>
      <c r="G101" s="282">
        <v>2654547251</v>
      </c>
    </row>
    <row r="102" spans="1:7" x14ac:dyDescent="0.2">
      <c r="A102" s="275" t="s">
        <v>611</v>
      </c>
      <c r="B102" s="276">
        <v>13012906000</v>
      </c>
      <c r="C102" s="92">
        <v>13798726000</v>
      </c>
      <c r="D102" s="92">
        <v>3049462000</v>
      </c>
      <c r="E102" s="92">
        <v>6197792000</v>
      </c>
      <c r="F102" s="28">
        <v>1707296000</v>
      </c>
      <c r="G102" s="282">
        <v>249516000</v>
      </c>
    </row>
    <row r="103" spans="1:7" x14ac:dyDescent="0.2">
      <c r="A103" s="275" t="s">
        <v>448</v>
      </c>
      <c r="B103" s="276"/>
      <c r="C103" s="92"/>
      <c r="D103" s="92"/>
      <c r="E103" s="92"/>
      <c r="F103" s="28"/>
      <c r="G103" s="282"/>
    </row>
    <row r="104" spans="1:7" x14ac:dyDescent="0.2">
      <c r="A104" s="275" t="s">
        <v>468</v>
      </c>
      <c r="B104" s="276">
        <v>15258809814</v>
      </c>
      <c r="C104" s="92">
        <v>22897015779</v>
      </c>
      <c r="D104" s="92">
        <v>1788239361</v>
      </c>
      <c r="E104" s="92">
        <v>8599916196</v>
      </c>
      <c r="F104" s="28">
        <v>2005549750</v>
      </c>
      <c r="G104" s="282">
        <v>115917126</v>
      </c>
    </row>
    <row r="105" spans="1:7" x14ac:dyDescent="0.2">
      <c r="A105" s="275" t="s">
        <v>567</v>
      </c>
      <c r="B105" s="276">
        <v>394128889000</v>
      </c>
      <c r="C105" s="92">
        <v>1491064801000</v>
      </c>
      <c r="D105" s="92">
        <v>140080983000</v>
      </c>
      <c r="E105" s="92">
        <v>599760750000</v>
      </c>
      <c r="F105" s="28">
        <v>50832164000</v>
      </c>
      <c r="G105" s="282">
        <v>3877615000</v>
      </c>
    </row>
    <row r="106" spans="1:7" x14ac:dyDescent="0.2">
      <c r="A106" s="275" t="s">
        <v>516</v>
      </c>
      <c r="B106" s="276">
        <v>1390671581</v>
      </c>
      <c r="C106" s="92">
        <v>1775581568</v>
      </c>
      <c r="D106" s="92">
        <v>89785529</v>
      </c>
      <c r="E106" s="92">
        <v>572445609</v>
      </c>
      <c r="F106" s="28">
        <v>4607513</v>
      </c>
      <c r="G106" s="282">
        <v>4307580</v>
      </c>
    </row>
    <row r="107" spans="1:7" x14ac:dyDescent="0.2">
      <c r="A107" s="275" t="s">
        <v>340</v>
      </c>
      <c r="B107" s="276">
        <v>661623262</v>
      </c>
      <c r="C107" s="92">
        <v>721823015</v>
      </c>
      <c r="D107" s="92">
        <v>25635886</v>
      </c>
      <c r="E107" s="92">
        <v>56790086</v>
      </c>
      <c r="F107" s="28">
        <v>188168600</v>
      </c>
      <c r="G107" s="282">
        <v>1</v>
      </c>
    </row>
    <row r="108" spans="1:7" x14ac:dyDescent="0.2">
      <c r="A108" s="275" t="s">
        <v>550</v>
      </c>
      <c r="B108" s="276">
        <v>11451012901</v>
      </c>
      <c r="C108" s="92">
        <v>11760766581</v>
      </c>
      <c r="D108" s="92">
        <v>2021237596</v>
      </c>
      <c r="E108" s="92">
        <v>3346029551</v>
      </c>
      <c r="F108" s="28">
        <v>2535077849</v>
      </c>
      <c r="G108" s="282">
        <v>211743557</v>
      </c>
    </row>
    <row r="109" spans="1:7" x14ac:dyDescent="0.2">
      <c r="A109" s="275" t="s">
        <v>313</v>
      </c>
      <c r="B109" s="276">
        <v>289057203</v>
      </c>
      <c r="C109" s="92">
        <v>289057203</v>
      </c>
      <c r="D109" s="92">
        <v>13524534</v>
      </c>
      <c r="E109" s="92">
        <v>63524534</v>
      </c>
      <c r="F109" s="28">
        <v>123351835</v>
      </c>
      <c r="G109" s="282">
        <v>0</v>
      </c>
    </row>
    <row r="110" spans="1:7" x14ac:dyDescent="0.2">
      <c r="A110" s="275" t="s">
        <v>539</v>
      </c>
      <c r="B110" s="276">
        <v>15675191373</v>
      </c>
      <c r="C110" s="92">
        <v>22625191373</v>
      </c>
      <c r="D110" s="92">
        <v>330000000</v>
      </c>
      <c r="E110" s="92">
        <v>330000000</v>
      </c>
      <c r="F110" s="28">
        <v>1310317691</v>
      </c>
      <c r="G110" s="282">
        <v>1856362</v>
      </c>
    </row>
    <row r="111" spans="1:7" x14ac:dyDescent="0.2">
      <c r="A111" s="275" t="s">
        <v>401</v>
      </c>
      <c r="B111" s="276">
        <v>1677561527</v>
      </c>
      <c r="C111" s="92">
        <v>2322331854</v>
      </c>
      <c r="D111" s="92">
        <v>56959424</v>
      </c>
      <c r="E111" s="92">
        <v>635007996</v>
      </c>
      <c r="F111" s="28">
        <v>337174340</v>
      </c>
      <c r="G111" s="282">
        <v>21573416</v>
      </c>
    </row>
    <row r="112" spans="1:7" x14ac:dyDescent="0.2">
      <c r="A112" s="275" t="s">
        <v>328</v>
      </c>
      <c r="B112" s="276">
        <v>2538469640</v>
      </c>
      <c r="C112" s="92">
        <v>3108943648</v>
      </c>
      <c r="D112" s="92">
        <v>341804264</v>
      </c>
      <c r="E112" s="92">
        <v>1133907917</v>
      </c>
      <c r="F112" s="28">
        <v>348394530</v>
      </c>
      <c r="G112" s="282">
        <v>9274373</v>
      </c>
    </row>
    <row r="113" spans="1:7" x14ac:dyDescent="0.2">
      <c r="A113" s="275" t="s">
        <v>366</v>
      </c>
      <c r="B113" s="276">
        <v>798016202</v>
      </c>
      <c r="C113" s="92">
        <v>822282773</v>
      </c>
      <c r="D113" s="92">
        <v>139908252</v>
      </c>
      <c r="E113" s="92">
        <v>295932262</v>
      </c>
      <c r="F113" s="28">
        <v>167456754</v>
      </c>
      <c r="G113" s="282">
        <v>1</v>
      </c>
    </row>
    <row r="114" spans="1:7" x14ac:dyDescent="0.2">
      <c r="A114" s="275" t="s">
        <v>612</v>
      </c>
      <c r="B114" s="276">
        <v>18323991867</v>
      </c>
      <c r="C114" s="92">
        <v>21093128213</v>
      </c>
      <c r="D114" s="92">
        <v>1195281763</v>
      </c>
      <c r="E114" s="92">
        <v>6509918816</v>
      </c>
      <c r="F114" s="28">
        <v>2655089978</v>
      </c>
      <c r="G114" s="282">
        <v>210157362</v>
      </c>
    </row>
    <row r="115" spans="1:7" x14ac:dyDescent="0.2">
      <c r="A115" s="275" t="s">
        <v>561</v>
      </c>
      <c r="B115" s="276">
        <v>6358022883</v>
      </c>
      <c r="C115" s="92">
        <v>8825805702</v>
      </c>
      <c r="D115" s="92">
        <v>2153085818</v>
      </c>
      <c r="E115" s="92">
        <v>4939292735</v>
      </c>
      <c r="F115" s="28">
        <v>503003184</v>
      </c>
      <c r="G115" s="282">
        <v>21117099</v>
      </c>
    </row>
    <row r="116" spans="1:7" x14ac:dyDescent="0.2">
      <c r="A116" s="275" t="s">
        <v>232</v>
      </c>
      <c r="B116" s="276">
        <v>2119476744</v>
      </c>
      <c r="C116" s="92">
        <v>4806629584</v>
      </c>
      <c r="D116" s="92">
        <v>176018488</v>
      </c>
      <c r="E116" s="92">
        <v>1708248551</v>
      </c>
      <c r="F116" s="28">
        <v>337666126</v>
      </c>
      <c r="G116" s="282">
        <v>6026000</v>
      </c>
    </row>
    <row r="117" spans="1:7" x14ac:dyDescent="0.2">
      <c r="A117" s="275" t="s">
        <v>607</v>
      </c>
      <c r="B117" s="276">
        <v>76091345579</v>
      </c>
      <c r="C117" s="92">
        <v>82430675639</v>
      </c>
      <c r="D117" s="92">
        <v>14535220841</v>
      </c>
      <c r="E117" s="92">
        <v>60914583723</v>
      </c>
      <c r="F117" s="28">
        <v>7029893934</v>
      </c>
      <c r="G117" s="282">
        <v>468329500</v>
      </c>
    </row>
    <row r="118" spans="1:7" x14ac:dyDescent="0.2">
      <c r="A118" s="275" t="s">
        <v>192</v>
      </c>
      <c r="B118" s="276">
        <v>5686171000</v>
      </c>
      <c r="C118" s="92">
        <v>5843203000</v>
      </c>
      <c r="D118" s="92">
        <v>1079332000</v>
      </c>
      <c r="E118" s="92">
        <v>2863333000</v>
      </c>
      <c r="F118" s="28">
        <v>1048656000</v>
      </c>
      <c r="G118" s="282">
        <v>34008000</v>
      </c>
    </row>
    <row r="119" spans="1:7" x14ac:dyDescent="0.2">
      <c r="A119" s="275" t="s">
        <v>383</v>
      </c>
      <c r="B119" s="276">
        <v>5686171000</v>
      </c>
      <c r="C119" s="92">
        <v>5843203000</v>
      </c>
      <c r="D119" s="92">
        <v>1079332000</v>
      </c>
      <c r="E119" s="92">
        <v>2863333000</v>
      </c>
      <c r="F119" s="28">
        <v>1048565000</v>
      </c>
      <c r="G119" s="282">
        <v>34008000</v>
      </c>
    </row>
    <row r="120" spans="1:7" x14ac:dyDescent="0.2">
      <c r="A120" s="275" t="s">
        <v>240</v>
      </c>
      <c r="B120" s="276">
        <v>1626559960</v>
      </c>
      <c r="C120" s="92">
        <v>2261486102</v>
      </c>
      <c r="D120" s="92">
        <v>59434000</v>
      </c>
      <c r="E120" s="92">
        <v>90925000</v>
      </c>
      <c r="F120" s="28">
        <v>209226542</v>
      </c>
      <c r="G120" s="282">
        <v>1</v>
      </c>
    </row>
    <row r="121" spans="1:7" x14ac:dyDescent="0.2">
      <c r="A121" s="275" t="s">
        <v>616</v>
      </c>
      <c r="B121" s="276">
        <v>5063629913</v>
      </c>
      <c r="C121" s="92">
        <v>5233728046</v>
      </c>
      <c r="D121" s="92">
        <v>543392116</v>
      </c>
      <c r="E121" s="92">
        <v>819015649</v>
      </c>
      <c r="F121" s="28">
        <v>1832351977</v>
      </c>
      <c r="G121" s="282">
        <v>37882686</v>
      </c>
    </row>
    <row r="122" spans="1:7" x14ac:dyDescent="0.2">
      <c r="A122" s="275" t="s">
        <v>378</v>
      </c>
      <c r="B122" s="276">
        <v>5878909015</v>
      </c>
      <c r="C122" s="92">
        <v>8226756488</v>
      </c>
      <c r="D122" s="92">
        <v>2075613949</v>
      </c>
      <c r="E122" s="92">
        <v>4008370849</v>
      </c>
      <c r="F122" s="28">
        <v>1891047868</v>
      </c>
      <c r="G122" s="282">
        <v>151751435</v>
      </c>
    </row>
    <row r="123" spans="1:7" x14ac:dyDescent="0.2">
      <c r="A123" s="275" t="s">
        <v>237</v>
      </c>
      <c r="B123" s="276">
        <v>7051268191</v>
      </c>
      <c r="C123" s="92">
        <v>11335175040</v>
      </c>
      <c r="D123" s="92">
        <v>82504173</v>
      </c>
      <c r="E123" s="92">
        <v>783628144</v>
      </c>
      <c r="F123" s="28">
        <v>1700282260</v>
      </c>
      <c r="G123" s="282">
        <v>7803313</v>
      </c>
    </row>
    <row r="124" spans="1:7" x14ac:dyDescent="0.2">
      <c r="A124" s="275" t="s">
        <v>597</v>
      </c>
      <c r="B124" s="276">
        <v>315120631268</v>
      </c>
      <c r="C124" s="92">
        <v>543278488364</v>
      </c>
      <c r="D124" s="92">
        <v>167620420272</v>
      </c>
      <c r="E124" s="92">
        <v>372815514726</v>
      </c>
      <c r="F124" s="28">
        <v>15439009067</v>
      </c>
      <c r="G124" s="282">
        <v>11706907316</v>
      </c>
    </row>
    <row r="125" spans="1:7" x14ac:dyDescent="0.2">
      <c r="A125" s="275" t="s">
        <v>520</v>
      </c>
      <c r="B125" s="276">
        <v>5253520000</v>
      </c>
      <c r="C125" s="92">
        <v>5516005000</v>
      </c>
      <c r="D125" s="92">
        <v>256106000</v>
      </c>
      <c r="E125" s="92">
        <v>479203000</v>
      </c>
      <c r="F125" s="28">
        <v>686943000</v>
      </c>
      <c r="G125" s="282">
        <v>21194000</v>
      </c>
    </row>
    <row r="126" spans="1:7" x14ac:dyDescent="0.2">
      <c r="A126" s="275" t="s">
        <v>596</v>
      </c>
      <c r="B126" s="276">
        <v>2295678127</v>
      </c>
      <c r="C126" s="92">
        <v>2295678127</v>
      </c>
      <c r="D126" s="92">
        <v>348900763</v>
      </c>
      <c r="E126" s="92">
        <v>770266924</v>
      </c>
      <c r="F126" s="28">
        <v>655872197</v>
      </c>
      <c r="G126" s="282">
        <v>0</v>
      </c>
    </row>
    <row r="127" spans="1:7" x14ac:dyDescent="0.2">
      <c r="A127" s="275" t="s">
        <v>541</v>
      </c>
      <c r="B127" s="276">
        <v>9318681799</v>
      </c>
      <c r="C127" s="92">
        <v>10604889235</v>
      </c>
      <c r="D127" s="92">
        <v>745772549</v>
      </c>
      <c r="E127" s="92">
        <v>1093337843</v>
      </c>
      <c r="F127" s="28">
        <v>835241262</v>
      </c>
      <c r="G127" s="282">
        <v>56691218</v>
      </c>
    </row>
    <row r="128" spans="1:7" x14ac:dyDescent="0.2">
      <c r="A128" s="275" t="s">
        <v>544</v>
      </c>
      <c r="B128" s="276">
        <v>78241247582</v>
      </c>
      <c r="C128" s="92">
        <v>127729710063</v>
      </c>
      <c r="D128" s="92">
        <v>7485963545</v>
      </c>
      <c r="E128" s="92">
        <v>68374298790</v>
      </c>
      <c r="F128" s="28">
        <v>2621354437</v>
      </c>
      <c r="G128" s="282">
        <v>27348839</v>
      </c>
    </row>
    <row r="129" spans="1:7" x14ac:dyDescent="0.2">
      <c r="A129" s="275" t="s">
        <v>423</v>
      </c>
      <c r="B129" s="276">
        <v>1430718942</v>
      </c>
      <c r="C129" s="92">
        <v>1522635799</v>
      </c>
      <c r="D129" s="92">
        <v>93059803</v>
      </c>
      <c r="E129" s="92">
        <v>431945877</v>
      </c>
      <c r="F129" s="28">
        <v>76320160</v>
      </c>
      <c r="G129" s="282">
        <v>93850</v>
      </c>
    </row>
    <row r="130" spans="1:7" x14ac:dyDescent="0.2">
      <c r="A130" s="275" t="s">
        <v>576</v>
      </c>
      <c r="B130" s="276">
        <v>56272924150</v>
      </c>
      <c r="C130" s="92">
        <v>65341159673</v>
      </c>
      <c r="D130" s="92">
        <v>5928263213</v>
      </c>
      <c r="E130" s="92">
        <v>28780814798</v>
      </c>
      <c r="F130" s="28">
        <v>1977528434</v>
      </c>
      <c r="G130" s="282">
        <v>32950</v>
      </c>
    </row>
    <row r="131" spans="1:7" x14ac:dyDescent="0.2">
      <c r="A131" s="275" t="s">
        <v>183</v>
      </c>
      <c r="B131" s="276">
        <v>753972817</v>
      </c>
      <c r="C131" s="92">
        <v>764492817</v>
      </c>
      <c r="D131" s="92">
        <v>11745649</v>
      </c>
      <c r="E131" s="92">
        <v>11745649</v>
      </c>
      <c r="F131" s="28">
        <v>57193325</v>
      </c>
      <c r="G131" s="282">
        <v>1</v>
      </c>
    </row>
    <row r="132" spans="1:7" x14ac:dyDescent="0.2">
      <c r="A132" s="275" t="s">
        <v>511</v>
      </c>
      <c r="B132" s="276">
        <v>69066781084</v>
      </c>
      <c r="C132" s="92">
        <v>121981505282</v>
      </c>
      <c r="D132" s="92">
        <v>37232031462</v>
      </c>
      <c r="E132" s="92">
        <v>71620219688</v>
      </c>
      <c r="F132" s="28">
        <v>14667760157</v>
      </c>
      <c r="G132" s="282">
        <v>2932026884</v>
      </c>
    </row>
    <row r="133" spans="1:7" x14ac:dyDescent="0.2">
      <c r="A133" s="275" t="s">
        <v>206</v>
      </c>
      <c r="B133" s="276">
        <v>8382360773</v>
      </c>
      <c r="C133" s="92">
        <v>11207224525</v>
      </c>
      <c r="D133" s="92">
        <v>1065523970</v>
      </c>
      <c r="E133" s="92">
        <v>3923099109</v>
      </c>
      <c r="F133" s="28">
        <v>706003439</v>
      </c>
      <c r="G133" s="282">
        <v>32637504</v>
      </c>
    </row>
    <row r="134" spans="1:7" x14ac:dyDescent="0.2">
      <c r="A134" s="275" t="s">
        <v>228</v>
      </c>
      <c r="B134" s="276">
        <v>21040353000</v>
      </c>
      <c r="C134" s="92">
        <v>37725272000</v>
      </c>
      <c r="D134" s="92">
        <v>5020073000</v>
      </c>
      <c r="E134" s="92">
        <v>8253666000</v>
      </c>
      <c r="F134" s="28">
        <v>2874434000</v>
      </c>
      <c r="G134" s="282">
        <v>286572000</v>
      </c>
    </row>
    <row r="135" spans="1:7" x14ac:dyDescent="0.2">
      <c r="A135" s="275" t="s">
        <v>601</v>
      </c>
      <c r="B135" s="276">
        <v>3118350903</v>
      </c>
      <c r="C135" s="92">
        <v>7079734577</v>
      </c>
      <c r="D135" s="92">
        <v>356201396</v>
      </c>
      <c r="E135" s="92">
        <v>2041525278</v>
      </c>
      <c r="F135" s="28">
        <v>573022122</v>
      </c>
      <c r="G135" s="282">
        <v>83716244</v>
      </c>
    </row>
    <row r="136" spans="1:7" x14ac:dyDescent="0.2">
      <c r="A136" s="275" t="s">
        <v>409</v>
      </c>
      <c r="B136" s="276">
        <v>604310000</v>
      </c>
      <c r="C136" s="92">
        <v>1012305000</v>
      </c>
      <c r="D136" s="92">
        <v>14500000</v>
      </c>
      <c r="E136" s="92">
        <v>15480000</v>
      </c>
      <c r="F136" s="28">
        <v>97398700</v>
      </c>
      <c r="G136" s="282">
        <v>1</v>
      </c>
    </row>
    <row r="137" spans="1:7" x14ac:dyDescent="0.2">
      <c r="A137" s="275" t="s">
        <v>231</v>
      </c>
      <c r="B137" s="276">
        <v>1238090314</v>
      </c>
      <c r="C137" s="92">
        <v>1342006314</v>
      </c>
      <c r="D137" s="92">
        <v>34875200</v>
      </c>
      <c r="E137" s="92">
        <v>380747200</v>
      </c>
      <c r="F137" s="28">
        <v>334217137</v>
      </c>
      <c r="G137" s="282">
        <v>2624150</v>
      </c>
    </row>
    <row r="138" spans="1:7" x14ac:dyDescent="0.2">
      <c r="A138" s="275" t="s">
        <v>352</v>
      </c>
      <c r="B138" s="276">
        <v>177203380</v>
      </c>
      <c r="C138" s="92">
        <v>1291108390</v>
      </c>
      <c r="D138" s="92">
        <v>1</v>
      </c>
      <c r="E138" s="92">
        <v>14504678</v>
      </c>
      <c r="F138" s="28">
        <v>32196000</v>
      </c>
      <c r="G138" s="282">
        <v>2996000</v>
      </c>
    </row>
    <row r="139" spans="1:7" x14ac:dyDescent="0.2">
      <c r="A139" s="275" t="s">
        <v>507</v>
      </c>
      <c r="B139" s="276">
        <v>5237662405</v>
      </c>
      <c r="C139" s="92">
        <v>9104653531</v>
      </c>
      <c r="D139" s="92">
        <v>518052000</v>
      </c>
      <c r="E139" s="92">
        <v>4130738773</v>
      </c>
      <c r="F139" s="28">
        <v>940172840</v>
      </c>
      <c r="G139" s="282">
        <v>238420658</v>
      </c>
    </row>
    <row r="140" spans="1:7" x14ac:dyDescent="0.2">
      <c r="A140" s="275" t="s">
        <v>234</v>
      </c>
      <c r="B140" s="276">
        <v>5237662405</v>
      </c>
      <c r="C140" s="92">
        <v>9104663531</v>
      </c>
      <c r="D140" s="92">
        <v>518052000</v>
      </c>
      <c r="E140" s="92">
        <v>4130738773</v>
      </c>
      <c r="F140" s="28">
        <v>940112840</v>
      </c>
      <c r="G140" s="282">
        <v>238420658</v>
      </c>
    </row>
    <row r="141" spans="1:7" x14ac:dyDescent="0.2">
      <c r="A141" s="275" t="s">
        <v>560</v>
      </c>
      <c r="B141" s="276">
        <v>9390500530</v>
      </c>
      <c r="C141" s="92">
        <v>14320336874</v>
      </c>
      <c r="D141" s="92">
        <v>2752492796</v>
      </c>
      <c r="E141" s="92">
        <v>8377689888</v>
      </c>
      <c r="F141" s="28">
        <v>2976922996</v>
      </c>
      <c r="G141" s="282">
        <v>530214099</v>
      </c>
    </row>
    <row r="142" spans="1:7" x14ac:dyDescent="0.2">
      <c r="A142" s="275" t="s">
        <v>358</v>
      </c>
      <c r="B142" s="276">
        <v>1038347584</v>
      </c>
      <c r="C142" s="92">
        <v>1189889669</v>
      </c>
      <c r="D142" s="92">
        <v>30445000</v>
      </c>
      <c r="E142" s="92">
        <v>30445000</v>
      </c>
      <c r="F142" s="28">
        <v>228966509</v>
      </c>
      <c r="G142" s="282">
        <v>1</v>
      </c>
    </row>
    <row r="143" spans="1:7" x14ac:dyDescent="0.2">
      <c r="A143" s="275" t="s">
        <v>600</v>
      </c>
      <c r="B143" s="276">
        <v>132276555860</v>
      </c>
      <c r="C143" s="92">
        <v>288671503372</v>
      </c>
      <c r="D143" s="92">
        <v>38949212913</v>
      </c>
      <c r="E143" s="92">
        <v>152538802016</v>
      </c>
      <c r="F143" s="28">
        <v>21450353754</v>
      </c>
      <c r="G143" s="282">
        <v>8526562360</v>
      </c>
    </row>
    <row r="144" spans="1:7" x14ac:dyDescent="0.2">
      <c r="A144" s="275" t="s">
        <v>406</v>
      </c>
      <c r="B144" s="276">
        <v>931563295</v>
      </c>
      <c r="C144" s="92">
        <v>2383013295</v>
      </c>
      <c r="D144" s="92">
        <v>88684110</v>
      </c>
      <c r="E144" s="92">
        <v>445607171</v>
      </c>
      <c r="F144" s="28">
        <v>240797247</v>
      </c>
      <c r="G144" s="282">
        <v>15747492</v>
      </c>
    </row>
    <row r="145" spans="1:7" x14ac:dyDescent="0.2">
      <c r="A145" s="275" t="s">
        <v>197</v>
      </c>
      <c r="B145" s="276">
        <v>1121000000</v>
      </c>
      <c r="C145" s="92">
        <v>1964780612</v>
      </c>
      <c r="D145" s="92">
        <v>101944280</v>
      </c>
      <c r="E145" s="92">
        <v>101944280</v>
      </c>
      <c r="F145" s="28">
        <v>56000000</v>
      </c>
      <c r="G145" s="282">
        <v>1</v>
      </c>
    </row>
    <row r="146" spans="1:7" x14ac:dyDescent="0.2">
      <c r="A146" s="275" t="s">
        <v>559</v>
      </c>
      <c r="B146" s="276">
        <v>100770574941</v>
      </c>
      <c r="C146" s="92">
        <v>110372836990</v>
      </c>
      <c r="D146" s="92">
        <v>34706671910</v>
      </c>
      <c r="E146" s="92">
        <v>71961267307</v>
      </c>
      <c r="F146" s="28">
        <v>12667769546</v>
      </c>
      <c r="G146" s="282">
        <v>4386783624</v>
      </c>
    </row>
    <row r="147" spans="1:7" x14ac:dyDescent="0.2">
      <c r="A147" s="275" t="s">
        <v>327</v>
      </c>
      <c r="B147" s="276">
        <v>1111479678</v>
      </c>
      <c r="C147" s="92">
        <v>1329371714</v>
      </c>
      <c r="D147" s="92">
        <v>148541177</v>
      </c>
      <c r="E147" s="92">
        <v>267210568</v>
      </c>
      <c r="F147" s="28">
        <v>62983261</v>
      </c>
      <c r="G147" s="282">
        <v>14223251</v>
      </c>
    </row>
    <row r="148" spans="1:7" x14ac:dyDescent="0.2">
      <c r="A148" s="275" t="s">
        <v>609</v>
      </c>
      <c r="B148" s="276">
        <v>848485</v>
      </c>
      <c r="C148" s="92">
        <v>16874000000</v>
      </c>
      <c r="D148" s="92">
        <v>1</v>
      </c>
      <c r="E148" s="92">
        <v>1</v>
      </c>
      <c r="F148" s="28">
        <v>1</v>
      </c>
      <c r="G148" s="282">
        <v>1</v>
      </c>
    </row>
    <row r="149" spans="1:7" x14ac:dyDescent="0.2">
      <c r="A149" s="275" t="s">
        <v>587</v>
      </c>
      <c r="B149" s="276">
        <v>32111381000</v>
      </c>
      <c r="C149" s="92">
        <v>66650408000</v>
      </c>
      <c r="D149" s="92">
        <v>9730927000</v>
      </c>
      <c r="E149" s="92">
        <v>30546513000</v>
      </c>
      <c r="F149" s="28">
        <v>1835577000</v>
      </c>
      <c r="G149" s="282">
        <v>1081507000</v>
      </c>
    </row>
    <row r="150" spans="1:7" x14ac:dyDescent="0.2">
      <c r="A150" s="275" t="s">
        <v>422</v>
      </c>
      <c r="B150" s="276">
        <v>138091562</v>
      </c>
      <c r="C150" s="92">
        <v>447191562</v>
      </c>
      <c r="D150" s="92">
        <v>7387544</v>
      </c>
      <c r="E150" s="92">
        <v>171475501</v>
      </c>
      <c r="F150" s="28">
        <v>19138017</v>
      </c>
      <c r="G150" s="282">
        <v>4840642</v>
      </c>
    </row>
    <row r="151" spans="1:7" x14ac:dyDescent="0.2">
      <c r="A151" s="275" t="s">
        <v>241</v>
      </c>
      <c r="B151" s="276">
        <v>1269132579</v>
      </c>
      <c r="C151" s="92">
        <v>2939932579</v>
      </c>
      <c r="D151" s="92">
        <v>282356176</v>
      </c>
      <c r="E151" s="92">
        <v>769850148</v>
      </c>
      <c r="F151" s="28">
        <v>420933982</v>
      </c>
      <c r="G151" s="282">
        <v>20000000</v>
      </c>
    </row>
    <row r="152" spans="1:7" x14ac:dyDescent="0.2">
      <c r="A152" s="275" t="s">
        <v>467</v>
      </c>
      <c r="B152" s="276">
        <v>36256750000</v>
      </c>
      <c r="C152" s="92">
        <v>57608633000</v>
      </c>
      <c r="D152" s="92">
        <v>11367549000</v>
      </c>
      <c r="E152" s="92">
        <v>11367549000</v>
      </c>
      <c r="F152" s="28">
        <v>7577345000</v>
      </c>
      <c r="G152" s="282">
        <v>256073000</v>
      </c>
    </row>
    <row r="153" spans="1:7" x14ac:dyDescent="0.2">
      <c r="A153" s="275" t="s">
        <v>343</v>
      </c>
      <c r="B153" s="276">
        <v>1205700840</v>
      </c>
      <c r="C153" s="92">
        <v>1856396558</v>
      </c>
      <c r="D153" s="92">
        <v>429329241</v>
      </c>
      <c r="E153" s="92">
        <v>828834861</v>
      </c>
      <c r="F153" s="28">
        <v>211912498</v>
      </c>
      <c r="G153" s="282">
        <v>22609718</v>
      </c>
    </row>
    <row r="154" spans="1:7" x14ac:dyDescent="0.2">
      <c r="A154" s="275" t="s">
        <v>610</v>
      </c>
      <c r="B154" s="276">
        <v>5996400000</v>
      </c>
      <c r="C154" s="92">
        <v>7646460000</v>
      </c>
      <c r="D154" s="92">
        <v>1170821000</v>
      </c>
      <c r="E154" s="92">
        <v>2241252000</v>
      </c>
      <c r="F154" s="28">
        <v>1655058000</v>
      </c>
      <c r="G154" s="282">
        <v>77670000</v>
      </c>
    </row>
    <row r="155" spans="1:7" x14ac:dyDescent="0.2">
      <c r="A155" s="275" t="s">
        <v>325</v>
      </c>
      <c r="B155" s="276">
        <v>2024909080</v>
      </c>
      <c r="C155" s="92">
        <v>2338266228</v>
      </c>
      <c r="D155" s="92">
        <v>17509800</v>
      </c>
      <c r="E155" s="92">
        <v>695982147</v>
      </c>
      <c r="F155" s="28">
        <v>441385791</v>
      </c>
      <c r="G155" s="282">
        <v>129680093</v>
      </c>
    </row>
    <row r="156" spans="1:7" x14ac:dyDescent="0.2">
      <c r="A156" s="275" t="s">
        <v>482</v>
      </c>
      <c r="B156" s="276">
        <v>496858978650</v>
      </c>
      <c r="C156" s="92">
        <v>781860712052</v>
      </c>
      <c r="D156" s="92">
        <v>97772478978</v>
      </c>
      <c r="E156" s="92">
        <v>381413057278</v>
      </c>
      <c r="F156" s="28">
        <v>86185861868</v>
      </c>
      <c r="G156" s="282">
        <v>19328876505</v>
      </c>
    </row>
    <row r="157" spans="1:7" x14ac:dyDescent="0.2">
      <c r="A157" s="275" t="s">
        <v>594</v>
      </c>
      <c r="B157" s="276">
        <v>496858978650</v>
      </c>
      <c r="C157" s="92">
        <v>781860712052</v>
      </c>
      <c r="D157" s="92">
        <v>97772478978</v>
      </c>
      <c r="E157" s="92">
        <v>381413057278</v>
      </c>
      <c r="F157" s="28">
        <v>86185861868</v>
      </c>
      <c r="G157" s="282">
        <v>19328876505</v>
      </c>
    </row>
    <row r="158" spans="1:7" x14ac:dyDescent="0.2">
      <c r="A158" s="275" t="s">
        <v>361</v>
      </c>
      <c r="B158" s="276">
        <v>9937117675</v>
      </c>
      <c r="C158" s="92">
        <v>11478561998</v>
      </c>
      <c r="D158" s="92">
        <v>5575918786</v>
      </c>
      <c r="E158" s="92">
        <v>6058306130</v>
      </c>
      <c r="F158" s="28">
        <v>2506851295</v>
      </c>
      <c r="G158" s="282">
        <v>213096238</v>
      </c>
    </row>
    <row r="159" spans="1:7" x14ac:dyDescent="0.2">
      <c r="A159" s="275" t="s">
        <v>411</v>
      </c>
      <c r="B159" s="276">
        <v>6341516441</v>
      </c>
      <c r="C159" s="92">
        <v>14195480125</v>
      </c>
      <c r="D159" s="92">
        <v>517900841</v>
      </c>
      <c r="E159" s="92">
        <v>2943332841</v>
      </c>
      <c r="F159" s="28">
        <v>704350511</v>
      </c>
      <c r="G159" s="282">
        <v>1</v>
      </c>
    </row>
    <row r="160" spans="1:7" x14ac:dyDescent="0.2">
      <c r="A160" s="275" t="s">
        <v>527</v>
      </c>
      <c r="B160" s="276">
        <v>484500238</v>
      </c>
      <c r="C160" s="92">
        <v>629500238</v>
      </c>
      <c r="D160" s="92">
        <v>5000000</v>
      </c>
      <c r="E160" s="92">
        <v>5000000</v>
      </c>
      <c r="F160" s="28">
        <v>57272263</v>
      </c>
      <c r="G160" s="282">
        <v>0</v>
      </c>
    </row>
    <row r="161" spans="1:7" x14ac:dyDescent="0.2">
      <c r="A161" s="275" t="s">
        <v>370</v>
      </c>
      <c r="B161" s="276">
        <v>484500238</v>
      </c>
      <c r="C161" s="92">
        <v>629500238</v>
      </c>
      <c r="D161" s="92">
        <v>5000000</v>
      </c>
      <c r="E161" s="92">
        <v>5000000</v>
      </c>
      <c r="F161" s="28">
        <v>57272263</v>
      </c>
      <c r="G161" s="282">
        <v>1</v>
      </c>
    </row>
    <row r="162" spans="1:7" x14ac:dyDescent="0.2">
      <c r="A162" s="275" t="s">
        <v>577</v>
      </c>
      <c r="B162" s="276">
        <v>20405185000</v>
      </c>
      <c r="C162" s="92">
        <v>29540745000</v>
      </c>
      <c r="D162" s="92">
        <v>5020229000</v>
      </c>
      <c r="E162" s="92">
        <v>18055550000</v>
      </c>
      <c r="F162" s="28">
        <v>1674558000</v>
      </c>
      <c r="G162" s="282">
        <v>489919000</v>
      </c>
    </row>
    <row r="163" spans="1:7" x14ac:dyDescent="0.2">
      <c r="A163" s="275" t="s">
        <v>212</v>
      </c>
      <c r="B163" s="276">
        <v>36413462209.900002</v>
      </c>
      <c r="C163" s="92">
        <v>40793501745.879997</v>
      </c>
      <c r="D163" s="92">
        <v>13172884175.15</v>
      </c>
      <c r="E163" s="92">
        <v>13349177864.959999</v>
      </c>
      <c r="F163" s="28">
        <v>12282762182.379999</v>
      </c>
      <c r="G163" s="282">
        <v>77527998.769999996</v>
      </c>
    </row>
    <row r="164" spans="1:7" x14ac:dyDescent="0.2">
      <c r="A164" s="275" t="s">
        <v>558</v>
      </c>
      <c r="B164" s="276">
        <v>105530450000</v>
      </c>
      <c r="C164" s="92">
        <v>177709159000</v>
      </c>
      <c r="D164" s="92">
        <v>26597174000</v>
      </c>
      <c r="E164" s="92">
        <v>86264821000</v>
      </c>
      <c r="F164" s="28">
        <v>10965783000</v>
      </c>
      <c r="G164" s="282">
        <v>851217000</v>
      </c>
    </row>
    <row r="165" spans="1:7" x14ac:dyDescent="0.2">
      <c r="A165" s="275" t="s">
        <v>574</v>
      </c>
      <c r="B165" s="276">
        <v>290761927000</v>
      </c>
      <c r="C165" s="92">
        <v>839390986000</v>
      </c>
      <c r="D165" s="92">
        <v>164104562000</v>
      </c>
      <c r="E165" s="92">
        <v>182984498000</v>
      </c>
      <c r="F165" s="28">
        <v>77434830000</v>
      </c>
      <c r="G165" s="282">
        <v>1950187000</v>
      </c>
    </row>
    <row r="166" spans="1:7" x14ac:dyDescent="0.2">
      <c r="A166" s="275" t="s">
        <v>521</v>
      </c>
      <c r="B166" s="276">
        <v>892352257577</v>
      </c>
      <c r="C166" s="92">
        <v>1097454937494</v>
      </c>
      <c r="D166" s="92">
        <v>140508928108</v>
      </c>
      <c r="E166" s="92">
        <v>371333472042</v>
      </c>
      <c r="F166" s="28">
        <v>258424644273</v>
      </c>
      <c r="G166" s="282">
        <v>0</v>
      </c>
    </row>
    <row r="167" spans="1:7" x14ac:dyDescent="0.2">
      <c r="A167" s="275" t="s">
        <v>522</v>
      </c>
      <c r="B167" s="276">
        <v>81486705000</v>
      </c>
      <c r="C167" s="92">
        <v>161365368000</v>
      </c>
      <c r="D167" s="92">
        <v>71546221000</v>
      </c>
      <c r="E167" s="92">
        <v>134348032000</v>
      </c>
      <c r="F167" s="28">
        <v>11762422000</v>
      </c>
      <c r="G167" s="282">
        <v>4565937000</v>
      </c>
    </row>
    <row r="168" spans="1:7" x14ac:dyDescent="0.2">
      <c r="A168" s="275" t="s">
        <v>339</v>
      </c>
      <c r="B168" s="276">
        <v>1211600899</v>
      </c>
      <c r="C168" s="92">
        <v>1217890899</v>
      </c>
      <c r="D168" s="92">
        <v>63667916</v>
      </c>
      <c r="E168" s="92">
        <v>73517916</v>
      </c>
      <c r="F168" s="28">
        <v>119964452</v>
      </c>
      <c r="G168" s="282">
        <v>1</v>
      </c>
    </row>
    <row r="169" spans="1:7" x14ac:dyDescent="0.2">
      <c r="A169" s="275" t="s">
        <v>570</v>
      </c>
      <c r="B169" s="276">
        <v>4833313924</v>
      </c>
      <c r="C169" s="92">
        <v>7875626209</v>
      </c>
      <c r="D169" s="92">
        <v>546552691</v>
      </c>
      <c r="E169" s="92">
        <v>2884335122</v>
      </c>
      <c r="F169" s="28">
        <v>912328718</v>
      </c>
      <c r="G169" s="282">
        <v>1500000</v>
      </c>
    </row>
    <row r="170" spans="1:7" x14ac:dyDescent="0.2">
      <c r="A170" s="275" t="s">
        <v>589</v>
      </c>
      <c r="B170" s="276">
        <v>66305501537</v>
      </c>
      <c r="C170" s="92">
        <v>102144414944</v>
      </c>
      <c r="D170" s="92">
        <v>54420655903</v>
      </c>
      <c r="E170" s="92">
        <v>71069963955</v>
      </c>
      <c r="F170" s="28">
        <v>6215562644</v>
      </c>
      <c r="G170" s="282">
        <v>4114352466</v>
      </c>
    </row>
    <row r="171" spans="1:7" x14ac:dyDescent="0.2">
      <c r="A171" s="275" t="s">
        <v>199</v>
      </c>
      <c r="B171" s="276">
        <v>5851600000</v>
      </c>
      <c r="C171" s="92">
        <v>8778424000</v>
      </c>
      <c r="D171" s="92">
        <v>123765000</v>
      </c>
      <c r="E171" s="92">
        <v>2618430000</v>
      </c>
      <c r="F171" s="28">
        <v>560045000</v>
      </c>
      <c r="G171" s="282">
        <v>27039000</v>
      </c>
    </row>
    <row r="172" spans="1:7" x14ac:dyDescent="0.2">
      <c r="A172" s="275" t="s">
        <v>564</v>
      </c>
      <c r="B172" s="276">
        <v>231857344801</v>
      </c>
      <c r="C172" s="92">
        <v>411109702022</v>
      </c>
      <c r="D172" s="92">
        <v>49632709586</v>
      </c>
      <c r="E172" s="92">
        <v>126660057846</v>
      </c>
      <c r="F172" s="28">
        <v>23280992461</v>
      </c>
      <c r="G172" s="282">
        <v>6815957043</v>
      </c>
    </row>
    <row r="173" spans="1:7" x14ac:dyDescent="0.2">
      <c r="A173" s="275" t="s">
        <v>189</v>
      </c>
      <c r="B173" s="276">
        <v>36887256163</v>
      </c>
      <c r="C173" s="92">
        <v>67279567176</v>
      </c>
      <c r="D173" s="92">
        <v>9896770355</v>
      </c>
      <c r="E173" s="92">
        <v>20896244066</v>
      </c>
      <c r="F173" s="28">
        <v>6238597733</v>
      </c>
      <c r="G173" s="282">
        <v>401317867</v>
      </c>
    </row>
    <row r="174" spans="1:7" x14ac:dyDescent="0.2">
      <c r="A174" s="275" t="s">
        <v>505</v>
      </c>
      <c r="B174" s="276">
        <v>13300607831</v>
      </c>
      <c r="C174" s="92">
        <v>14296869048</v>
      </c>
      <c r="D174" s="92">
        <v>4506543948</v>
      </c>
      <c r="E174" s="92">
        <v>9712236217</v>
      </c>
      <c r="F174" s="28">
        <v>1843833155</v>
      </c>
      <c r="G174" s="282">
        <v>554801334</v>
      </c>
    </row>
    <row r="175" spans="1:7" x14ac:dyDescent="0.2">
      <c r="A175" s="275" t="s">
        <v>355</v>
      </c>
      <c r="B175" s="276">
        <v>13300607831</v>
      </c>
      <c r="C175" s="92">
        <v>14296869048</v>
      </c>
      <c r="D175" s="92">
        <v>4506543948</v>
      </c>
      <c r="E175" s="92">
        <v>9712236217</v>
      </c>
      <c r="F175" s="28">
        <v>1843833155</v>
      </c>
      <c r="G175" s="282">
        <v>554801334</v>
      </c>
    </row>
    <row r="176" spans="1:7" x14ac:dyDescent="0.2">
      <c r="A176" s="275" t="s">
        <v>602</v>
      </c>
      <c r="B176" s="276">
        <v>1543789275</v>
      </c>
      <c r="C176" s="92">
        <v>5558734303</v>
      </c>
      <c r="D176" s="92">
        <v>902623373</v>
      </c>
      <c r="E176" s="92">
        <v>3304950585</v>
      </c>
      <c r="F176" s="28">
        <v>1203342284</v>
      </c>
      <c r="G176" s="282">
        <v>122803194</v>
      </c>
    </row>
    <row r="177" spans="1:7" x14ac:dyDescent="0.2">
      <c r="A177" s="275" t="s">
        <v>447</v>
      </c>
      <c r="B177" s="276">
        <v>1543789275</v>
      </c>
      <c r="C177" s="92">
        <v>5558734303</v>
      </c>
      <c r="D177" s="92">
        <v>902623373</v>
      </c>
      <c r="E177" s="92">
        <v>3304950585</v>
      </c>
      <c r="F177" s="28">
        <v>1203342284</v>
      </c>
      <c r="G177" s="282">
        <v>122803194</v>
      </c>
    </row>
    <row r="178" spans="1:7" x14ac:dyDescent="0.2">
      <c r="A178" s="275" t="s">
        <v>390</v>
      </c>
      <c r="B178" s="276">
        <v>3194253098</v>
      </c>
      <c r="C178" s="92">
        <v>4392019599</v>
      </c>
      <c r="D178" s="92">
        <v>346093925</v>
      </c>
      <c r="E178" s="92">
        <v>1313896402</v>
      </c>
      <c r="F178" s="28">
        <v>1260914207</v>
      </c>
      <c r="G178" s="282">
        <v>518297</v>
      </c>
    </row>
    <row r="179" spans="1:7" x14ac:dyDescent="0.2">
      <c r="A179" s="275" t="s">
        <v>389</v>
      </c>
      <c r="B179" s="276">
        <v>27766335957</v>
      </c>
      <c r="C179" s="92">
        <v>51604456195</v>
      </c>
      <c r="D179" s="92">
        <v>11872064256</v>
      </c>
      <c r="E179" s="92">
        <v>20173989296</v>
      </c>
      <c r="F179" s="28">
        <v>3846962050</v>
      </c>
      <c r="G179" s="282">
        <v>1235779143</v>
      </c>
    </row>
    <row r="180" spans="1:7" x14ac:dyDescent="0.2">
      <c r="A180" s="275" t="s">
        <v>565</v>
      </c>
      <c r="B180" s="276">
        <v>3666733732</v>
      </c>
      <c r="C180" s="92">
        <v>13661582505</v>
      </c>
      <c r="D180" s="92">
        <v>96195850</v>
      </c>
      <c r="E180" s="92">
        <v>5065005781</v>
      </c>
      <c r="F180" s="28">
        <v>481833215</v>
      </c>
      <c r="G180" s="282">
        <v>500000</v>
      </c>
    </row>
    <row r="181" spans="1:7" x14ac:dyDescent="0.2">
      <c r="A181" s="275" t="s">
        <v>459</v>
      </c>
      <c r="B181" s="276">
        <v>14926668529</v>
      </c>
      <c r="C181" s="92">
        <v>26364901501</v>
      </c>
      <c r="D181" s="92">
        <v>2235153054</v>
      </c>
      <c r="E181" s="92">
        <v>5633411780</v>
      </c>
      <c r="F181" s="28">
        <v>4974021691</v>
      </c>
      <c r="G181" s="282">
        <v>38255756</v>
      </c>
    </row>
    <row r="182" spans="1:7" x14ac:dyDescent="0.2">
      <c r="A182" s="275" t="s">
        <v>356</v>
      </c>
      <c r="B182" s="276">
        <v>14926668529</v>
      </c>
      <c r="C182" s="92">
        <v>26364901501</v>
      </c>
      <c r="D182" s="92">
        <v>2235153054</v>
      </c>
      <c r="E182" s="92">
        <v>5633411780</v>
      </c>
      <c r="F182" s="28">
        <v>4974021691</v>
      </c>
      <c r="G182" s="282">
        <v>38255756</v>
      </c>
    </row>
    <row r="183" spans="1:7" x14ac:dyDescent="0.2">
      <c r="A183" s="275" t="s">
        <v>191</v>
      </c>
      <c r="B183" s="276">
        <v>26731552892</v>
      </c>
      <c r="C183" s="92">
        <v>39196745677</v>
      </c>
      <c r="D183" s="92">
        <v>1588194564</v>
      </c>
      <c r="E183" s="92">
        <v>8646021597</v>
      </c>
      <c r="F183" s="28">
        <v>3973153431</v>
      </c>
      <c r="G183" s="282">
        <v>43073326</v>
      </c>
    </row>
    <row r="184" spans="1:7" x14ac:dyDescent="0.2">
      <c r="A184" s="275" t="s">
        <v>415</v>
      </c>
      <c r="B184" s="276">
        <v>567599515</v>
      </c>
      <c r="C184" s="92">
        <v>884699141</v>
      </c>
      <c r="D184" s="92">
        <v>84531103</v>
      </c>
      <c r="E184" s="92">
        <v>84531103</v>
      </c>
      <c r="F184" s="28">
        <v>8295329</v>
      </c>
      <c r="G184" s="282">
        <v>1878229</v>
      </c>
    </row>
    <row r="185" spans="1:7" x14ac:dyDescent="0.2">
      <c r="A185" s="275" t="s">
        <v>590</v>
      </c>
      <c r="B185" s="276">
        <v>1813083000</v>
      </c>
      <c r="C185" s="92">
        <v>1890916000</v>
      </c>
      <c r="D185" s="92">
        <v>722185000</v>
      </c>
      <c r="E185" s="92">
        <v>722185000</v>
      </c>
      <c r="F185" s="28">
        <v>372961000</v>
      </c>
      <c r="G185" s="282">
        <v>241000</v>
      </c>
    </row>
    <row r="186" spans="1:7" x14ac:dyDescent="0.2">
      <c r="A186" s="275" t="s">
        <v>375</v>
      </c>
      <c r="B186" s="276">
        <v>1813083000</v>
      </c>
      <c r="C186" s="92">
        <v>1890916000</v>
      </c>
      <c r="D186" s="92">
        <v>722185000</v>
      </c>
      <c r="E186" s="92">
        <v>722185000</v>
      </c>
      <c r="F186" s="28">
        <v>372961000</v>
      </c>
      <c r="G186" s="282">
        <v>241000</v>
      </c>
    </row>
    <row r="187" spans="1:7" x14ac:dyDescent="0.2">
      <c r="A187" s="275" t="s">
        <v>503</v>
      </c>
      <c r="B187" s="276">
        <v>138409458951</v>
      </c>
      <c r="C187" s="92">
        <v>236707674005</v>
      </c>
      <c r="D187" s="92">
        <v>41265522354</v>
      </c>
      <c r="E187" s="92">
        <v>91921840208</v>
      </c>
      <c r="F187" s="28">
        <v>35615287652</v>
      </c>
      <c r="G187" s="282">
        <v>105966266</v>
      </c>
    </row>
    <row r="188" spans="1:7" x14ac:dyDescent="0.2">
      <c r="A188" s="275" t="s">
        <v>446</v>
      </c>
      <c r="B188" s="276">
        <v>27351625000</v>
      </c>
      <c r="C188" s="92">
        <v>38625146000</v>
      </c>
      <c r="D188" s="92">
        <v>11408766000</v>
      </c>
      <c r="E188" s="92">
        <v>20493766000</v>
      </c>
      <c r="F188" s="28">
        <v>5211201000</v>
      </c>
      <c r="G188" s="282">
        <v>829966803</v>
      </c>
    </row>
    <row r="189" spans="1:7" x14ac:dyDescent="0.2">
      <c r="A189" s="275" t="s">
        <v>239</v>
      </c>
      <c r="B189" s="276">
        <v>17142008000</v>
      </c>
      <c r="C189" s="92">
        <v>29592460000</v>
      </c>
      <c r="D189" s="92">
        <v>4725950000</v>
      </c>
      <c r="E189" s="92">
        <v>6404872000</v>
      </c>
      <c r="F189" s="28">
        <v>1749025000</v>
      </c>
      <c r="G189" s="282">
        <v>95834000</v>
      </c>
    </row>
    <row r="190" spans="1:7" x14ac:dyDescent="0.2">
      <c r="A190" s="275" t="s">
        <v>493</v>
      </c>
      <c r="B190" s="276">
        <v>46202113000</v>
      </c>
      <c r="C190" s="92">
        <v>61843363000</v>
      </c>
      <c r="D190" s="92">
        <v>20681186000</v>
      </c>
      <c r="E190" s="92">
        <v>36678358000</v>
      </c>
      <c r="F190" s="28">
        <v>12006425000</v>
      </c>
      <c r="G190" s="282">
        <v>1111753000</v>
      </c>
    </row>
    <row r="191" spans="1:7" x14ac:dyDescent="0.2">
      <c r="A191" s="275" t="s">
        <v>455</v>
      </c>
      <c r="B191" s="276">
        <v>29925850667</v>
      </c>
      <c r="C191" s="92">
        <v>66093954385</v>
      </c>
      <c r="D191" s="92">
        <v>9894731299</v>
      </c>
      <c r="E191" s="92">
        <v>26066364396</v>
      </c>
      <c r="F191" s="28">
        <v>3895632558</v>
      </c>
      <c r="G191" s="282">
        <v>1872597202</v>
      </c>
    </row>
    <row r="192" spans="1:7" x14ac:dyDescent="0.2">
      <c r="A192" s="275" t="s">
        <v>316</v>
      </c>
      <c r="B192" s="276">
        <v>149343000</v>
      </c>
      <c r="C192" s="92">
        <v>149343000</v>
      </c>
      <c r="D192" s="92">
        <v>5743000</v>
      </c>
      <c r="E192" s="92">
        <v>5743000</v>
      </c>
      <c r="F192" s="28">
        <v>12974000</v>
      </c>
      <c r="G192" s="282">
        <v>3000</v>
      </c>
    </row>
    <row r="193" spans="1:7" x14ac:dyDescent="0.2">
      <c r="A193" s="275" t="s">
        <v>354</v>
      </c>
      <c r="B193" s="276">
        <v>463859609</v>
      </c>
      <c r="C193" s="92">
        <v>463859609</v>
      </c>
      <c r="D193" s="92">
        <v>61878045</v>
      </c>
      <c r="E193" s="92">
        <v>130624970</v>
      </c>
      <c r="F193" s="28">
        <v>78732138</v>
      </c>
      <c r="G193" s="282">
        <v>26554039</v>
      </c>
    </row>
    <row r="194" spans="1:7" x14ac:dyDescent="0.2">
      <c r="A194" s="275" t="s">
        <v>480</v>
      </c>
      <c r="B194" s="276">
        <v>5351342763</v>
      </c>
      <c r="C194" s="92">
        <v>32137648526</v>
      </c>
      <c r="D194" s="92">
        <v>1129461044</v>
      </c>
      <c r="E194" s="92">
        <v>7125201028</v>
      </c>
      <c r="F194" s="28">
        <v>3214810395</v>
      </c>
      <c r="G194" s="282">
        <v>84732301</v>
      </c>
    </row>
    <row r="195" spans="1:7" x14ac:dyDescent="0.2">
      <c r="A195" s="275" t="s">
        <v>575</v>
      </c>
      <c r="B195" s="276">
        <v>7092081516</v>
      </c>
      <c r="C195" s="92">
        <v>13037355389</v>
      </c>
      <c r="D195" s="92">
        <v>1797013280</v>
      </c>
      <c r="E195" s="92">
        <v>4248976354</v>
      </c>
      <c r="F195" s="28">
        <v>509855897</v>
      </c>
      <c r="G195" s="282">
        <v>135113816</v>
      </c>
    </row>
    <row r="196" spans="1:7" x14ac:dyDescent="0.2">
      <c r="A196" s="275" t="s">
        <v>528</v>
      </c>
      <c r="B196" s="276">
        <v>7626109945</v>
      </c>
      <c r="C196" s="92">
        <v>16970933887</v>
      </c>
      <c r="D196" s="92">
        <v>323765900</v>
      </c>
      <c r="E196" s="92">
        <v>6249957796</v>
      </c>
      <c r="F196" s="28">
        <v>718419423</v>
      </c>
      <c r="G196" s="282">
        <v>89375272</v>
      </c>
    </row>
    <row r="197" spans="1:7" x14ac:dyDescent="0.2">
      <c r="A197" s="275" t="s">
        <v>371</v>
      </c>
      <c r="B197" s="276">
        <v>7626109945</v>
      </c>
      <c r="C197" s="92">
        <v>16970933887</v>
      </c>
      <c r="D197" s="92">
        <v>323765900</v>
      </c>
      <c r="E197" s="92">
        <v>6249957796</v>
      </c>
      <c r="F197" s="28">
        <v>718419423</v>
      </c>
      <c r="G197" s="282">
        <v>89375272</v>
      </c>
    </row>
    <row r="198" spans="1:7" x14ac:dyDescent="0.2">
      <c r="A198" s="275" t="s">
        <v>487</v>
      </c>
      <c r="B198" s="276">
        <v>21251778877</v>
      </c>
      <c r="C198" s="92">
        <v>21291952740</v>
      </c>
      <c r="D198" s="92">
        <v>4935754947</v>
      </c>
      <c r="E198" s="92">
        <v>5747369923</v>
      </c>
      <c r="F198" s="28">
        <v>648603606</v>
      </c>
      <c r="G198" s="282">
        <v>717222</v>
      </c>
    </row>
    <row r="199" spans="1:7" x14ac:dyDescent="0.2">
      <c r="A199" s="275" t="s">
        <v>392</v>
      </c>
      <c r="B199" s="276">
        <v>389916453</v>
      </c>
      <c r="C199" s="92">
        <v>403448813</v>
      </c>
      <c r="D199" s="92">
        <v>20197456</v>
      </c>
      <c r="E199" s="92">
        <v>129584432</v>
      </c>
      <c r="F199" s="28">
        <v>58238906</v>
      </c>
      <c r="G199" s="282">
        <v>2573453</v>
      </c>
    </row>
    <row r="200" spans="1:7" x14ac:dyDescent="0.2">
      <c r="A200" s="275" t="s">
        <v>365</v>
      </c>
      <c r="B200" s="276">
        <v>1187412978</v>
      </c>
      <c r="C200" s="92">
        <v>1610937360</v>
      </c>
      <c r="D200" s="92">
        <v>522700131</v>
      </c>
      <c r="E200" s="92">
        <v>522700131</v>
      </c>
      <c r="F200" s="28">
        <v>133575116</v>
      </c>
      <c r="G200" s="282">
        <v>139320</v>
      </c>
    </row>
    <row r="201" spans="1:7" x14ac:dyDescent="0.2">
      <c r="A201" s="275" t="s">
        <v>319</v>
      </c>
      <c r="B201" s="276">
        <v>459390877</v>
      </c>
      <c r="C201" s="92">
        <v>592615697</v>
      </c>
      <c r="D201" s="92">
        <v>43539018</v>
      </c>
      <c r="E201" s="92">
        <v>63539018</v>
      </c>
      <c r="F201" s="28">
        <v>202840436</v>
      </c>
      <c r="G201" s="282">
        <v>594832</v>
      </c>
    </row>
    <row r="202" spans="1:7" x14ac:dyDescent="0.2">
      <c r="A202" s="275" t="s">
        <v>153</v>
      </c>
      <c r="B202" s="276">
        <v>7828006000</v>
      </c>
      <c r="C202" s="92">
        <v>13116804000</v>
      </c>
      <c r="D202" s="92">
        <v>1102639000</v>
      </c>
      <c r="E202" s="92">
        <v>1252432000</v>
      </c>
      <c r="F202" s="28">
        <v>613054000</v>
      </c>
      <c r="G202" s="282">
        <v>1000</v>
      </c>
    </row>
    <row r="203" spans="1:7" x14ac:dyDescent="0.2">
      <c r="A203" s="275" t="s">
        <v>187</v>
      </c>
      <c r="B203" s="276">
        <v>688383559</v>
      </c>
      <c r="C203" s="92">
        <v>781305628</v>
      </c>
      <c r="D203" s="92">
        <v>6428660</v>
      </c>
      <c r="E203" s="92">
        <v>61268208</v>
      </c>
      <c r="F203" s="28">
        <v>100119759</v>
      </c>
      <c r="G203" s="282">
        <v>5194608</v>
      </c>
    </row>
    <row r="204" spans="1:7" x14ac:dyDescent="0.2">
      <c r="A204" s="275" t="s">
        <v>519</v>
      </c>
      <c r="B204" s="276">
        <v>1137290460</v>
      </c>
      <c r="C204" s="92">
        <v>1769366177</v>
      </c>
      <c r="D204" s="92">
        <v>315106308</v>
      </c>
      <c r="E204" s="92">
        <v>741275268</v>
      </c>
      <c r="F204" s="28">
        <v>816539499</v>
      </c>
      <c r="G204" s="282">
        <v>0</v>
      </c>
    </row>
    <row r="205" spans="1:7" x14ac:dyDescent="0.2">
      <c r="A205" s="275" t="s">
        <v>382</v>
      </c>
      <c r="B205" s="276">
        <v>1137290460</v>
      </c>
      <c r="C205" s="92">
        <v>1769366177</v>
      </c>
      <c r="D205" s="92">
        <v>315106308</v>
      </c>
      <c r="E205" s="92">
        <v>1028090909</v>
      </c>
      <c r="F205" s="28">
        <v>741275268</v>
      </c>
      <c r="G205" s="282">
        <v>816539499</v>
      </c>
    </row>
    <row r="206" spans="1:7" x14ac:dyDescent="0.2">
      <c r="A206" s="275" t="s">
        <v>538</v>
      </c>
      <c r="B206" s="276">
        <v>11919290102</v>
      </c>
      <c r="C206" s="92">
        <v>17650515206</v>
      </c>
      <c r="D206" s="92">
        <v>1806552594</v>
      </c>
      <c r="E206" s="92">
        <v>10331392289</v>
      </c>
      <c r="F206" s="28">
        <v>2021726257</v>
      </c>
      <c r="G206" s="282">
        <v>182883524</v>
      </c>
    </row>
    <row r="207" spans="1:7" x14ac:dyDescent="0.2">
      <c r="A207" s="275" t="s">
        <v>331</v>
      </c>
      <c r="B207" s="276">
        <v>11919290102</v>
      </c>
      <c r="C207" s="92">
        <v>17650515206</v>
      </c>
      <c r="D207" s="92">
        <v>1806552594</v>
      </c>
      <c r="E207" s="92">
        <v>10331392289</v>
      </c>
      <c r="F207" s="28">
        <v>2021726257</v>
      </c>
      <c r="G207" s="282">
        <v>182883524</v>
      </c>
    </row>
    <row r="208" spans="1:7" x14ac:dyDescent="0.2">
      <c r="A208" s="275" t="s">
        <v>314</v>
      </c>
      <c r="B208" s="276">
        <v>142591000</v>
      </c>
      <c r="C208" s="92">
        <v>276094000</v>
      </c>
      <c r="D208" s="92">
        <v>24562000</v>
      </c>
      <c r="E208" s="92">
        <v>44707000</v>
      </c>
      <c r="F208" s="28">
        <v>64188000</v>
      </c>
      <c r="G208" s="282">
        <v>3745000</v>
      </c>
    </row>
    <row r="209" spans="1:7" x14ac:dyDescent="0.2">
      <c r="A209" s="275" t="s">
        <v>387</v>
      </c>
      <c r="B209" s="276">
        <v>48801065</v>
      </c>
      <c r="C209" s="92">
        <v>221401065</v>
      </c>
      <c r="D209" s="92">
        <v>1</v>
      </c>
      <c r="E209" s="92">
        <v>1</v>
      </c>
      <c r="F209" s="28">
        <v>31939677</v>
      </c>
      <c r="G209" s="282">
        <v>1</v>
      </c>
    </row>
    <row r="210" spans="1:7" x14ac:dyDescent="0.2">
      <c r="A210" s="275" t="s">
        <v>443</v>
      </c>
      <c r="B210" s="276">
        <v>1071199612</v>
      </c>
      <c r="C210" s="92">
        <v>3037406022</v>
      </c>
      <c r="D210" s="92">
        <v>12984678</v>
      </c>
      <c r="E210" s="92">
        <v>1422432551</v>
      </c>
      <c r="F210" s="28">
        <v>432868077</v>
      </c>
      <c r="G210" s="282">
        <v>0</v>
      </c>
    </row>
    <row r="211" spans="1:7" x14ac:dyDescent="0.2">
      <c r="A211" s="275" t="s">
        <v>451</v>
      </c>
      <c r="B211" s="276">
        <v>5442739558</v>
      </c>
      <c r="C211" s="92">
        <v>9383744180</v>
      </c>
      <c r="D211" s="92">
        <v>88250620</v>
      </c>
      <c r="E211" s="92">
        <v>2203250620</v>
      </c>
      <c r="F211" s="28">
        <v>594413792</v>
      </c>
      <c r="G211" s="282">
        <v>17690605</v>
      </c>
    </row>
    <row r="212" spans="1:7" x14ac:dyDescent="0.2">
      <c r="A212" s="275" t="s">
        <v>236</v>
      </c>
      <c r="B212" s="276">
        <v>14807273468</v>
      </c>
      <c r="C212" s="92">
        <v>25403238390</v>
      </c>
      <c r="D212" s="92">
        <v>326327222</v>
      </c>
      <c r="E212" s="92">
        <v>11439150080</v>
      </c>
      <c r="F212" s="28">
        <v>1480209074</v>
      </c>
      <c r="G212" s="282">
        <v>1</v>
      </c>
    </row>
    <row r="213" spans="1:7" x14ac:dyDescent="0.2">
      <c r="A213" s="275" t="s">
        <v>334</v>
      </c>
      <c r="B213" s="276">
        <v>982003584</v>
      </c>
      <c r="C213" s="92">
        <v>1241392259</v>
      </c>
      <c r="D213" s="92">
        <v>101506396</v>
      </c>
      <c r="E213" s="92">
        <v>261614613</v>
      </c>
      <c r="F213" s="28">
        <v>316348771</v>
      </c>
      <c r="G213" s="282">
        <v>5314000</v>
      </c>
    </row>
    <row r="214" spans="1:7" x14ac:dyDescent="0.2">
      <c r="A214" s="275" t="s">
        <v>220</v>
      </c>
      <c r="B214" s="276">
        <v>1833401563</v>
      </c>
      <c r="C214" s="92">
        <v>2087569896</v>
      </c>
      <c r="D214" s="92">
        <v>101513196</v>
      </c>
      <c r="E214" s="92">
        <v>252654155</v>
      </c>
      <c r="F214" s="28">
        <v>61774549</v>
      </c>
      <c r="G214" s="282">
        <v>1860264</v>
      </c>
    </row>
    <row r="215" spans="1:7" x14ac:dyDescent="0.2">
      <c r="A215" s="275" t="s">
        <v>425</v>
      </c>
      <c r="B215" s="276">
        <v>769427000</v>
      </c>
      <c r="C215" s="92">
        <v>886926000</v>
      </c>
      <c r="D215" s="92">
        <v>9618000</v>
      </c>
      <c r="E215" s="92">
        <v>64748000</v>
      </c>
      <c r="F215" s="28">
        <v>39645000</v>
      </c>
      <c r="G215" s="282">
        <v>1</v>
      </c>
    </row>
    <row r="216" spans="1:7" x14ac:dyDescent="0.2">
      <c r="A216" s="275" t="s">
        <v>414</v>
      </c>
      <c r="B216" s="276">
        <v>769427000</v>
      </c>
      <c r="C216" s="92">
        <v>886926000</v>
      </c>
      <c r="D216" s="92">
        <v>9618000</v>
      </c>
      <c r="E216" s="92">
        <v>64748000</v>
      </c>
      <c r="F216" s="28">
        <v>39645000</v>
      </c>
      <c r="G216" s="282">
        <v>1</v>
      </c>
    </row>
    <row r="217" spans="1:7" x14ac:dyDescent="0.2">
      <c r="A217" s="275" t="s">
        <v>591</v>
      </c>
      <c r="B217" s="276">
        <v>7581734000</v>
      </c>
      <c r="C217" s="92">
        <v>9327376000</v>
      </c>
      <c r="D217" s="92">
        <v>562951000</v>
      </c>
      <c r="E217" s="92">
        <v>4582834000</v>
      </c>
      <c r="F217" s="28">
        <v>1979803000</v>
      </c>
      <c r="G217" s="282">
        <v>124517000</v>
      </c>
    </row>
    <row r="218" spans="1:7" x14ac:dyDescent="0.2">
      <c r="A218" s="275" t="s">
        <v>412</v>
      </c>
      <c r="B218" s="276">
        <v>652871095</v>
      </c>
      <c r="C218" s="92">
        <v>1783343477</v>
      </c>
      <c r="D218" s="92">
        <v>13561223</v>
      </c>
      <c r="E218" s="92">
        <v>167256951</v>
      </c>
      <c r="F218" s="28">
        <v>80260584</v>
      </c>
      <c r="G218" s="282">
        <v>1</v>
      </c>
    </row>
    <row r="219" spans="1:7" x14ac:dyDescent="0.2">
      <c r="A219" s="275" t="s">
        <v>315</v>
      </c>
      <c r="B219" s="276">
        <v>766000000</v>
      </c>
      <c r="C219" s="92">
        <v>1036000000</v>
      </c>
      <c r="D219" s="92">
        <v>1500000</v>
      </c>
      <c r="E219" s="92">
        <v>156500000</v>
      </c>
      <c r="F219" s="28">
        <v>103887880</v>
      </c>
      <c r="G219" s="282">
        <v>1250000</v>
      </c>
    </row>
    <row r="220" spans="1:7" x14ac:dyDescent="0.2">
      <c r="A220" s="275" t="s">
        <v>333</v>
      </c>
      <c r="B220" s="276">
        <v>426559442</v>
      </c>
      <c r="C220" s="92">
        <v>446346442</v>
      </c>
      <c r="D220" s="92">
        <v>7587000</v>
      </c>
      <c r="E220" s="92">
        <v>67587000</v>
      </c>
      <c r="F220" s="28">
        <v>198133442</v>
      </c>
      <c r="G220" s="282">
        <v>942000</v>
      </c>
    </row>
    <row r="221" spans="1:7" x14ac:dyDescent="0.2">
      <c r="A221" s="275" t="s">
        <v>208</v>
      </c>
      <c r="B221" s="276">
        <v>5321753963</v>
      </c>
      <c r="C221" s="92">
        <v>8605892986</v>
      </c>
      <c r="D221" s="92">
        <v>245864674</v>
      </c>
      <c r="E221" s="92">
        <v>3090848316</v>
      </c>
      <c r="F221" s="28">
        <v>789763157</v>
      </c>
      <c r="G221" s="282">
        <v>179412903</v>
      </c>
    </row>
    <row r="222" spans="1:7" x14ac:dyDescent="0.2">
      <c r="A222" s="275" t="s">
        <v>345</v>
      </c>
      <c r="B222" s="276">
        <v>365813663</v>
      </c>
      <c r="C222" s="92">
        <v>631276663</v>
      </c>
      <c r="D222" s="92">
        <v>42264030</v>
      </c>
      <c r="E222" s="92">
        <v>60896866</v>
      </c>
      <c r="F222" s="28">
        <v>103848401</v>
      </c>
      <c r="G222" s="282">
        <v>10711995</v>
      </c>
    </row>
    <row r="223" spans="1:7" x14ac:dyDescent="0.2">
      <c r="A223" s="275" t="s">
        <v>362</v>
      </c>
      <c r="B223" s="276">
        <v>781250151</v>
      </c>
      <c r="C223" s="92">
        <v>1377203737</v>
      </c>
      <c r="D223" s="92">
        <v>36456900</v>
      </c>
      <c r="E223" s="92">
        <v>231009037</v>
      </c>
      <c r="F223" s="28">
        <v>154715913</v>
      </c>
      <c r="G223" s="282">
        <v>1656580</v>
      </c>
    </row>
    <row r="224" spans="1:7" x14ac:dyDescent="0.2">
      <c r="A224" s="275" t="s">
        <v>230</v>
      </c>
      <c r="B224" s="276">
        <v>2235116003</v>
      </c>
      <c r="C224" s="92">
        <v>2539251348</v>
      </c>
      <c r="D224" s="92">
        <v>42782300</v>
      </c>
      <c r="E224" s="92">
        <v>591564554</v>
      </c>
      <c r="F224" s="28">
        <v>715444229</v>
      </c>
      <c r="G224" s="282">
        <v>4587520</v>
      </c>
    </row>
    <row r="225" spans="1:7" x14ac:dyDescent="0.2">
      <c r="A225" s="275" t="s">
        <v>556</v>
      </c>
      <c r="B225" s="276">
        <v>3299305277</v>
      </c>
      <c r="C225" s="92">
        <v>9730303781</v>
      </c>
      <c r="D225" s="92">
        <v>761453926</v>
      </c>
      <c r="E225" s="92">
        <v>3362720988</v>
      </c>
      <c r="F225" s="28">
        <v>995167613</v>
      </c>
      <c r="G225" s="282">
        <v>142507746</v>
      </c>
    </row>
    <row r="226" spans="1:7" x14ac:dyDescent="0.2">
      <c r="A226" s="275" t="s">
        <v>369</v>
      </c>
      <c r="B226" s="276">
        <v>2217762117</v>
      </c>
      <c r="C226" s="92">
        <v>4240726480</v>
      </c>
      <c r="D226" s="92">
        <v>545779109</v>
      </c>
      <c r="E226" s="92">
        <v>619665053</v>
      </c>
      <c r="F226" s="28">
        <v>902101605</v>
      </c>
      <c r="G226" s="282">
        <v>25941701</v>
      </c>
    </row>
    <row r="227" spans="1:7" x14ac:dyDescent="0.2">
      <c r="A227" s="275" t="s">
        <v>193</v>
      </c>
      <c r="B227" s="276">
        <v>569811745</v>
      </c>
      <c r="C227" s="92">
        <v>759473309</v>
      </c>
      <c r="D227" s="92">
        <v>127132499</v>
      </c>
      <c r="E227" s="92">
        <v>249665397</v>
      </c>
      <c r="F227" s="28">
        <v>29946563</v>
      </c>
      <c r="G227" s="282">
        <v>2125465</v>
      </c>
    </row>
    <row r="228" spans="1:7" x14ac:dyDescent="0.2">
      <c r="A228" s="275" t="s">
        <v>224</v>
      </c>
      <c r="B228" s="276">
        <v>1487463117</v>
      </c>
      <c r="C228" s="92">
        <v>2573115643</v>
      </c>
      <c r="D228" s="92">
        <v>255940625</v>
      </c>
      <c r="E228" s="92">
        <v>1129337669</v>
      </c>
      <c r="F228" s="28">
        <v>281727013</v>
      </c>
      <c r="G228" s="282">
        <v>7004068</v>
      </c>
    </row>
    <row r="229" spans="1:7" x14ac:dyDescent="0.2">
      <c r="A229" s="275" t="s">
        <v>195</v>
      </c>
      <c r="B229" s="276">
        <v>1256345000</v>
      </c>
      <c r="C229" s="92">
        <v>1286345000</v>
      </c>
      <c r="D229" s="92">
        <v>1040000</v>
      </c>
      <c r="E229" s="92">
        <v>19440000</v>
      </c>
      <c r="F229" s="28">
        <v>227550000</v>
      </c>
      <c r="G229" s="282">
        <v>24500000</v>
      </c>
    </row>
    <row r="230" spans="1:7" x14ac:dyDescent="0.2">
      <c r="A230" s="275" t="s">
        <v>554</v>
      </c>
      <c r="B230" s="276">
        <v>54031077477</v>
      </c>
      <c r="C230" s="92">
        <v>54105956987</v>
      </c>
      <c r="D230" s="92">
        <v>27392031643</v>
      </c>
      <c r="E230" s="92">
        <v>27504856856</v>
      </c>
      <c r="F230" s="28">
        <v>1745363231</v>
      </c>
      <c r="G230" s="282">
        <v>34855999</v>
      </c>
    </row>
    <row r="231" spans="1:7" x14ac:dyDescent="0.2">
      <c r="A231" s="275" t="s">
        <v>229</v>
      </c>
      <c r="B231" s="276">
        <v>156329781000</v>
      </c>
      <c r="C231" s="92">
        <v>386206039000</v>
      </c>
      <c r="D231" s="92">
        <v>113468866000</v>
      </c>
      <c r="E231" s="92">
        <v>211958513000</v>
      </c>
      <c r="F231" s="28">
        <v>57969217000</v>
      </c>
      <c r="G231" s="282">
        <v>5010725000</v>
      </c>
    </row>
    <row r="232" spans="1:7" x14ac:dyDescent="0.2">
      <c r="A232" s="275" t="s">
        <v>211</v>
      </c>
      <c r="B232" s="276">
        <v>31283903464</v>
      </c>
      <c r="C232" s="92">
        <v>39612696094</v>
      </c>
      <c r="D232" s="92">
        <v>782942783</v>
      </c>
      <c r="E232" s="92">
        <v>18306671043</v>
      </c>
      <c r="F232" s="28">
        <v>1191695417</v>
      </c>
      <c r="G232" s="282">
        <v>18920641</v>
      </c>
    </row>
    <row r="233" spans="1:7" x14ac:dyDescent="0.2">
      <c r="A233" s="275" t="s">
        <v>359</v>
      </c>
      <c r="B233" s="276">
        <v>31882393558</v>
      </c>
      <c r="C233" s="92">
        <v>39612696094</v>
      </c>
      <c r="D233" s="92">
        <v>983339835</v>
      </c>
      <c r="E233" s="92">
        <v>18507068095</v>
      </c>
      <c r="F233" s="28">
        <v>1790185511</v>
      </c>
      <c r="G233" s="282">
        <v>18920641</v>
      </c>
    </row>
    <row r="234" spans="1:7" x14ac:dyDescent="0.2">
      <c r="A234" s="275" t="s">
        <v>474</v>
      </c>
      <c r="B234" s="276">
        <v>21213716670</v>
      </c>
      <c r="C234" s="92">
        <v>78041923850</v>
      </c>
      <c r="D234" s="92">
        <v>9302104396</v>
      </c>
      <c r="E234" s="92">
        <v>36375586255</v>
      </c>
      <c r="F234" s="28">
        <v>9412185233</v>
      </c>
      <c r="G234" s="282">
        <v>904587657</v>
      </c>
    </row>
    <row r="235" spans="1:7" x14ac:dyDescent="0.2">
      <c r="A235" s="275" t="s">
        <v>523</v>
      </c>
      <c r="B235" s="276">
        <v>96485980000</v>
      </c>
      <c r="C235" s="92">
        <v>179439085000</v>
      </c>
      <c r="D235" s="92">
        <v>34246934000</v>
      </c>
      <c r="E235" s="92">
        <v>93895943000</v>
      </c>
      <c r="F235" s="28">
        <v>13773125000</v>
      </c>
      <c r="G235" s="282">
        <v>5011496000</v>
      </c>
    </row>
    <row r="236" spans="1:7" x14ac:dyDescent="0.2">
      <c r="A236" s="275" t="s">
        <v>338</v>
      </c>
      <c r="B236" s="276">
        <v>692638784</v>
      </c>
      <c r="C236" s="92">
        <v>1187953833</v>
      </c>
      <c r="D236" s="92">
        <v>49837000</v>
      </c>
      <c r="E236" s="92">
        <v>159237000</v>
      </c>
      <c r="F236" s="28">
        <v>125654479</v>
      </c>
      <c r="G236" s="282">
        <v>1</v>
      </c>
    </row>
    <row r="237" spans="1:7" x14ac:dyDescent="0.2">
      <c r="A237" s="275" t="s">
        <v>336</v>
      </c>
      <c r="B237" s="276">
        <v>25490790073</v>
      </c>
      <c r="C237" s="92">
        <v>27354629073</v>
      </c>
      <c r="D237" s="92">
        <v>2387076211</v>
      </c>
      <c r="E237" s="92">
        <v>4460792575</v>
      </c>
      <c r="F237" s="28">
        <v>4021114500</v>
      </c>
      <c r="G237" s="282">
        <v>736215350</v>
      </c>
    </row>
    <row r="238" spans="1:7" x14ac:dyDescent="0.2">
      <c r="A238" s="275" t="s">
        <v>201</v>
      </c>
      <c r="B238" s="276">
        <v>2133144751</v>
      </c>
      <c r="C238" s="92">
        <v>3441404151</v>
      </c>
      <c r="D238" s="92">
        <v>2381110</v>
      </c>
      <c r="E238" s="92">
        <v>2381110</v>
      </c>
      <c r="F238" s="28">
        <v>23238740</v>
      </c>
      <c r="G238" s="282">
        <v>1</v>
      </c>
    </row>
    <row r="239" spans="1:7" x14ac:dyDescent="0.2">
      <c r="A239" s="275" t="s">
        <v>442</v>
      </c>
      <c r="B239" s="276">
        <v>7014976071</v>
      </c>
      <c r="C239" s="92">
        <v>15634999702</v>
      </c>
      <c r="D239" s="92">
        <v>107184555</v>
      </c>
      <c r="E239" s="92">
        <v>7154067802</v>
      </c>
      <c r="F239" s="28">
        <v>973027816</v>
      </c>
      <c r="G239" s="282">
        <v>103710036</v>
      </c>
    </row>
    <row r="240" spans="1:7" x14ac:dyDescent="0.2">
      <c r="A240" s="275" t="s">
        <v>501</v>
      </c>
      <c r="B240" s="276">
        <v>1290104755</v>
      </c>
      <c r="C240" s="92">
        <v>2352632971</v>
      </c>
      <c r="D240" s="92">
        <v>216132029</v>
      </c>
      <c r="E240" s="92">
        <v>427302375</v>
      </c>
      <c r="F240" s="28">
        <v>536874041</v>
      </c>
      <c r="G240" s="282">
        <v>3331592</v>
      </c>
    </row>
    <row r="241" spans="1:7" x14ac:dyDescent="0.2">
      <c r="A241" s="275" t="s">
        <v>204</v>
      </c>
      <c r="B241" s="276">
        <v>2453425821</v>
      </c>
      <c r="C241" s="92">
        <v>3628197089</v>
      </c>
      <c r="D241" s="92">
        <v>298887578</v>
      </c>
      <c r="E241" s="92">
        <v>783598531</v>
      </c>
      <c r="F241" s="28">
        <v>541501131</v>
      </c>
      <c r="G241" s="282">
        <v>47239523</v>
      </c>
    </row>
    <row r="242" spans="1:7" x14ac:dyDescent="0.2">
      <c r="A242" s="275" t="s">
        <v>233</v>
      </c>
      <c r="B242" s="276">
        <v>3080666281</v>
      </c>
      <c r="C242" s="92">
        <v>4292721914</v>
      </c>
      <c r="D242" s="92">
        <v>232047263</v>
      </c>
      <c r="E242" s="92">
        <v>1286455282</v>
      </c>
      <c r="F242" s="28">
        <v>324324123</v>
      </c>
      <c r="G242" s="282">
        <v>106324123</v>
      </c>
    </row>
    <row r="243" spans="1:7" x14ac:dyDescent="0.2">
      <c r="A243" s="275" t="s">
        <v>498</v>
      </c>
      <c r="B243" s="276">
        <v>10107568724</v>
      </c>
      <c r="C243" s="92">
        <v>19412502705</v>
      </c>
      <c r="D243" s="92">
        <v>745966437</v>
      </c>
      <c r="E243" s="92">
        <v>2482836303</v>
      </c>
      <c r="F243" s="28">
        <v>779538098</v>
      </c>
      <c r="G243" s="282">
        <v>48170572</v>
      </c>
    </row>
    <row r="244" spans="1:7" x14ac:dyDescent="0.2">
      <c r="A244" s="275" t="s">
        <v>213</v>
      </c>
      <c r="B244" s="276">
        <v>138176501</v>
      </c>
      <c r="C244" s="92">
        <v>736631901</v>
      </c>
      <c r="D244" s="92">
        <v>37659127</v>
      </c>
      <c r="E244" s="92">
        <v>37659127</v>
      </c>
      <c r="F244" s="28">
        <v>20777387</v>
      </c>
      <c r="G244" s="282">
        <v>1485000</v>
      </c>
    </row>
    <row r="245" spans="1:7" x14ac:dyDescent="0.2">
      <c r="A245" s="275" t="s">
        <v>337</v>
      </c>
      <c r="B245" s="276">
        <v>762851174</v>
      </c>
      <c r="C245" s="92">
        <v>1053872348</v>
      </c>
      <c r="D245" s="92">
        <v>70115005</v>
      </c>
      <c r="E245" s="92">
        <v>565479099</v>
      </c>
      <c r="F245" s="28">
        <v>81109738</v>
      </c>
      <c r="G245" s="282">
        <v>7067314</v>
      </c>
    </row>
    <row r="246" spans="1:7" x14ac:dyDescent="0.2">
      <c r="A246" s="275" t="s">
        <v>350</v>
      </c>
      <c r="B246" s="276">
        <v>180300000</v>
      </c>
      <c r="C246" s="92">
        <v>226800000</v>
      </c>
      <c r="D246" s="92">
        <v>4600000</v>
      </c>
      <c r="E246" s="92">
        <v>9800000</v>
      </c>
      <c r="F246" s="28">
        <v>72118000</v>
      </c>
      <c r="G246" s="282">
        <v>2300000</v>
      </c>
    </row>
    <row r="247" spans="1:7" x14ac:dyDescent="0.2">
      <c r="A247" s="275" t="s">
        <v>399</v>
      </c>
      <c r="B247" s="276">
        <v>1034566000</v>
      </c>
      <c r="C247" s="92">
        <v>1497333000</v>
      </c>
      <c r="D247" s="92">
        <v>132081000</v>
      </c>
      <c r="E247" s="92">
        <v>330140000</v>
      </c>
      <c r="F247" s="28">
        <v>96523000</v>
      </c>
      <c r="G247" s="282">
        <v>5035000</v>
      </c>
    </row>
    <row r="248" spans="1:7" x14ac:dyDescent="0.2">
      <c r="A248" s="275" t="s">
        <v>357</v>
      </c>
      <c r="B248" s="276">
        <v>726768821</v>
      </c>
      <c r="C248" s="92">
        <v>730117721</v>
      </c>
      <c r="D248" s="92">
        <v>151229324</v>
      </c>
      <c r="E248" s="92">
        <v>151229324</v>
      </c>
      <c r="F248" s="28">
        <v>408596522</v>
      </c>
      <c r="G248" s="282">
        <v>1</v>
      </c>
    </row>
    <row r="249" spans="1:7" x14ac:dyDescent="0.2">
      <c r="A249" s="275" t="s">
        <v>432</v>
      </c>
      <c r="B249" s="276">
        <v>2112674389</v>
      </c>
      <c r="C249" s="92">
        <v>2707722953</v>
      </c>
      <c r="D249" s="92">
        <v>112200742</v>
      </c>
      <c r="E249" s="92">
        <v>788200742</v>
      </c>
      <c r="F249" s="28">
        <v>486020324</v>
      </c>
      <c r="G249" s="282">
        <v>37796000</v>
      </c>
    </row>
    <row r="250" spans="1:7" x14ac:dyDescent="0.2">
      <c r="A250" s="275" t="s">
        <v>512</v>
      </c>
      <c r="B250" s="276">
        <v>54788063261</v>
      </c>
      <c r="C250" s="92">
        <v>57203525242</v>
      </c>
      <c r="D250" s="92">
        <v>37874552470</v>
      </c>
      <c r="E250" s="92">
        <v>39324814993</v>
      </c>
      <c r="F250" s="28">
        <v>1448262328</v>
      </c>
      <c r="G250" s="282">
        <v>750585255</v>
      </c>
    </row>
    <row r="251" spans="1:7" x14ac:dyDescent="0.2">
      <c r="A251" s="275" t="s">
        <v>222</v>
      </c>
      <c r="B251" s="276">
        <v>334668860333</v>
      </c>
      <c r="C251" s="92">
        <v>794675903614</v>
      </c>
      <c r="D251" s="92">
        <v>84613910328</v>
      </c>
      <c r="E251" s="92">
        <v>249990026516</v>
      </c>
      <c r="F251" s="28">
        <v>37605401974</v>
      </c>
      <c r="G251" s="282">
        <v>9179664907</v>
      </c>
    </row>
    <row r="252" spans="1:7" x14ac:dyDescent="0.2">
      <c r="A252" s="275" t="s">
        <v>397</v>
      </c>
      <c r="B252" s="276">
        <v>3699793604</v>
      </c>
      <c r="C252" s="92">
        <v>4985206638</v>
      </c>
      <c r="D252" s="92">
        <v>315844517</v>
      </c>
      <c r="E252" s="92">
        <v>1830039661</v>
      </c>
      <c r="F252" s="28">
        <v>21178079</v>
      </c>
      <c r="G252" s="282">
        <v>14978608</v>
      </c>
    </row>
    <row r="253" spans="1:7" x14ac:dyDescent="0.2">
      <c r="A253" s="275" t="s">
        <v>439</v>
      </c>
      <c r="B253" s="276">
        <v>517769800</v>
      </c>
      <c r="C253" s="92">
        <v>629269800</v>
      </c>
      <c r="D253" s="92">
        <v>26406000</v>
      </c>
      <c r="E253" s="92">
        <v>268384972</v>
      </c>
      <c r="F253" s="28">
        <v>36885520</v>
      </c>
      <c r="G253" s="282">
        <v>1</v>
      </c>
    </row>
    <row r="254" spans="1:7" x14ac:dyDescent="0.2">
      <c r="A254" s="275" t="s">
        <v>430</v>
      </c>
      <c r="B254" s="276">
        <v>1633335205</v>
      </c>
      <c r="C254" s="92">
        <v>2113439726</v>
      </c>
      <c r="D254" s="92">
        <v>461654566</v>
      </c>
      <c r="E254" s="92">
        <v>1090475400</v>
      </c>
      <c r="F254" s="28">
        <v>200976738</v>
      </c>
      <c r="G254" s="282">
        <v>41981971</v>
      </c>
    </row>
    <row r="255" spans="1:7" x14ac:dyDescent="0.2">
      <c r="A255" s="275" t="s">
        <v>599</v>
      </c>
      <c r="B255" s="276">
        <v>5764847795</v>
      </c>
      <c r="C255" s="92">
        <v>10697899225</v>
      </c>
      <c r="D255" s="92">
        <v>2954669233</v>
      </c>
      <c r="E255" s="92">
        <v>4112213210</v>
      </c>
      <c r="F255" s="28">
        <v>1252480904</v>
      </c>
      <c r="G255" s="282">
        <v>170192593</v>
      </c>
    </row>
    <row r="256" spans="1:7" x14ac:dyDescent="0.2">
      <c r="A256" s="275" t="s">
        <v>604</v>
      </c>
      <c r="B256" s="276">
        <v>1422745700</v>
      </c>
      <c r="C256" s="92">
        <v>1422745700</v>
      </c>
      <c r="D256" s="92">
        <v>59065138</v>
      </c>
      <c r="E256" s="92">
        <v>59065138</v>
      </c>
      <c r="F256" s="28">
        <v>384800000</v>
      </c>
      <c r="G256" s="282">
        <v>50000000</v>
      </c>
    </row>
    <row r="257" spans="1:7" x14ac:dyDescent="0.2">
      <c r="A257" s="275" t="s">
        <v>495</v>
      </c>
      <c r="B257" s="276">
        <v>7809930475</v>
      </c>
      <c r="C257" s="92">
        <v>12675901420</v>
      </c>
      <c r="D257" s="92">
        <v>3691379798</v>
      </c>
      <c r="E257" s="92">
        <v>5372835732</v>
      </c>
      <c r="F257" s="28">
        <v>7303065688</v>
      </c>
      <c r="G257" s="282">
        <v>0</v>
      </c>
    </row>
    <row r="258" spans="1:7" x14ac:dyDescent="0.2">
      <c r="A258" s="275" t="s">
        <v>344</v>
      </c>
      <c r="B258" s="276">
        <v>4146676656</v>
      </c>
      <c r="C258" s="92">
        <v>4445898099</v>
      </c>
      <c r="D258" s="92">
        <v>705614279</v>
      </c>
      <c r="E258" s="92">
        <v>1204975684</v>
      </c>
      <c r="F258" s="28">
        <v>1614237534</v>
      </c>
      <c r="G258" s="282">
        <v>60548204</v>
      </c>
    </row>
    <row r="259" spans="1:7" x14ac:dyDescent="0.2">
      <c r="A259" s="275" t="s">
        <v>227</v>
      </c>
      <c r="B259" s="276">
        <v>83218167723</v>
      </c>
      <c r="C259" s="92">
        <v>168849062864</v>
      </c>
      <c r="D259" s="92">
        <v>32565800247</v>
      </c>
      <c r="E259" s="92">
        <v>70031520923</v>
      </c>
      <c r="F259" s="28">
        <v>17612619195</v>
      </c>
      <c r="G259" s="282">
        <v>626044234</v>
      </c>
    </row>
    <row r="260" spans="1:7" x14ac:dyDescent="0.2">
      <c r="A260" s="275" t="s">
        <v>438</v>
      </c>
      <c r="B260" s="276">
        <v>3474270784</v>
      </c>
      <c r="C260" s="92">
        <v>4755756587</v>
      </c>
      <c r="D260" s="92">
        <v>252067318</v>
      </c>
      <c r="E260" s="92">
        <v>252067318</v>
      </c>
      <c r="F260" s="28">
        <v>510088278</v>
      </c>
      <c r="G260" s="282">
        <v>24953000</v>
      </c>
    </row>
    <row r="261" spans="1:7" x14ac:dyDescent="0.2">
      <c r="A261" s="275" t="s">
        <v>317</v>
      </c>
      <c r="B261" s="276"/>
      <c r="C261" s="92"/>
      <c r="D261" s="92"/>
      <c r="E261" s="92"/>
      <c r="F261" s="28"/>
      <c r="G261" s="282"/>
    </row>
    <row r="262" spans="1:7" x14ac:dyDescent="0.2">
      <c r="A262" s="275" t="s">
        <v>238</v>
      </c>
      <c r="B262" s="276">
        <v>318802665013</v>
      </c>
      <c r="C262" s="92">
        <v>822617276653</v>
      </c>
      <c r="D262" s="92">
        <v>107998408367</v>
      </c>
      <c r="E262" s="92">
        <v>185084712286</v>
      </c>
      <c r="F262" s="28">
        <v>41215339776</v>
      </c>
      <c r="G262" s="282">
        <v>1229259797</v>
      </c>
    </row>
    <row r="263" spans="1:7" x14ac:dyDescent="0.2">
      <c r="A263" s="275" t="s">
        <v>531</v>
      </c>
      <c r="B263" s="276">
        <v>21737942525</v>
      </c>
      <c r="C263" s="92">
        <v>26624696942</v>
      </c>
      <c r="D263" s="92">
        <v>3466122831</v>
      </c>
      <c r="E263" s="92">
        <v>7930686276</v>
      </c>
      <c r="F263" s="28">
        <v>10195388994</v>
      </c>
      <c r="G263" s="282">
        <v>71625779</v>
      </c>
    </row>
    <row r="264" spans="1:7" x14ac:dyDescent="0.2">
      <c r="A264" s="275" t="s">
        <v>210</v>
      </c>
      <c r="B264" s="276">
        <v>2696550498</v>
      </c>
      <c r="C264" s="92">
        <v>7685484985</v>
      </c>
      <c r="D264" s="92">
        <v>213831489</v>
      </c>
      <c r="E264" s="92">
        <v>1455121698</v>
      </c>
      <c r="F264" s="28">
        <v>418473105</v>
      </c>
      <c r="G264" s="282">
        <v>6941667</v>
      </c>
    </row>
    <row r="265" spans="1:7" x14ac:dyDescent="0.2">
      <c r="A265" s="275" t="s">
        <v>437</v>
      </c>
      <c r="B265" s="276">
        <v>2696550498</v>
      </c>
      <c r="C265" s="92">
        <v>7685484985</v>
      </c>
      <c r="D265" s="92">
        <v>213831489</v>
      </c>
      <c r="E265" s="92">
        <v>1455121698</v>
      </c>
      <c r="F265" s="28">
        <v>418473105</v>
      </c>
      <c r="G265" s="282">
        <v>6941667</v>
      </c>
    </row>
    <row r="266" spans="1:7" x14ac:dyDescent="0.2">
      <c r="A266" s="275" t="s">
        <v>568</v>
      </c>
      <c r="B266" s="276">
        <v>49734034325</v>
      </c>
      <c r="C266" s="92">
        <v>107338076638</v>
      </c>
      <c r="D266" s="92">
        <v>3013452767</v>
      </c>
      <c r="E266" s="92">
        <v>24892808699</v>
      </c>
      <c r="F266" s="28">
        <v>5804641386</v>
      </c>
      <c r="G266" s="282">
        <v>83504729</v>
      </c>
    </row>
    <row r="267" spans="1:7" x14ac:dyDescent="0.2">
      <c r="A267" s="275" t="s">
        <v>472</v>
      </c>
      <c r="B267" s="276">
        <v>128115279</v>
      </c>
      <c r="C267" s="92">
        <v>128115279</v>
      </c>
      <c r="D267" s="92">
        <v>36434947</v>
      </c>
      <c r="E267" s="92">
        <v>36434947</v>
      </c>
      <c r="F267" s="28">
        <v>108486534</v>
      </c>
      <c r="G267" s="282">
        <v>631</v>
      </c>
    </row>
    <row r="268" spans="1:7" x14ac:dyDescent="0.2">
      <c r="A268" s="275" t="s">
        <v>473</v>
      </c>
      <c r="B268" s="276">
        <v>1868929277168</v>
      </c>
      <c r="C268" s="92">
        <v>2692912344789</v>
      </c>
      <c r="D268" s="92">
        <v>1453230749721</v>
      </c>
      <c r="E268" s="92">
        <v>2094610246696</v>
      </c>
      <c r="F268" s="28">
        <v>92862722711</v>
      </c>
      <c r="G268" s="282">
        <v>72582854154</v>
      </c>
    </row>
    <row r="269" spans="1:7" x14ac:dyDescent="0.2">
      <c r="A269" s="275" t="s">
        <v>615</v>
      </c>
      <c r="B269" s="276">
        <v>8659739250</v>
      </c>
      <c r="C269" s="92">
        <v>20107409884</v>
      </c>
      <c r="D269" s="92">
        <v>1513789319</v>
      </c>
      <c r="E269" s="92">
        <v>3442836721</v>
      </c>
      <c r="F269" s="28">
        <v>2415937704</v>
      </c>
      <c r="G269" s="282">
        <v>1329650</v>
      </c>
    </row>
    <row r="270" spans="1:7" x14ac:dyDescent="0.2">
      <c r="A270" s="275" t="s">
        <v>441</v>
      </c>
      <c r="B270" s="276">
        <v>4866170305</v>
      </c>
      <c r="C270" s="92">
        <v>11101052398</v>
      </c>
      <c r="D270" s="92">
        <v>9474233</v>
      </c>
      <c r="E270" s="92">
        <v>4165099306</v>
      </c>
      <c r="F270" s="28">
        <v>773463002</v>
      </c>
      <c r="G270" s="282">
        <v>134528176</v>
      </c>
    </row>
    <row r="271" spans="1:7" x14ac:dyDescent="0.2">
      <c r="A271" s="275" t="s">
        <v>614</v>
      </c>
      <c r="B271" s="276">
        <v>46541112224</v>
      </c>
      <c r="C271" s="92">
        <v>83800682174</v>
      </c>
      <c r="D271" s="92">
        <v>22737050480</v>
      </c>
      <c r="E271" s="92">
        <v>43312727754</v>
      </c>
      <c r="F271" s="28">
        <v>3958615375</v>
      </c>
      <c r="G271" s="282">
        <v>751725076</v>
      </c>
    </row>
    <row r="272" spans="1:7" x14ac:dyDescent="0.2">
      <c r="A272" s="275" t="s">
        <v>244</v>
      </c>
      <c r="B272" s="276">
        <v>8145598000</v>
      </c>
      <c r="C272" s="92">
        <v>13161811000</v>
      </c>
      <c r="D272" s="92">
        <v>2243571000</v>
      </c>
      <c r="E272" s="92">
        <v>6579083000</v>
      </c>
      <c r="F272" s="28">
        <v>253204000</v>
      </c>
      <c r="G272" s="282">
        <v>19334000</v>
      </c>
    </row>
    <row r="273" spans="1:7" x14ac:dyDescent="0.2">
      <c r="A273" s="275" t="s">
        <v>428</v>
      </c>
      <c r="B273" s="276">
        <v>1086991116</v>
      </c>
      <c r="C273" s="92">
        <v>1970347216</v>
      </c>
      <c r="D273" s="92">
        <v>15914516</v>
      </c>
      <c r="E273" s="92">
        <v>753123841</v>
      </c>
      <c r="F273" s="28">
        <v>263979304</v>
      </c>
      <c r="G273" s="282">
        <v>1</v>
      </c>
    </row>
    <row r="274" spans="1:7" x14ac:dyDescent="0.2">
      <c r="A274" s="275" t="s">
        <v>219</v>
      </c>
      <c r="B274" s="276">
        <v>237332452</v>
      </c>
      <c r="C274" s="92">
        <v>259265369</v>
      </c>
      <c r="D274" s="92">
        <v>28803030</v>
      </c>
      <c r="E274" s="92">
        <v>44850776</v>
      </c>
      <c r="F274" s="28">
        <v>178724666</v>
      </c>
      <c r="G274" s="282">
        <v>105200</v>
      </c>
    </row>
    <row r="275" spans="1:7" x14ac:dyDescent="0.2">
      <c r="A275" s="275" t="s">
        <v>524</v>
      </c>
      <c r="B275" s="276">
        <v>12381324152</v>
      </c>
      <c r="C275" s="92">
        <v>16355485569</v>
      </c>
      <c r="D275" s="92">
        <v>3817008388</v>
      </c>
      <c r="E275" s="92">
        <v>10686428693</v>
      </c>
      <c r="F275" s="28">
        <v>1841644161</v>
      </c>
      <c r="G275" s="282">
        <v>114579721</v>
      </c>
    </row>
    <row r="276" spans="1:7" x14ac:dyDescent="0.2">
      <c r="A276" s="275" t="s">
        <v>486</v>
      </c>
      <c r="B276" s="276">
        <v>14771508004</v>
      </c>
      <c r="C276" s="92">
        <v>15558050100</v>
      </c>
      <c r="D276" s="92">
        <v>2136759096</v>
      </c>
      <c r="E276" s="92">
        <v>4539999451</v>
      </c>
      <c r="F276" s="28">
        <v>1244630457</v>
      </c>
      <c r="G276" s="282">
        <v>20770600</v>
      </c>
    </row>
    <row r="277" spans="1:7" x14ac:dyDescent="0.2">
      <c r="A277" s="275" t="s">
        <v>391</v>
      </c>
      <c r="B277" s="276">
        <v>396788410</v>
      </c>
      <c r="C277" s="92">
        <v>406720506</v>
      </c>
      <c r="D277" s="92">
        <v>9982930</v>
      </c>
      <c r="E277" s="92">
        <v>100334538</v>
      </c>
      <c r="F277" s="28">
        <v>107398052</v>
      </c>
      <c r="G277" s="282">
        <v>230500</v>
      </c>
    </row>
    <row r="278" spans="1:7" x14ac:dyDescent="0.2">
      <c r="A278" s="275" t="s">
        <v>349</v>
      </c>
      <c r="B278" s="276">
        <v>2626485220</v>
      </c>
      <c r="C278" s="92">
        <v>2847041020</v>
      </c>
      <c r="D278" s="92">
        <v>753208917</v>
      </c>
      <c r="E278" s="92">
        <v>1637940864</v>
      </c>
      <c r="F278" s="28">
        <v>612835666</v>
      </c>
      <c r="G278" s="282">
        <v>13541489</v>
      </c>
    </row>
    <row r="279" spans="1:7" x14ac:dyDescent="0.2">
      <c r="A279" s="275" t="s">
        <v>592</v>
      </c>
      <c r="B279" s="276">
        <v>2626485220</v>
      </c>
      <c r="C279" s="92">
        <v>2847041020</v>
      </c>
      <c r="D279" s="92">
        <v>753208917</v>
      </c>
      <c r="E279" s="92">
        <v>1637940664</v>
      </c>
      <c r="F279" s="28">
        <v>612835666</v>
      </c>
      <c r="G279" s="282">
        <v>13541489</v>
      </c>
    </row>
    <row r="280" spans="1:7" x14ac:dyDescent="0.2">
      <c r="A280" s="275" t="s">
        <v>555</v>
      </c>
      <c r="B280" s="276">
        <v>31355393354</v>
      </c>
      <c r="C280" s="92">
        <v>31885204664</v>
      </c>
      <c r="D280" s="92">
        <v>6161508632</v>
      </c>
      <c r="E280" s="92">
        <v>13717370632</v>
      </c>
      <c r="F280" s="28">
        <v>215340143</v>
      </c>
      <c r="G280" s="282">
        <v>3410000</v>
      </c>
    </row>
    <row r="281" spans="1:7" x14ac:dyDescent="0.2">
      <c r="A281" s="275" t="s">
        <v>372</v>
      </c>
      <c r="B281" s="276">
        <v>51487801911</v>
      </c>
      <c r="C281" s="92">
        <v>78051354773</v>
      </c>
      <c r="D281" s="92">
        <v>5313788038</v>
      </c>
      <c r="E281" s="92">
        <v>50185658438</v>
      </c>
      <c r="F281" s="28">
        <v>2870327946</v>
      </c>
      <c r="G281" s="282">
        <v>1311362099</v>
      </c>
    </row>
    <row r="282" spans="1:7" x14ac:dyDescent="0.2">
      <c r="A282" s="275" t="s">
        <v>529</v>
      </c>
      <c r="B282" s="276">
        <v>34159782315</v>
      </c>
      <c r="C282" s="92">
        <v>62281035474</v>
      </c>
      <c r="D282" s="92">
        <v>20102061046</v>
      </c>
      <c r="E282" s="92">
        <v>48229355948</v>
      </c>
      <c r="F282" s="28">
        <v>1865498400</v>
      </c>
      <c r="G282" s="282">
        <v>534441361</v>
      </c>
    </row>
    <row r="283" spans="1:7" x14ac:dyDescent="0.2">
      <c r="A283" s="275" t="s">
        <v>485</v>
      </c>
      <c r="B283" s="276">
        <v>100000000</v>
      </c>
      <c r="C283" s="92">
        <v>100000000</v>
      </c>
      <c r="D283" s="92">
        <v>0</v>
      </c>
      <c r="E283" s="92">
        <v>0</v>
      </c>
      <c r="F283" s="28">
        <v>0</v>
      </c>
      <c r="G283" s="282">
        <v>0</v>
      </c>
    </row>
    <row r="284" spans="1:7" x14ac:dyDescent="0.2">
      <c r="A284" s="275" t="s">
        <v>374</v>
      </c>
      <c r="B284" s="276"/>
      <c r="C284" s="92"/>
      <c r="D284" s="92"/>
      <c r="E284" s="92"/>
      <c r="F284" s="28"/>
      <c r="G284" s="282"/>
    </row>
    <row r="285" spans="1:7" x14ac:dyDescent="0.2">
      <c r="A285" s="275" t="s">
        <v>499</v>
      </c>
      <c r="B285" s="276">
        <v>5411782173</v>
      </c>
      <c r="C285" s="92">
        <v>23377081462</v>
      </c>
      <c r="D285" s="92">
        <v>354001966</v>
      </c>
      <c r="E285" s="92">
        <v>5909814024</v>
      </c>
      <c r="F285" s="28">
        <v>1680896927</v>
      </c>
      <c r="G285" s="282">
        <v>67717061</v>
      </c>
    </row>
    <row r="286" spans="1:7" x14ac:dyDescent="0.2">
      <c r="A286" s="275" t="s">
        <v>242</v>
      </c>
      <c r="B286" s="276">
        <v>1896832665</v>
      </c>
      <c r="C286" s="92">
        <v>2251532665</v>
      </c>
      <c r="D286" s="92">
        <v>58023996</v>
      </c>
      <c r="E286" s="92">
        <v>290711303</v>
      </c>
      <c r="F286" s="28">
        <v>151559891</v>
      </c>
      <c r="G286" s="282">
        <v>34736463</v>
      </c>
    </row>
    <row r="287" spans="1:7" x14ac:dyDescent="0.2">
      <c r="A287" s="275" t="s">
        <v>513</v>
      </c>
      <c r="B287" s="276">
        <v>1073615634280</v>
      </c>
      <c r="C287" s="92">
        <v>1712269030080</v>
      </c>
      <c r="D287" s="92">
        <v>724765460860</v>
      </c>
      <c r="E287" s="92">
        <v>1195434677080</v>
      </c>
      <c r="F287" s="28">
        <v>54807064172</v>
      </c>
      <c r="G287" s="282">
        <v>25471814560</v>
      </c>
    </row>
    <row r="288" spans="1:7" x14ac:dyDescent="0.2">
      <c r="A288" s="275" t="s">
        <v>196</v>
      </c>
      <c r="B288" s="276">
        <v>880407661</v>
      </c>
      <c r="C288" s="92">
        <v>1357390417</v>
      </c>
      <c r="D288" s="92">
        <v>11750051</v>
      </c>
      <c r="E288" s="92">
        <v>560219531</v>
      </c>
      <c r="F288" s="28">
        <v>101808434</v>
      </c>
      <c r="G288" s="282">
        <v>21880000</v>
      </c>
    </row>
    <row r="289" spans="1:7" x14ac:dyDescent="0.2">
      <c r="A289" s="275" t="s">
        <v>405</v>
      </c>
      <c r="B289" s="276">
        <v>876531472</v>
      </c>
      <c r="C289" s="92">
        <v>1107131472</v>
      </c>
      <c r="D289" s="92">
        <v>45788124</v>
      </c>
      <c r="E289" s="92">
        <v>193015345</v>
      </c>
      <c r="F289" s="28">
        <v>220601905</v>
      </c>
      <c r="G289" s="282">
        <v>1492503</v>
      </c>
    </row>
    <row r="290" spans="1:7" x14ac:dyDescent="0.2">
      <c r="A290" s="275" t="s">
        <v>562</v>
      </c>
      <c r="B290" s="276">
        <v>870789423</v>
      </c>
      <c r="C290" s="92">
        <v>1124189423</v>
      </c>
      <c r="D290" s="92">
        <v>83688021</v>
      </c>
      <c r="E290" s="92">
        <v>288580833</v>
      </c>
      <c r="F290" s="28">
        <v>467074516</v>
      </c>
      <c r="G290" s="282">
        <v>55932711</v>
      </c>
    </row>
    <row r="291" spans="1:7" x14ac:dyDescent="0.2">
      <c r="A291" s="275" t="s">
        <v>330</v>
      </c>
      <c r="B291" s="276">
        <v>1746720581</v>
      </c>
      <c r="C291" s="92">
        <v>2448578739</v>
      </c>
      <c r="D291" s="92">
        <v>21651709</v>
      </c>
      <c r="E291" s="92">
        <v>1279704362</v>
      </c>
      <c r="F291" s="28">
        <v>365087870</v>
      </c>
      <c r="G291" s="282">
        <v>62910000</v>
      </c>
    </row>
    <row r="292" spans="1:7" x14ac:dyDescent="0.2">
      <c r="A292" s="275" t="s">
        <v>368</v>
      </c>
      <c r="B292" s="276">
        <v>1490781625</v>
      </c>
      <c r="C292" s="92">
        <v>1857251907</v>
      </c>
      <c r="D292" s="92">
        <v>51180556</v>
      </c>
      <c r="E292" s="92">
        <v>236824813</v>
      </c>
      <c r="F292" s="28">
        <v>268799708</v>
      </c>
      <c r="G292" s="282">
        <v>1</v>
      </c>
    </row>
    <row r="293" spans="1:7" x14ac:dyDescent="0.2">
      <c r="A293" s="275" t="s">
        <v>613</v>
      </c>
      <c r="B293" s="276">
        <v>8393991959</v>
      </c>
      <c r="C293" s="92">
        <v>8543515815</v>
      </c>
      <c r="D293" s="92">
        <v>66452554</v>
      </c>
      <c r="E293" s="92">
        <v>594248007</v>
      </c>
      <c r="F293" s="28">
        <v>1351495331</v>
      </c>
      <c r="G293" s="282">
        <v>631346</v>
      </c>
    </row>
    <row r="294" spans="1:7" x14ac:dyDescent="0.2">
      <c r="A294" s="275" t="s">
        <v>198</v>
      </c>
      <c r="B294" s="276">
        <v>350000000</v>
      </c>
      <c r="C294" s="92">
        <v>957712515</v>
      </c>
      <c r="D294" s="92">
        <v>20887015</v>
      </c>
      <c r="E294" s="92">
        <v>20887015</v>
      </c>
      <c r="F294" s="28">
        <v>43432000</v>
      </c>
      <c r="G294" s="282">
        <v>1</v>
      </c>
    </row>
    <row r="295" spans="1:7" x14ac:dyDescent="0.2">
      <c r="A295" s="275" t="s">
        <v>533</v>
      </c>
      <c r="B295" s="276">
        <v>12729159107</v>
      </c>
      <c r="C295" s="92">
        <v>17508400512</v>
      </c>
      <c r="D295" s="92">
        <v>4036542470</v>
      </c>
      <c r="E295" s="92">
        <v>9419070394</v>
      </c>
      <c r="F295" s="28">
        <v>1471048671</v>
      </c>
      <c r="G295" s="282">
        <v>646620657</v>
      </c>
    </row>
    <row r="296" spans="1:7" x14ac:dyDescent="0.2">
      <c r="A296" s="275" t="s">
        <v>342</v>
      </c>
      <c r="B296" s="276">
        <v>11404621763</v>
      </c>
      <c r="C296" s="92">
        <v>23531849833</v>
      </c>
      <c r="D296" s="92">
        <v>6485271068</v>
      </c>
      <c r="E296" s="92">
        <v>8455999636</v>
      </c>
      <c r="F296" s="28">
        <v>543279999</v>
      </c>
      <c r="G296" s="282">
        <v>182974281</v>
      </c>
    </row>
    <row r="297" spans="1:7" x14ac:dyDescent="0.2">
      <c r="A297" s="275" t="s">
        <v>184</v>
      </c>
      <c r="B297" s="276">
        <v>58087622756</v>
      </c>
      <c r="C297" s="92">
        <v>143775162989</v>
      </c>
      <c r="D297" s="92">
        <v>26390189764</v>
      </c>
      <c r="E297" s="92">
        <v>62429857315</v>
      </c>
      <c r="F297" s="28">
        <v>11038857989</v>
      </c>
      <c r="G297" s="282">
        <v>2397847799</v>
      </c>
    </row>
    <row r="298" spans="1:7" x14ac:dyDescent="0.2">
      <c r="A298" s="275" t="s">
        <v>545</v>
      </c>
      <c r="B298" s="276">
        <v>66243631447</v>
      </c>
      <c r="C298" s="92">
        <v>91299528860</v>
      </c>
      <c r="D298" s="92">
        <v>32972176485</v>
      </c>
      <c r="E298" s="92">
        <v>55140597726</v>
      </c>
      <c r="F298" s="28">
        <v>4857598266</v>
      </c>
      <c r="G298" s="282">
        <v>1581255913</v>
      </c>
    </row>
    <row r="299" spans="1:7" x14ac:dyDescent="0.2">
      <c r="A299" s="275" t="s">
        <v>532</v>
      </c>
      <c r="B299" s="276">
        <v>7510966504</v>
      </c>
      <c r="C299" s="92">
        <v>15366427665</v>
      </c>
      <c r="D299" s="92">
        <v>2406037123</v>
      </c>
      <c r="E299" s="92">
        <v>8051850893</v>
      </c>
      <c r="F299" s="28">
        <v>3203146406</v>
      </c>
      <c r="G299" s="282">
        <v>593665102</v>
      </c>
    </row>
    <row r="300" spans="1:7" x14ac:dyDescent="0.2">
      <c r="A300" s="275" t="s">
        <v>379</v>
      </c>
      <c r="B300" s="276">
        <v>7510966504</v>
      </c>
      <c r="C300" s="92">
        <v>15366427665</v>
      </c>
      <c r="D300" s="92">
        <v>2406037123</v>
      </c>
      <c r="E300" s="92">
        <v>8051850893</v>
      </c>
      <c r="F300" s="28">
        <v>3203146406</v>
      </c>
      <c r="G300" s="282">
        <v>593665102</v>
      </c>
    </row>
    <row r="301" spans="1:7" x14ac:dyDescent="0.2">
      <c r="A301" s="275" t="s">
        <v>353</v>
      </c>
      <c r="B301" s="276">
        <v>14300112919</v>
      </c>
      <c r="C301" s="92">
        <v>21704248617</v>
      </c>
      <c r="D301" s="92">
        <v>881453927</v>
      </c>
      <c r="E301" s="92">
        <v>14384638984</v>
      </c>
      <c r="F301" s="28">
        <v>2186423825</v>
      </c>
      <c r="G301" s="282">
        <v>1548259</v>
      </c>
    </row>
    <row r="302" spans="1:7" x14ac:dyDescent="0.2">
      <c r="A302" s="275" t="s">
        <v>214</v>
      </c>
      <c r="B302" s="276">
        <v>263168432</v>
      </c>
      <c r="C302" s="92">
        <v>1046168432</v>
      </c>
      <c r="D302" s="92">
        <v>3070000</v>
      </c>
      <c r="E302" s="92">
        <v>61124000</v>
      </c>
      <c r="F302" s="28">
        <v>104919541</v>
      </c>
      <c r="G302" s="282">
        <v>4825000</v>
      </c>
    </row>
    <row r="303" spans="1:7" x14ac:dyDescent="0.2">
      <c r="A303" s="275" t="s">
        <v>413</v>
      </c>
      <c r="B303" s="276">
        <v>263168432</v>
      </c>
      <c r="C303" s="92">
        <v>1046168432</v>
      </c>
      <c r="D303" s="92">
        <v>3070000</v>
      </c>
      <c r="E303" s="92">
        <v>61124000</v>
      </c>
      <c r="F303" s="28">
        <v>104919541</v>
      </c>
      <c r="G303" s="282">
        <v>4825000</v>
      </c>
    </row>
    <row r="304" spans="1:7" x14ac:dyDescent="0.2">
      <c r="A304" s="275" t="s">
        <v>215</v>
      </c>
      <c r="B304" s="276">
        <v>73479114298</v>
      </c>
      <c r="C304" s="92">
        <v>188693818344</v>
      </c>
      <c r="D304" s="92">
        <v>47395609972</v>
      </c>
      <c r="E304" s="92">
        <v>69493070704</v>
      </c>
      <c r="F304" s="28">
        <v>8940321738</v>
      </c>
      <c r="G304" s="282">
        <v>1191781517</v>
      </c>
    </row>
    <row r="305" spans="1:7" x14ac:dyDescent="0.2">
      <c r="A305" s="275" t="s">
        <v>360</v>
      </c>
      <c r="B305" s="276">
        <v>5958317583</v>
      </c>
      <c r="C305" s="92">
        <v>9209940306</v>
      </c>
      <c r="D305" s="92">
        <v>1836029441</v>
      </c>
      <c r="E305" s="92">
        <v>4970538177</v>
      </c>
      <c r="F305" s="28">
        <v>1125424406</v>
      </c>
      <c r="G305" s="282">
        <v>595462648</v>
      </c>
    </row>
    <row r="306" spans="1:7" x14ac:dyDescent="0.2">
      <c r="A306" s="275" t="s">
        <v>580</v>
      </c>
      <c r="B306" s="276">
        <v>76130314543</v>
      </c>
      <c r="C306" s="92">
        <v>203133047552</v>
      </c>
      <c r="D306" s="92">
        <v>15521673696</v>
      </c>
      <c r="E306" s="92">
        <v>146978831380</v>
      </c>
      <c r="F306" s="28">
        <v>24925260996</v>
      </c>
      <c r="G306" s="282">
        <v>1369931326</v>
      </c>
    </row>
    <row r="307" spans="1:7" x14ac:dyDescent="0.2">
      <c r="A307" s="275" t="s">
        <v>584</v>
      </c>
      <c r="B307" s="276">
        <v>388590374</v>
      </c>
      <c r="C307" s="92">
        <v>875849109</v>
      </c>
      <c r="D307" s="92">
        <v>110628551</v>
      </c>
      <c r="E307" s="92">
        <v>156595691</v>
      </c>
      <c r="F307" s="28">
        <v>93395030</v>
      </c>
      <c r="G307" s="282">
        <v>1</v>
      </c>
    </row>
    <row r="308" spans="1:7" x14ac:dyDescent="0.2">
      <c r="A308" s="275" t="s">
        <v>460</v>
      </c>
      <c r="B308" s="276">
        <v>10104301960</v>
      </c>
      <c r="C308" s="92">
        <v>17186668808</v>
      </c>
      <c r="D308" s="92">
        <v>2029015680</v>
      </c>
      <c r="E308" s="92">
        <v>7484677828</v>
      </c>
      <c r="F308" s="28">
        <v>1721093753</v>
      </c>
      <c r="G308" s="282">
        <v>55927245</v>
      </c>
    </row>
    <row r="309" spans="1:7" x14ac:dyDescent="0.2">
      <c r="A309" s="275" t="s">
        <v>393</v>
      </c>
      <c r="B309" s="276">
        <v>10104301960</v>
      </c>
      <c r="C309" s="92">
        <v>17186668508</v>
      </c>
      <c r="D309" s="92">
        <v>2029015680</v>
      </c>
      <c r="E309" s="92">
        <v>7484677828</v>
      </c>
      <c r="F309" s="28">
        <v>1721093753</v>
      </c>
      <c r="G309" s="282">
        <v>55927245</v>
      </c>
    </row>
    <row r="310" spans="1:7" x14ac:dyDescent="0.2">
      <c r="A310" s="275" t="s">
        <v>347</v>
      </c>
      <c r="B310" s="276">
        <v>366019009</v>
      </c>
      <c r="C310" s="92">
        <v>833158197</v>
      </c>
      <c r="D310" s="92">
        <v>16672164</v>
      </c>
      <c r="E310" s="92">
        <v>97759003</v>
      </c>
      <c r="F310" s="28">
        <v>118678641</v>
      </c>
      <c r="G310" s="282">
        <v>1430400</v>
      </c>
    </row>
    <row r="311" spans="1:7" x14ac:dyDescent="0.2">
      <c r="A311" s="275" t="s">
        <v>235</v>
      </c>
      <c r="B311" s="276">
        <v>2015579172</v>
      </c>
      <c r="C311" s="92">
        <v>2263326115</v>
      </c>
      <c r="D311" s="92">
        <v>40089303</v>
      </c>
      <c r="E311" s="92">
        <v>535792179</v>
      </c>
      <c r="F311" s="28">
        <v>194736380</v>
      </c>
      <c r="G311" s="282">
        <v>382800</v>
      </c>
    </row>
    <row r="312" spans="1:7" x14ac:dyDescent="0.2">
      <c r="A312" s="275" t="s">
        <v>335</v>
      </c>
      <c r="B312" s="276">
        <v>591961521</v>
      </c>
      <c r="C312" s="92">
        <v>1279505661</v>
      </c>
      <c r="D312" s="92">
        <v>129767551</v>
      </c>
      <c r="E312" s="92">
        <v>557767551</v>
      </c>
      <c r="F312" s="28">
        <v>101563408</v>
      </c>
      <c r="G312" s="282">
        <v>39086028</v>
      </c>
    </row>
    <row r="313" spans="1:7" x14ac:dyDescent="0.2">
      <c r="A313" s="275" t="s">
        <v>585</v>
      </c>
      <c r="B313" s="276">
        <v>20324675928</v>
      </c>
      <c r="C313" s="92">
        <v>37550006595</v>
      </c>
      <c r="D313" s="92">
        <v>7182271948</v>
      </c>
      <c r="E313" s="92">
        <v>16873420298</v>
      </c>
      <c r="F313" s="28">
        <v>3253455566</v>
      </c>
      <c r="G313" s="282">
        <v>793555830</v>
      </c>
    </row>
    <row r="314" spans="1:7" x14ac:dyDescent="0.2">
      <c r="A314" s="275" t="s">
        <v>400</v>
      </c>
      <c r="B314" s="276">
        <v>461001000</v>
      </c>
      <c r="C314" s="92">
        <v>737652000</v>
      </c>
      <c r="D314" s="92">
        <v>108624000</v>
      </c>
      <c r="E314" s="92">
        <v>196533000</v>
      </c>
      <c r="F314" s="28">
        <v>66653000</v>
      </c>
      <c r="G314" s="282">
        <v>15200000</v>
      </c>
    </row>
    <row r="315" spans="1:7" x14ac:dyDescent="0.2">
      <c r="A315" s="275" t="s">
        <v>190</v>
      </c>
      <c r="B315" s="276">
        <v>29435959326</v>
      </c>
      <c r="C315" s="92">
        <v>43016585182</v>
      </c>
      <c r="D315" s="92">
        <v>19031510028</v>
      </c>
      <c r="E315" s="92">
        <v>26604545840</v>
      </c>
      <c r="F315" s="28">
        <v>6644390239</v>
      </c>
      <c r="G315" s="282">
        <v>1743909305</v>
      </c>
    </row>
    <row r="316" spans="1:7" x14ac:dyDescent="0.2">
      <c r="A316" s="275" t="s">
        <v>419</v>
      </c>
      <c r="B316" s="276">
        <v>581639838</v>
      </c>
      <c r="C316" s="92">
        <v>714539838</v>
      </c>
      <c r="D316" s="92">
        <v>54381000</v>
      </c>
      <c r="E316" s="92">
        <v>169381000</v>
      </c>
      <c r="F316" s="28">
        <v>93484800</v>
      </c>
      <c r="G316" s="282">
        <v>1</v>
      </c>
    </row>
    <row r="317" spans="1:7" x14ac:dyDescent="0.2">
      <c r="A317" s="275" t="s">
        <v>218</v>
      </c>
      <c r="B317" s="276">
        <v>3250004649</v>
      </c>
      <c r="C317" s="92">
        <v>4369690728</v>
      </c>
      <c r="D317" s="92">
        <v>834890506</v>
      </c>
      <c r="E317" s="92">
        <v>1689998329</v>
      </c>
      <c r="F317" s="28">
        <v>304409884</v>
      </c>
      <c r="G317" s="282">
        <v>104688325</v>
      </c>
    </row>
    <row r="318" spans="1:7" x14ac:dyDescent="0.2">
      <c r="A318" s="275" t="s">
        <v>226</v>
      </c>
      <c r="B318" s="276">
        <v>5393904053</v>
      </c>
      <c r="C318" s="92">
        <v>9265345064</v>
      </c>
      <c r="D318" s="92">
        <v>798967509</v>
      </c>
      <c r="E318" s="92">
        <v>2259203912</v>
      </c>
      <c r="F318" s="28">
        <v>1410435939</v>
      </c>
      <c r="G318" s="282">
        <v>203062554</v>
      </c>
    </row>
    <row r="319" spans="1:7" x14ac:dyDescent="0.2">
      <c r="A319" s="275" t="s">
        <v>421</v>
      </c>
      <c r="B319" s="276">
        <v>510168491</v>
      </c>
      <c r="C319" s="92">
        <v>912521926</v>
      </c>
      <c r="D319" s="92">
        <v>7099437</v>
      </c>
      <c r="E319" s="92">
        <v>125725190</v>
      </c>
      <c r="F319" s="28">
        <v>71857434</v>
      </c>
      <c r="G319" s="282">
        <v>3286337</v>
      </c>
    </row>
    <row r="320" spans="1:7" x14ac:dyDescent="0.2">
      <c r="A320" s="275" t="s">
        <v>525</v>
      </c>
      <c r="B320" s="276">
        <v>4459800960</v>
      </c>
      <c r="C320" s="92">
        <v>8272940631</v>
      </c>
      <c r="D320" s="92">
        <v>1486522446</v>
      </c>
      <c r="E320" s="92">
        <v>3063537990</v>
      </c>
      <c r="F320" s="28">
        <v>368063895</v>
      </c>
      <c r="G320" s="282">
        <v>58005914</v>
      </c>
    </row>
    <row r="321" spans="1:7" x14ac:dyDescent="0.2">
      <c r="A321" s="275" t="s">
        <v>506</v>
      </c>
      <c r="B321" s="276">
        <v>142547014022</v>
      </c>
      <c r="C321" s="92">
        <v>157876151235</v>
      </c>
      <c r="D321" s="92">
        <v>91456864816</v>
      </c>
      <c r="E321" s="92">
        <v>108836803256</v>
      </c>
      <c r="F321" s="28">
        <v>17168661363</v>
      </c>
      <c r="G321" s="282">
        <v>292728632</v>
      </c>
    </row>
    <row r="322" spans="1:7" x14ac:dyDescent="0.2">
      <c r="A322" s="275" t="s">
        <v>478</v>
      </c>
      <c r="B322" s="276">
        <v>153503416645</v>
      </c>
      <c r="C322" s="92">
        <v>231886150568</v>
      </c>
      <c r="D322" s="92">
        <v>69028737418</v>
      </c>
      <c r="E322" s="92">
        <v>147140048469</v>
      </c>
      <c r="F322" s="28">
        <v>9718459772</v>
      </c>
      <c r="G322" s="282">
        <v>7225475893</v>
      </c>
    </row>
    <row r="323" spans="1:7" x14ac:dyDescent="0.2">
      <c r="A323" s="275" t="s">
        <v>566</v>
      </c>
      <c r="B323" s="276">
        <v>121885774</v>
      </c>
      <c r="C323" s="92">
        <v>741561294</v>
      </c>
      <c r="D323" s="92">
        <v>6513147</v>
      </c>
      <c r="E323" s="92">
        <v>370628004</v>
      </c>
      <c r="F323" s="28">
        <v>0</v>
      </c>
      <c r="G323" s="282">
        <v>0</v>
      </c>
    </row>
    <row r="324" spans="1:7" x14ac:dyDescent="0.2">
      <c r="A324" s="275" t="s">
        <v>216</v>
      </c>
      <c r="B324" s="276">
        <v>3952858602</v>
      </c>
      <c r="C324" s="92">
        <v>7675849245</v>
      </c>
      <c r="D324" s="92">
        <v>912918765</v>
      </c>
      <c r="E324" s="92">
        <v>3797835218</v>
      </c>
      <c r="F324" s="28">
        <v>562386206</v>
      </c>
      <c r="G324" s="282">
        <v>22063909</v>
      </c>
    </row>
    <row r="325" spans="1:7" x14ac:dyDescent="0.2">
      <c r="A325" s="275" t="s">
        <v>402</v>
      </c>
      <c r="B325" s="276">
        <v>3952858602</v>
      </c>
      <c r="C325" s="92">
        <v>7675849245</v>
      </c>
      <c r="D325" s="92">
        <v>912918765</v>
      </c>
      <c r="E325" s="92">
        <v>3797835218</v>
      </c>
      <c r="F325" s="28">
        <v>562386206</v>
      </c>
      <c r="G325" s="282">
        <v>22063909</v>
      </c>
    </row>
    <row r="326" spans="1:7" x14ac:dyDescent="0.2">
      <c r="A326" s="275" t="s">
        <v>323</v>
      </c>
      <c r="B326" s="276">
        <v>927000000</v>
      </c>
      <c r="C326" s="92">
        <v>982000000</v>
      </c>
      <c r="D326" s="92">
        <v>27002000</v>
      </c>
      <c r="E326" s="92">
        <v>27002000</v>
      </c>
      <c r="F326" s="28">
        <v>140000000</v>
      </c>
      <c r="G326" s="282">
        <v>0</v>
      </c>
    </row>
    <row r="327" spans="1:7" x14ac:dyDescent="0.2">
      <c r="A327" s="275" t="s">
        <v>620</v>
      </c>
      <c r="B327" s="276">
        <v>9304934373</v>
      </c>
      <c r="C327" s="92">
        <v>10707102193</v>
      </c>
      <c r="D327" s="92">
        <v>2997593872</v>
      </c>
      <c r="E327" s="92">
        <v>3597593872</v>
      </c>
      <c r="F327" s="28">
        <v>2231615466</v>
      </c>
      <c r="G327" s="282">
        <v>95232557</v>
      </c>
    </row>
    <row r="328" spans="1:7" x14ac:dyDescent="0.2">
      <c r="A328" s="275" t="s">
        <v>500</v>
      </c>
      <c r="B328" s="276">
        <v>7147417522</v>
      </c>
      <c r="C328" s="92">
        <v>9322533832</v>
      </c>
      <c r="D328" s="92">
        <v>2110845715</v>
      </c>
      <c r="E328" s="92">
        <v>2765609108</v>
      </c>
      <c r="F328" s="28">
        <v>1389519731</v>
      </c>
      <c r="G328" s="282">
        <v>76560172</v>
      </c>
    </row>
    <row r="329" spans="1:7" x14ac:dyDescent="0.2">
      <c r="A329" s="275" t="s">
        <v>444</v>
      </c>
      <c r="B329" s="276">
        <v>42134100953</v>
      </c>
      <c r="C329" s="92">
        <v>46527674260</v>
      </c>
      <c r="D329" s="92">
        <v>5266671532</v>
      </c>
      <c r="E329" s="92">
        <v>9447315104</v>
      </c>
      <c r="F329" s="28">
        <v>974772437</v>
      </c>
      <c r="G329" s="282">
        <v>365165053</v>
      </c>
    </row>
    <row r="330" spans="1:7" x14ac:dyDescent="0.2">
      <c r="A330" s="275" t="s">
        <v>388</v>
      </c>
      <c r="B330" s="276">
        <v>4681351480</v>
      </c>
      <c r="C330" s="92">
        <v>11959312487</v>
      </c>
      <c r="D330" s="92">
        <v>1234453842</v>
      </c>
      <c r="E330" s="92">
        <v>6799945143</v>
      </c>
      <c r="F330" s="28">
        <v>698486625</v>
      </c>
      <c r="G330" s="282">
        <v>596527961</v>
      </c>
    </row>
    <row r="331" spans="1:7" x14ac:dyDescent="0.2">
      <c r="A331" s="275" t="s">
        <v>322</v>
      </c>
      <c r="B331" s="276">
        <v>705709393</v>
      </c>
      <c r="C331" s="92">
        <v>1230856038</v>
      </c>
      <c r="D331" s="92">
        <v>102445880</v>
      </c>
      <c r="E331" s="92">
        <v>373111425</v>
      </c>
      <c r="F331" s="28">
        <v>200910706</v>
      </c>
      <c r="G331" s="282">
        <v>861876</v>
      </c>
    </row>
    <row r="332" spans="1:7" x14ac:dyDescent="0.2">
      <c r="A332" s="275" t="s">
        <v>465</v>
      </c>
      <c r="B332" s="276">
        <v>1498499000</v>
      </c>
      <c r="C332" s="92">
        <v>1814623000</v>
      </c>
      <c r="D332" s="92">
        <v>509143000</v>
      </c>
      <c r="E332" s="92">
        <v>509143000</v>
      </c>
      <c r="F332" s="28">
        <v>484011000</v>
      </c>
      <c r="G332" s="282">
        <v>24735000</v>
      </c>
    </row>
    <row r="333" spans="1:7" x14ac:dyDescent="0.2">
      <c r="A333" s="275" t="s">
        <v>377</v>
      </c>
      <c r="B333" s="276">
        <v>5173709291</v>
      </c>
      <c r="C333" s="92">
        <v>6418025187</v>
      </c>
      <c r="D333" s="92">
        <v>142854571</v>
      </c>
      <c r="E333" s="92">
        <v>628187443</v>
      </c>
      <c r="F333" s="28">
        <v>356370871</v>
      </c>
      <c r="G333" s="282">
        <v>22601745</v>
      </c>
    </row>
    <row r="334" spans="1:7" x14ac:dyDescent="0.2">
      <c r="A334" s="275" t="s">
        <v>583</v>
      </c>
      <c r="B334" s="276">
        <v>22849089050</v>
      </c>
      <c r="C334" s="92">
        <v>24404844550</v>
      </c>
      <c r="D334" s="92">
        <v>3440396396</v>
      </c>
      <c r="E334" s="92">
        <v>5240396396</v>
      </c>
      <c r="F334" s="28">
        <v>1482844363</v>
      </c>
      <c r="G334" s="282">
        <v>111962713</v>
      </c>
    </row>
    <row r="335" spans="1:7" x14ac:dyDescent="0.2">
      <c r="A335" s="275" t="s">
        <v>458</v>
      </c>
      <c r="B335" s="276">
        <v>22849089050</v>
      </c>
      <c r="C335" s="92">
        <v>24404844550</v>
      </c>
      <c r="D335" s="92">
        <v>3440396396</v>
      </c>
      <c r="E335" s="92">
        <v>5240396396</v>
      </c>
      <c r="F335" s="28">
        <v>1482844363</v>
      </c>
      <c r="G335" s="282">
        <v>111962733</v>
      </c>
    </row>
    <row r="336" spans="1:7" x14ac:dyDescent="0.2">
      <c r="A336" s="275" t="s">
        <v>450</v>
      </c>
      <c r="B336" s="276">
        <v>6957597632</v>
      </c>
      <c r="C336" s="92">
        <v>9330038756</v>
      </c>
      <c r="D336" s="92">
        <v>1897821176</v>
      </c>
      <c r="E336" s="92">
        <v>2474254905</v>
      </c>
      <c r="F336" s="28">
        <v>1743364744</v>
      </c>
      <c r="G336" s="282">
        <v>69730549</v>
      </c>
    </row>
    <row r="337" spans="1:7" x14ac:dyDescent="0.2">
      <c r="A337" s="275" t="s">
        <v>481</v>
      </c>
      <c r="B337" s="276">
        <v>120025260459</v>
      </c>
      <c r="C337" s="92">
        <v>218052225821</v>
      </c>
      <c r="D337" s="92">
        <v>64271245</v>
      </c>
      <c r="E337" s="92">
        <v>134801790205</v>
      </c>
      <c r="F337" s="28">
        <v>13814548113</v>
      </c>
      <c r="G337" s="282">
        <v>1820099771</v>
      </c>
    </row>
    <row r="338" spans="1:7" x14ac:dyDescent="0.2">
      <c r="A338" s="275" t="s">
        <v>543</v>
      </c>
      <c r="B338" s="276">
        <v>120025260459</v>
      </c>
      <c r="C338" s="92">
        <v>218052225821</v>
      </c>
      <c r="D338" s="92">
        <v>64271661245</v>
      </c>
      <c r="E338" s="92">
        <v>134801790205</v>
      </c>
      <c r="F338" s="28">
        <v>13814548113</v>
      </c>
      <c r="G338" s="282">
        <v>1820099771</v>
      </c>
    </row>
    <row r="339" spans="1:7" x14ac:dyDescent="0.2">
      <c r="A339" s="275" t="s">
        <v>475</v>
      </c>
      <c r="B339" s="276">
        <v>117464441677</v>
      </c>
      <c r="C339" s="92">
        <v>207721507459</v>
      </c>
      <c r="D339" s="92">
        <v>31694667168</v>
      </c>
      <c r="E339" s="92">
        <v>57333352312</v>
      </c>
      <c r="F339" s="28">
        <v>11519719143</v>
      </c>
      <c r="G339" s="282">
        <v>804503503</v>
      </c>
    </row>
    <row r="340" spans="1:7" x14ac:dyDescent="0.2">
      <c r="A340" s="275" t="s">
        <v>479</v>
      </c>
      <c r="B340" s="276">
        <v>12381268447</v>
      </c>
      <c r="C340" s="92">
        <v>49010952703</v>
      </c>
      <c r="D340" s="92">
        <v>7236895654</v>
      </c>
      <c r="E340" s="92">
        <v>26174303356</v>
      </c>
      <c r="F340" s="28">
        <v>4918470566</v>
      </c>
      <c r="G340" s="282">
        <v>2566520032</v>
      </c>
    </row>
    <row r="341" spans="1:7" x14ac:dyDescent="0.2">
      <c r="A341" s="275" t="s">
        <v>433</v>
      </c>
      <c r="B341" s="276">
        <v>443809926</v>
      </c>
      <c r="C341" s="92">
        <v>598001856</v>
      </c>
      <c r="D341" s="92">
        <v>15343909</v>
      </c>
      <c r="E341" s="92">
        <v>335634952</v>
      </c>
      <c r="F341" s="28">
        <v>37597811</v>
      </c>
      <c r="G341" s="282">
        <v>1524332</v>
      </c>
    </row>
    <row r="342" spans="1:7" x14ac:dyDescent="0.2">
      <c r="A342" s="275" t="s">
        <v>329</v>
      </c>
      <c r="B342" s="276">
        <v>443809926</v>
      </c>
      <c r="C342" s="92">
        <v>598001856</v>
      </c>
      <c r="D342" s="92">
        <v>15343909</v>
      </c>
      <c r="E342" s="92">
        <v>335634952</v>
      </c>
      <c r="F342" s="28">
        <v>37597811</v>
      </c>
      <c r="G342" s="282">
        <v>1524332</v>
      </c>
    </row>
    <row r="343" spans="1:7" x14ac:dyDescent="0.2">
      <c r="A343" s="275" t="s">
        <v>321</v>
      </c>
      <c r="B343" s="276">
        <v>3015413736</v>
      </c>
      <c r="C343" s="92">
        <v>3664734551</v>
      </c>
      <c r="D343" s="92">
        <v>388862171</v>
      </c>
      <c r="E343" s="92">
        <v>1325138636</v>
      </c>
      <c r="F343" s="28">
        <v>409540539</v>
      </c>
      <c r="G343" s="282">
        <v>289000</v>
      </c>
    </row>
    <row r="344" spans="1:7" x14ac:dyDescent="0.2">
      <c r="A344" s="275" t="s">
        <v>417</v>
      </c>
      <c r="B344" s="276">
        <v>3015413736</v>
      </c>
      <c r="C344" s="92">
        <v>3664734551</v>
      </c>
      <c r="D344" s="92">
        <v>188862171</v>
      </c>
      <c r="E344" s="92">
        <v>1325138636</v>
      </c>
      <c r="F344" s="28">
        <v>409540539</v>
      </c>
      <c r="G344" s="282">
        <v>289000</v>
      </c>
    </row>
    <row r="345" spans="1:7" x14ac:dyDescent="0.2">
      <c r="A345" s="275" t="s">
        <v>488</v>
      </c>
      <c r="B345" s="276">
        <v>326498314005</v>
      </c>
      <c r="C345" s="92">
        <v>487893199252</v>
      </c>
      <c r="D345" s="92">
        <v>166926017078</v>
      </c>
      <c r="E345" s="92">
        <v>211721204949</v>
      </c>
      <c r="F345" s="28">
        <v>20076115686</v>
      </c>
      <c r="G345" s="282">
        <v>3829524907</v>
      </c>
    </row>
    <row r="346" spans="1:7" x14ac:dyDescent="0.2">
      <c r="A346" s="275" t="s">
        <v>364</v>
      </c>
      <c r="B346" s="276">
        <v>4124238544</v>
      </c>
      <c r="C346" s="92">
        <v>8281405183</v>
      </c>
      <c r="D346" s="92">
        <v>670428104</v>
      </c>
      <c r="E346" s="92">
        <v>3031967184</v>
      </c>
      <c r="F346" s="28">
        <v>528094050</v>
      </c>
      <c r="G346" s="282">
        <v>136337453</v>
      </c>
    </row>
    <row r="347" spans="1:7" x14ac:dyDescent="0.2">
      <c r="A347" s="275" t="s">
        <v>608</v>
      </c>
      <c r="B347" s="276">
        <v>122824223927</v>
      </c>
      <c r="C347" s="92">
        <v>152112152235</v>
      </c>
      <c r="D347" s="92">
        <v>70062372878</v>
      </c>
      <c r="E347" s="92">
        <v>92742797975</v>
      </c>
      <c r="F347" s="28">
        <v>4598777041</v>
      </c>
      <c r="G347" s="282">
        <v>1473463479</v>
      </c>
    </row>
    <row r="348" spans="1:7" x14ac:dyDescent="0.2">
      <c r="A348" s="275" t="s">
        <v>530</v>
      </c>
      <c r="B348" s="276">
        <v>1011864532907</v>
      </c>
      <c r="C348" s="92">
        <v>1330265904630</v>
      </c>
      <c r="D348" s="92">
        <v>776988282478</v>
      </c>
      <c r="E348" s="92">
        <v>946008961735</v>
      </c>
      <c r="F348" s="28">
        <v>83042565061</v>
      </c>
      <c r="G348" s="282">
        <v>18308360651</v>
      </c>
    </row>
    <row r="349" spans="1:7" x14ac:dyDescent="0.2">
      <c r="A349" s="275" t="s">
        <v>497</v>
      </c>
      <c r="B349" s="276">
        <v>7406062312</v>
      </c>
      <c r="C349" s="92">
        <v>10326292370</v>
      </c>
      <c r="D349" s="92">
        <v>1261202416</v>
      </c>
      <c r="E349" s="92">
        <v>4629091246</v>
      </c>
      <c r="F349" s="28">
        <v>376111806</v>
      </c>
      <c r="G349" s="282">
        <v>7387236</v>
      </c>
    </row>
    <row r="350" spans="1:7" x14ac:dyDescent="0.2">
      <c r="A350" s="275" t="s">
        <v>526</v>
      </c>
      <c r="B350" s="276">
        <v>11039283262</v>
      </c>
      <c r="C350" s="92">
        <v>13523541541</v>
      </c>
      <c r="D350" s="92">
        <v>4794287757</v>
      </c>
      <c r="E350" s="92">
        <v>5144287757</v>
      </c>
      <c r="F350" s="28">
        <v>1806492902</v>
      </c>
      <c r="G350" s="282">
        <v>124208422</v>
      </c>
    </row>
    <row r="351" spans="1:7" x14ac:dyDescent="0.2">
      <c r="A351" s="275" t="s">
        <v>431</v>
      </c>
      <c r="B351" s="276">
        <v>1240604124</v>
      </c>
      <c r="C351" s="92">
        <v>1301747030</v>
      </c>
      <c r="D351" s="92">
        <v>238335357</v>
      </c>
      <c r="E351" s="92">
        <v>778953038</v>
      </c>
      <c r="F351" s="28">
        <v>91799779</v>
      </c>
      <c r="G351" s="282">
        <v>4500314</v>
      </c>
    </row>
    <row r="352" spans="1:7" x14ac:dyDescent="0.2">
      <c r="A352" s="275" t="s">
        <v>569</v>
      </c>
      <c r="B352" s="276">
        <v>4375364311</v>
      </c>
      <c r="C352" s="92">
        <v>10382273674</v>
      </c>
      <c r="D352" s="92">
        <v>1156594417</v>
      </c>
      <c r="E352" s="92">
        <v>5736392654</v>
      </c>
      <c r="F352" s="28">
        <v>1366225613</v>
      </c>
      <c r="G352" s="282">
        <v>110272608</v>
      </c>
    </row>
    <row r="353" spans="1:7" x14ac:dyDescent="0.2">
      <c r="A353" s="275" t="s">
        <v>477</v>
      </c>
      <c r="B353" s="276">
        <v>41547621887</v>
      </c>
      <c r="C353" s="92">
        <v>50428566677</v>
      </c>
      <c r="D353" s="92">
        <v>26497780338</v>
      </c>
      <c r="E353" s="92">
        <v>30019013513</v>
      </c>
      <c r="F353" s="28">
        <v>2153302107</v>
      </c>
      <c r="G353" s="282">
        <v>71008665</v>
      </c>
    </row>
    <row r="354" spans="1:7" x14ac:dyDescent="0.2">
      <c r="A354" s="275" t="s">
        <v>489</v>
      </c>
      <c r="B354" s="276">
        <v>11027690314</v>
      </c>
      <c r="C354" s="92">
        <v>15862371813</v>
      </c>
      <c r="D354" s="92">
        <v>1184283832</v>
      </c>
      <c r="E354" s="92">
        <v>9489299672</v>
      </c>
      <c r="F354" s="28">
        <v>509483947</v>
      </c>
      <c r="G354" s="282">
        <v>3171577</v>
      </c>
    </row>
    <row r="355" spans="1:7" x14ac:dyDescent="0.2">
      <c r="A355" s="275" t="s">
        <v>200</v>
      </c>
      <c r="B355" s="276">
        <v>826826577</v>
      </c>
      <c r="C355" s="92">
        <v>997572499</v>
      </c>
      <c r="D355" s="92">
        <v>49169325</v>
      </c>
      <c r="E355" s="92">
        <v>49169325</v>
      </c>
      <c r="F355" s="28">
        <v>108017878</v>
      </c>
      <c r="G355" s="282">
        <v>1279393</v>
      </c>
    </row>
    <row r="356" spans="1:7" x14ac:dyDescent="0.2">
      <c r="A356" s="275" t="s">
        <v>217</v>
      </c>
      <c r="B356" s="276">
        <v>452772797630</v>
      </c>
      <c r="C356" s="92">
        <v>702098884398</v>
      </c>
      <c r="D356" s="92">
        <v>230526532527</v>
      </c>
      <c r="E356" s="92">
        <v>398861475050</v>
      </c>
      <c r="F356" s="28">
        <v>35964860038</v>
      </c>
      <c r="G356" s="282">
        <v>18291140884</v>
      </c>
    </row>
    <row r="357" spans="1:7" x14ac:dyDescent="0.2">
      <c r="A357" s="275" t="s">
        <v>572</v>
      </c>
      <c r="B357" s="276">
        <v>92210018302</v>
      </c>
      <c r="C357" s="92">
        <v>94420009743</v>
      </c>
      <c r="D357" s="92">
        <v>34140838840</v>
      </c>
      <c r="E357" s="92">
        <v>34140838840</v>
      </c>
      <c r="F357" s="28">
        <v>2489239647</v>
      </c>
      <c r="G357" s="282">
        <v>5222098099</v>
      </c>
    </row>
    <row r="358" spans="1:7" x14ac:dyDescent="0.2">
      <c r="A358" s="275" t="s">
        <v>205</v>
      </c>
      <c r="B358" s="276">
        <v>364895055</v>
      </c>
      <c r="C358" s="92">
        <v>574574960</v>
      </c>
      <c r="D358" s="92">
        <v>90739655</v>
      </c>
      <c r="E358" s="92">
        <v>190739655</v>
      </c>
      <c r="F358" s="28">
        <v>107999601</v>
      </c>
      <c r="G358" s="282">
        <v>28068</v>
      </c>
    </row>
    <row r="359" spans="1:7" x14ac:dyDescent="0.2">
      <c r="A359" s="275" t="s">
        <v>203</v>
      </c>
      <c r="B359" s="276">
        <v>16732524000</v>
      </c>
      <c r="C359" s="92">
        <v>20822448000</v>
      </c>
      <c r="D359" s="92">
        <v>5713844000</v>
      </c>
      <c r="E359" s="92">
        <v>10489602000</v>
      </c>
      <c r="F359" s="28">
        <v>1527297000</v>
      </c>
      <c r="G359" s="282">
        <v>293783000</v>
      </c>
    </row>
    <row r="360" spans="1:7" x14ac:dyDescent="0.2">
      <c r="A360" s="275" t="s">
        <v>376</v>
      </c>
      <c r="B360" s="276">
        <v>3829588000</v>
      </c>
      <c r="C360" s="92">
        <v>6034635000</v>
      </c>
      <c r="D360" s="92">
        <v>198826000</v>
      </c>
      <c r="E360" s="92">
        <v>3554587000</v>
      </c>
      <c r="F360" s="28">
        <v>1436244000</v>
      </c>
      <c r="G360" s="282">
        <v>199548000</v>
      </c>
    </row>
    <row r="361" spans="1:7" x14ac:dyDescent="0.2">
      <c r="A361" s="275" t="s">
        <v>490</v>
      </c>
      <c r="B361" s="276">
        <v>19860658331</v>
      </c>
      <c r="C361" s="92">
        <v>52569899645</v>
      </c>
      <c r="D361" s="92">
        <v>890736916</v>
      </c>
      <c r="E361" s="92">
        <v>16571579644</v>
      </c>
      <c r="F361" s="28">
        <v>3531160793</v>
      </c>
      <c r="G361" s="282">
        <v>423652259</v>
      </c>
    </row>
    <row r="362" spans="1:7" x14ac:dyDescent="0.2">
      <c r="A362" s="275" t="s">
        <v>367</v>
      </c>
      <c r="B362" s="276">
        <v>13723264435</v>
      </c>
      <c r="C362" s="92">
        <v>40229755836</v>
      </c>
      <c r="D362" s="92">
        <v>6536943733</v>
      </c>
      <c r="E362" s="92">
        <v>10137822023</v>
      </c>
      <c r="F362" s="28">
        <v>7503376105</v>
      </c>
      <c r="G362" s="282">
        <v>175557522</v>
      </c>
    </row>
    <row r="363" spans="1:7" x14ac:dyDescent="0.2">
      <c r="A363" s="275" t="s">
        <v>617</v>
      </c>
      <c r="B363" s="276">
        <v>146117913000</v>
      </c>
      <c r="C363" s="92">
        <v>228410239000</v>
      </c>
      <c r="D363" s="92">
        <v>61530297000</v>
      </c>
      <c r="E363" s="92">
        <v>132660764000</v>
      </c>
      <c r="F363" s="28">
        <v>20385551000</v>
      </c>
      <c r="G363" s="282">
        <v>4202470644</v>
      </c>
    </row>
    <row r="364" spans="1:7" x14ac:dyDescent="0.2">
      <c r="A364" s="275" t="s">
        <v>407</v>
      </c>
      <c r="B364" s="276">
        <v>1193988376</v>
      </c>
      <c r="C364" s="92">
        <v>1926024172</v>
      </c>
      <c r="D364" s="92">
        <v>193163989</v>
      </c>
      <c r="E364" s="92">
        <v>919574434</v>
      </c>
      <c r="F364" s="28">
        <v>349529530</v>
      </c>
      <c r="G364" s="282">
        <v>52700996</v>
      </c>
    </row>
    <row r="365" spans="1:7" x14ac:dyDescent="0.2">
      <c r="A365" s="275" t="s">
        <v>552</v>
      </c>
      <c r="B365" s="276">
        <v>151464060</v>
      </c>
      <c r="C365" s="92">
        <v>152068160</v>
      </c>
      <c r="D365" s="92">
        <v>14826300</v>
      </c>
      <c r="E365" s="92">
        <v>14826300</v>
      </c>
      <c r="F365" s="28">
        <v>143098822</v>
      </c>
      <c r="G365" s="282">
        <v>0</v>
      </c>
    </row>
    <row r="366" spans="1:7" x14ac:dyDescent="0.2">
      <c r="A366" s="275" t="s">
        <v>381</v>
      </c>
      <c r="B366" s="276">
        <v>7843483909</v>
      </c>
      <c r="C366" s="92">
        <v>13403059942</v>
      </c>
      <c r="D366" s="92">
        <v>1603028178</v>
      </c>
      <c r="E366" s="92">
        <v>3680773095</v>
      </c>
      <c r="F366" s="28">
        <v>1100752305</v>
      </c>
      <c r="G366" s="282">
        <v>12160243</v>
      </c>
    </row>
    <row r="367" spans="1:7" x14ac:dyDescent="0.2">
      <c r="A367" s="275" t="s">
        <v>207</v>
      </c>
      <c r="B367" s="276">
        <v>641837420</v>
      </c>
      <c r="C367" s="92">
        <v>1235852300</v>
      </c>
      <c r="D367" s="92">
        <v>5000000</v>
      </c>
      <c r="E367" s="92">
        <v>210000000</v>
      </c>
      <c r="F367" s="28">
        <v>154920150</v>
      </c>
      <c r="G367" s="282">
        <v>9819850</v>
      </c>
    </row>
    <row r="368" spans="1:7" x14ac:dyDescent="0.2">
      <c r="A368" s="275" t="s">
        <v>603</v>
      </c>
      <c r="B368" s="276">
        <v>51730866000</v>
      </c>
      <c r="C368" s="92">
        <v>56370700000</v>
      </c>
      <c r="D368" s="92">
        <v>7445068000</v>
      </c>
      <c r="E368" s="92">
        <v>47487413000</v>
      </c>
      <c r="F368" s="28">
        <v>78334000</v>
      </c>
      <c r="G368" s="282">
        <v>22165000</v>
      </c>
    </row>
    <row r="369" spans="1:7" x14ac:dyDescent="0.2">
      <c r="A369" s="275" t="s">
        <v>549</v>
      </c>
      <c r="B369" s="276">
        <v>12574254399</v>
      </c>
      <c r="C369" s="92">
        <v>15629711644</v>
      </c>
      <c r="D369" s="92">
        <v>3857860522</v>
      </c>
      <c r="E369" s="92">
        <v>5615220522</v>
      </c>
      <c r="F369" s="28">
        <v>2343435320</v>
      </c>
      <c r="G369" s="282">
        <v>378501555</v>
      </c>
    </row>
    <row r="370" spans="1:7" x14ac:dyDescent="0.2">
      <c r="A370" s="275" t="s">
        <v>410</v>
      </c>
      <c r="B370" s="276">
        <v>1779986928</v>
      </c>
      <c r="C370" s="92">
        <v>2230779608</v>
      </c>
      <c r="D370" s="92">
        <v>24948322</v>
      </c>
      <c r="E370" s="92">
        <v>433515782</v>
      </c>
      <c r="F370" s="28">
        <v>648103471</v>
      </c>
      <c r="G370" s="282">
        <v>4440000</v>
      </c>
    </row>
    <row r="371" spans="1:7" x14ac:dyDescent="0.2">
      <c r="A371" s="275" t="s">
        <v>0</v>
      </c>
      <c r="B371" s="276"/>
      <c r="C371" s="92"/>
      <c r="D371" s="92"/>
      <c r="E371" s="92"/>
      <c r="F371" s="28"/>
      <c r="G371" s="282"/>
    </row>
    <row r="372" spans="1:7" x14ac:dyDescent="0.2">
      <c r="A372" s="277" t="s">
        <v>1</v>
      </c>
      <c r="B372" s="278">
        <v>21810819067137.898</v>
      </c>
      <c r="C372" s="279">
        <v>38438945060927.875</v>
      </c>
      <c r="D372" s="279">
        <v>10967358153786.15</v>
      </c>
      <c r="E372" s="279">
        <v>19993368523097.961</v>
      </c>
      <c r="F372" s="283">
        <v>2425337377935.3799</v>
      </c>
      <c r="G372" s="284">
        <v>536077779891.77002</v>
      </c>
    </row>
  </sheetData>
  <customSheetViews>
    <customSheetView guid="{7043DB3C-32B3-43B5-9ACE-4B1C78863594}" topLeftCell="A1006">
      <selection activeCell="A1030" sqref="A1030"/>
      <pageMargins left="0.75" right="0.75" top="1" bottom="1" header="0" footer="0"/>
      <headerFooter alignWithMargins="0"/>
    </customSheetView>
  </customSheetViews>
  <phoneticPr fontId="25" type="noConversion"/>
  <pageMargins left="0.75" right="0.75" top="1" bottom="1" header="0" footer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1">
    <tabColor rgb="FFFFC000"/>
  </sheetPr>
  <dimension ref="A1:M7"/>
  <sheetViews>
    <sheetView workbookViewId="0">
      <selection activeCell="A3" sqref="A3"/>
    </sheetView>
  </sheetViews>
  <sheetFormatPr baseColWidth="10" defaultRowHeight="12.75" x14ac:dyDescent="0.2"/>
  <cols>
    <col min="1" max="1" width="11.42578125" style="300"/>
    <col min="2" max="2" width="18.5703125" style="300" bestFit="1" customWidth="1"/>
    <col min="3" max="3" width="11.42578125" style="300"/>
    <col min="4" max="4" width="18.140625" style="300" customWidth="1"/>
    <col min="5" max="5" width="4.7109375" style="300" customWidth="1"/>
    <col min="6" max="6" width="12.85546875" style="300" bestFit="1" customWidth="1"/>
    <col min="7" max="7" width="4.7109375" style="294" customWidth="1"/>
    <col min="8" max="8" width="15.42578125" style="294" customWidth="1"/>
    <col min="9" max="9" width="14.7109375" style="294" customWidth="1"/>
    <col min="10" max="10" width="4.7109375" style="294" customWidth="1"/>
    <col min="11" max="11" width="11.42578125" style="294"/>
    <col min="12" max="12" width="12.85546875" style="304" bestFit="1" customWidth="1"/>
    <col min="13" max="13" width="13.85546875" style="304" bestFit="1" customWidth="1"/>
    <col min="14" max="16384" width="11.42578125" style="294"/>
  </cols>
  <sheetData>
    <row r="1" spans="1:11" ht="41.25" customHeight="1" x14ac:dyDescent="0.2">
      <c r="A1" s="291" t="s">
        <v>171</v>
      </c>
      <c r="B1" s="291" t="s">
        <v>172</v>
      </c>
      <c r="C1" s="291" t="s">
        <v>7</v>
      </c>
      <c r="D1" s="291" t="s">
        <v>257</v>
      </c>
      <c r="E1" s="292"/>
      <c r="F1" s="293" t="s">
        <v>629</v>
      </c>
      <c r="H1" s="293" t="s">
        <v>627</v>
      </c>
      <c r="I1" s="293" t="s">
        <v>111</v>
      </c>
      <c r="K1" s="293" t="s">
        <v>628</v>
      </c>
    </row>
    <row r="2" spans="1:11" ht="15" x14ac:dyDescent="0.25">
      <c r="A2" s="295">
        <v>1</v>
      </c>
      <c r="B2" s="306">
        <v>165305025</v>
      </c>
      <c r="C2" s="297">
        <v>5</v>
      </c>
      <c r="D2" s="296">
        <f>+B2*0.1</f>
        <v>16530502.5</v>
      </c>
      <c r="E2" s="298"/>
      <c r="F2" s="299">
        <v>828116</v>
      </c>
      <c r="H2" s="303">
        <f>+IF(OR(B2="",PlazoM1=""),"",B2/PlazoM1)</f>
        <v>33061005</v>
      </c>
      <c r="I2" s="303">
        <f>IF(OR(B2="",$K$2=""),"",B2*$K$2)</f>
        <v>16530502.5</v>
      </c>
      <c r="K2" s="305">
        <v>0.1</v>
      </c>
    </row>
    <row r="3" spans="1:11" x14ac:dyDescent="0.2">
      <c r="A3" s="295"/>
      <c r="B3" s="296"/>
      <c r="C3" s="297"/>
      <c r="D3" s="296"/>
      <c r="H3" s="303" t="str">
        <f>+IF(OR(B3="",PlazoM2=""),"",B3/PlazoM2)</f>
        <v/>
      </c>
      <c r="I3" s="303" t="str">
        <f t="shared" ref="I3:I5" si="0">IF(OR(B3="",$K$2=""),"",B3*$K$2)</f>
        <v/>
      </c>
    </row>
    <row r="4" spans="1:11" x14ac:dyDescent="0.2">
      <c r="A4" s="295"/>
      <c r="B4" s="296"/>
      <c r="C4" s="297"/>
      <c r="D4" s="296"/>
      <c r="H4" s="303" t="str">
        <f>+IF(OR(B4="",PlazoM3=""),"",B4/PlazoM3)</f>
        <v/>
      </c>
      <c r="I4" s="303" t="str">
        <f t="shared" si="0"/>
        <v/>
      </c>
    </row>
    <row r="5" spans="1:11" x14ac:dyDescent="0.2">
      <c r="A5" s="295"/>
      <c r="B5" s="296"/>
      <c r="C5" s="297"/>
      <c r="D5" s="296"/>
      <c r="H5" s="303" t="str">
        <f>+IF(OR(B5="",PlazoM4=""),"",B5/PlazoM4)</f>
        <v/>
      </c>
      <c r="I5" s="303" t="str">
        <f t="shared" si="0"/>
        <v/>
      </c>
    </row>
    <row r="6" spans="1:11" x14ac:dyDescent="0.2">
      <c r="E6" s="301"/>
    </row>
    <row r="7" spans="1:11" x14ac:dyDescent="0.2">
      <c r="D7" s="302"/>
    </row>
  </sheetData>
  <customSheetViews>
    <customSheetView guid="{7043DB3C-32B3-43B5-9ACE-4B1C78863594}" topLeftCell="A4">
      <selection activeCell="F24" sqref="F24"/>
      <pageMargins left="0.75" right="0.75" top="1" bottom="1" header="0" footer="0"/>
      <headerFooter alignWithMargins="0"/>
    </customSheetView>
  </customSheetViews>
  <phoneticPr fontId="25" type="noConversion"/>
  <pageMargins left="0.75" right="0.75" top="1" bottom="1" header="0" footer="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14">
    <tabColor rgb="FFFFC000"/>
  </sheetPr>
  <dimension ref="B1:H16"/>
  <sheetViews>
    <sheetView workbookViewId="0">
      <selection activeCell="H27" sqref="H27"/>
    </sheetView>
  </sheetViews>
  <sheetFormatPr baseColWidth="10" defaultRowHeight="12.75" x14ac:dyDescent="0.2"/>
  <cols>
    <col min="1" max="2" width="11.42578125" style="162"/>
    <col min="3" max="3" width="15.28515625" style="162" bestFit="1" customWidth="1"/>
    <col min="4" max="6" width="11.42578125" style="162"/>
    <col min="7" max="7" width="11.42578125" style="162" customWidth="1"/>
    <col min="8" max="16384" width="11.42578125" style="162"/>
  </cols>
  <sheetData>
    <row r="1" spans="2:8" ht="13.5" thickBot="1" x14ac:dyDescent="0.25"/>
    <row r="2" spans="2:8" ht="13.5" thickBot="1" x14ac:dyDescent="0.25">
      <c r="B2" s="360" t="s">
        <v>267</v>
      </c>
      <c r="C2" s="361"/>
      <c r="D2" s="362"/>
      <c r="F2" s="360" t="s">
        <v>275</v>
      </c>
      <c r="G2" s="361"/>
      <c r="H2" s="362"/>
    </row>
    <row r="3" spans="2:8" ht="13.5" thickBot="1" x14ac:dyDescent="0.25">
      <c r="B3" s="196" t="s">
        <v>271</v>
      </c>
      <c r="C3" s="198" t="s">
        <v>273</v>
      </c>
      <c r="D3" s="197" t="s">
        <v>272</v>
      </c>
      <c r="F3" s="196" t="s">
        <v>276</v>
      </c>
      <c r="G3" s="198" t="s">
        <v>277</v>
      </c>
      <c r="H3" s="197" t="s">
        <v>272</v>
      </c>
    </row>
    <row r="4" spans="2:8" x14ac:dyDescent="0.2">
      <c r="B4" s="188">
        <v>0</v>
      </c>
      <c r="C4" s="188">
        <v>3</v>
      </c>
      <c r="D4" s="188">
        <v>60</v>
      </c>
      <c r="F4" s="188">
        <v>1</v>
      </c>
      <c r="G4" s="188">
        <v>5</v>
      </c>
      <c r="H4" s="188">
        <v>20</v>
      </c>
    </row>
    <row r="5" spans="2:8" x14ac:dyDescent="0.2">
      <c r="B5" s="189">
        <v>3</v>
      </c>
      <c r="C5" s="189">
        <v>6</v>
      </c>
      <c r="D5" s="189">
        <v>80</v>
      </c>
      <c r="F5" s="189">
        <v>6</v>
      </c>
      <c r="G5" s="189">
        <v>10</v>
      </c>
      <c r="H5" s="189">
        <v>30</v>
      </c>
    </row>
    <row r="6" spans="2:8" ht="13.5" thickBot="1" x14ac:dyDescent="0.25">
      <c r="B6" s="189">
        <v>6</v>
      </c>
      <c r="C6" s="189">
        <v>10</v>
      </c>
      <c r="D6" s="189">
        <v>100</v>
      </c>
      <c r="F6" s="190">
        <v>11</v>
      </c>
      <c r="G6" s="191" t="s">
        <v>274</v>
      </c>
      <c r="H6" s="190">
        <v>40</v>
      </c>
    </row>
    <row r="7" spans="2:8" ht="13.5" thickBot="1" x14ac:dyDescent="0.25">
      <c r="B7" s="190">
        <v>10</v>
      </c>
      <c r="C7" s="191" t="s">
        <v>274</v>
      </c>
      <c r="D7" s="190">
        <v>120</v>
      </c>
      <c r="F7" s="199"/>
      <c r="G7" s="200"/>
      <c r="H7" s="199"/>
    </row>
    <row r="9" spans="2:8" ht="13.5" thickBot="1" x14ac:dyDescent="0.25"/>
    <row r="10" spans="2:8" ht="13.5" thickBot="1" x14ac:dyDescent="0.25">
      <c r="B10" s="360" t="s">
        <v>261</v>
      </c>
      <c r="C10" s="361"/>
      <c r="D10" s="362"/>
    </row>
    <row r="11" spans="2:8" ht="13.5" thickBot="1" x14ac:dyDescent="0.25">
      <c r="B11" s="196" t="s">
        <v>271</v>
      </c>
      <c r="C11" s="198" t="s">
        <v>273</v>
      </c>
      <c r="D11" s="197" t="s">
        <v>272</v>
      </c>
    </row>
    <row r="12" spans="2:8" x14ac:dyDescent="0.2">
      <c r="B12" s="188">
        <v>0</v>
      </c>
      <c r="C12" s="188">
        <v>0.5</v>
      </c>
      <c r="D12" s="188">
        <v>20</v>
      </c>
    </row>
    <row r="13" spans="2:8" x14ac:dyDescent="0.2">
      <c r="B13" s="189">
        <v>0.5</v>
      </c>
      <c r="C13" s="189">
        <v>0.75</v>
      </c>
      <c r="D13" s="189">
        <v>25</v>
      </c>
    </row>
    <row r="14" spans="2:8" x14ac:dyDescent="0.2">
      <c r="B14" s="189">
        <v>0.75</v>
      </c>
      <c r="C14" s="195">
        <v>1</v>
      </c>
      <c r="D14" s="189">
        <v>30</v>
      </c>
    </row>
    <row r="15" spans="2:8" x14ac:dyDescent="0.2">
      <c r="B15" s="194">
        <v>1</v>
      </c>
      <c r="C15" s="193">
        <v>1.5</v>
      </c>
      <c r="D15" s="192">
        <v>35</v>
      </c>
    </row>
    <row r="16" spans="2:8" ht="13.5" thickBot="1" x14ac:dyDescent="0.25">
      <c r="B16" s="190">
        <v>1.5</v>
      </c>
      <c r="C16" s="191" t="s">
        <v>274</v>
      </c>
      <c r="D16" s="190">
        <v>40</v>
      </c>
    </row>
  </sheetData>
  <mergeCells count="3">
    <mergeCell ref="B2:D2"/>
    <mergeCell ref="B10:D10"/>
    <mergeCell ref="F2:H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3"/>
  <dimension ref="A1:AK33"/>
  <sheetViews>
    <sheetView topLeftCell="O1" zoomScale="80" zoomScaleNormal="80" zoomScaleSheetLayoutView="100" workbookViewId="0">
      <selection activeCell="AM39" sqref="AM39"/>
    </sheetView>
  </sheetViews>
  <sheetFormatPr baseColWidth="10" defaultRowHeight="18" customHeight="1" x14ac:dyDescent="0.2"/>
  <cols>
    <col min="1" max="1" width="19.85546875" style="146" customWidth="1"/>
    <col min="2" max="2" width="8.85546875" style="146" bestFit="1" customWidth="1"/>
    <col min="3" max="3" width="37" style="146" customWidth="1"/>
    <col min="4" max="4" width="17.42578125" style="146" customWidth="1"/>
    <col min="5" max="5" width="25" style="146" customWidth="1"/>
    <col min="6" max="6" width="26.7109375" style="149" customWidth="1"/>
    <col min="7" max="7" width="25" style="149" bestFit="1" customWidth="1"/>
    <col min="8" max="9" width="23.140625" style="149" customWidth="1"/>
    <col min="10" max="10" width="28.7109375" style="150" customWidth="1"/>
    <col min="11" max="11" width="28.28515625" style="150" customWidth="1"/>
    <col min="12" max="12" width="23" style="150" customWidth="1"/>
    <col min="13" max="13" width="20.85546875" style="150" customWidth="1"/>
    <col min="14" max="14" width="4.140625" style="151" bestFit="1" customWidth="1"/>
    <col min="15" max="15" width="8" style="151" bestFit="1" customWidth="1"/>
    <col min="16" max="16" width="8" style="151" hidden="1" customWidth="1"/>
    <col min="17" max="17" width="19.5703125" style="151" hidden="1" customWidth="1"/>
    <col min="18" max="18" width="21.7109375" style="151" bestFit="1" customWidth="1"/>
    <col min="19" max="19" width="24.85546875" style="151" customWidth="1"/>
    <col min="20" max="20" width="21.5703125" style="151" customWidth="1"/>
    <col min="21" max="21" width="27.85546875" style="151" customWidth="1"/>
    <col min="22" max="22" width="17.85546875" style="151" customWidth="1"/>
    <col min="23" max="24" width="14.7109375" style="151" customWidth="1"/>
    <col min="25" max="25" width="17.5703125" style="151" customWidth="1"/>
    <col min="26" max="26" width="21.7109375" style="151" customWidth="1"/>
    <col min="27" max="27" width="20.42578125" style="151" hidden="1" customWidth="1"/>
    <col min="28" max="29" width="14.7109375" style="151" customWidth="1"/>
    <col min="30" max="30" width="15.85546875" style="149" customWidth="1"/>
    <col min="31" max="31" width="15.5703125" style="146" hidden="1" customWidth="1"/>
    <col min="32" max="32" width="15.85546875" style="146" hidden="1" customWidth="1"/>
    <col min="33" max="33" width="14.5703125" style="152" customWidth="1"/>
    <col min="34" max="34" width="14.5703125" style="146" customWidth="1"/>
    <col min="35" max="35" width="14.5703125" style="152" customWidth="1"/>
    <col min="36" max="36" width="14.5703125" style="146" customWidth="1"/>
    <col min="37" max="37" width="17.42578125" style="146" customWidth="1"/>
    <col min="38" max="16384" width="11.42578125" style="146"/>
  </cols>
  <sheetData>
    <row r="1" spans="1:37" ht="18" customHeight="1" x14ac:dyDescent="0.2"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  <c r="S1" s="380"/>
      <c r="T1" s="380"/>
      <c r="U1" s="380"/>
      <c r="V1" s="380"/>
      <c r="W1" s="380"/>
      <c r="X1" s="380"/>
      <c r="Y1" s="380"/>
      <c r="Z1" s="380"/>
      <c r="AA1" s="380"/>
      <c r="AB1" s="380"/>
      <c r="AC1" s="380"/>
      <c r="AD1" s="380"/>
    </row>
    <row r="2" spans="1:37" s="147" customFormat="1" ht="23.25" x14ac:dyDescent="0.35">
      <c r="B2" s="383" t="s">
        <v>156</v>
      </c>
      <c r="C2" s="383"/>
      <c r="D2" s="383"/>
      <c r="E2" s="383"/>
      <c r="F2" s="383"/>
      <c r="G2" s="383"/>
      <c r="H2" s="383"/>
      <c r="I2" s="383"/>
      <c r="J2" s="383"/>
      <c r="K2" s="383"/>
      <c r="L2" s="383"/>
      <c r="M2" s="383"/>
      <c r="N2" s="383"/>
      <c r="O2" s="383"/>
      <c r="P2" s="383"/>
      <c r="Q2" s="383"/>
      <c r="R2" s="383"/>
      <c r="S2" s="383"/>
      <c r="T2" s="383"/>
      <c r="U2" s="383"/>
      <c r="V2" s="383"/>
      <c r="W2" s="383"/>
      <c r="X2" s="383"/>
      <c r="Y2" s="383"/>
      <c r="Z2" s="383"/>
      <c r="AA2" s="383"/>
      <c r="AB2" s="383"/>
      <c r="AC2" s="383"/>
      <c r="AD2" s="383"/>
      <c r="AE2" s="383"/>
      <c r="AF2" s="383"/>
      <c r="AG2" s="383"/>
      <c r="AH2" s="383"/>
      <c r="AI2" s="383"/>
      <c r="AJ2" s="383"/>
      <c r="AK2" s="383"/>
    </row>
    <row r="3" spans="1:37" s="147" customFormat="1" x14ac:dyDescent="0.25">
      <c r="B3" s="382" t="s">
        <v>279</v>
      </c>
      <c r="C3" s="382"/>
      <c r="D3" s="382"/>
      <c r="E3" s="382"/>
      <c r="F3" s="382"/>
      <c r="G3" s="382"/>
      <c r="H3" s="382"/>
      <c r="I3" s="382"/>
      <c r="J3" s="382"/>
      <c r="K3" s="382"/>
      <c r="L3" s="382"/>
      <c r="M3" s="382"/>
      <c r="N3" s="382"/>
      <c r="O3" s="382"/>
      <c r="P3" s="382"/>
      <c r="Q3" s="382"/>
      <c r="R3" s="382"/>
      <c r="S3" s="382"/>
      <c r="T3" s="382"/>
      <c r="U3" s="382"/>
      <c r="V3" s="382"/>
      <c r="W3" s="382"/>
      <c r="X3" s="382"/>
      <c r="Y3" s="382"/>
      <c r="Z3" s="382"/>
      <c r="AA3" s="382"/>
      <c r="AB3" s="382"/>
      <c r="AC3" s="382"/>
      <c r="AD3" s="382"/>
      <c r="AE3" s="382"/>
      <c r="AF3" s="382"/>
      <c r="AG3" s="382"/>
      <c r="AH3" s="382"/>
      <c r="AI3" s="382"/>
      <c r="AJ3" s="382"/>
      <c r="AK3" s="382"/>
    </row>
    <row r="4" spans="1:37" ht="18" customHeight="1" x14ac:dyDescent="0.25">
      <c r="B4" s="381" t="s">
        <v>634</v>
      </c>
      <c r="C4" s="381"/>
      <c r="D4" s="381"/>
      <c r="E4" s="381"/>
      <c r="F4" s="381"/>
      <c r="G4" s="381"/>
      <c r="H4" s="381"/>
      <c r="I4" s="381"/>
      <c r="J4" s="381"/>
      <c r="K4" s="381"/>
      <c r="L4" s="381"/>
      <c r="M4" s="381"/>
      <c r="N4" s="381"/>
      <c r="O4" s="381"/>
      <c r="P4" s="381"/>
      <c r="Q4" s="381"/>
      <c r="R4" s="381"/>
      <c r="S4" s="381"/>
      <c r="T4" s="381"/>
      <c r="U4" s="381"/>
      <c r="V4" s="381"/>
      <c r="W4" s="381"/>
      <c r="X4" s="381"/>
      <c r="Y4" s="381"/>
      <c r="Z4" s="381"/>
      <c r="AA4" s="381"/>
      <c r="AB4" s="381"/>
      <c r="AC4" s="381"/>
      <c r="AD4" s="381"/>
      <c r="AE4" s="381"/>
      <c r="AF4" s="381"/>
      <c r="AG4" s="381"/>
      <c r="AH4" s="381"/>
      <c r="AI4" s="381"/>
      <c r="AJ4" s="381"/>
      <c r="AK4" s="381"/>
    </row>
    <row r="5" spans="1:37" ht="18" customHeight="1" x14ac:dyDescent="0.2">
      <c r="B5" s="397" t="s">
        <v>633</v>
      </c>
      <c r="C5" s="397"/>
      <c r="D5" s="397"/>
      <c r="E5" s="397"/>
      <c r="F5" s="397"/>
      <c r="G5" s="397"/>
      <c r="H5" s="397"/>
      <c r="I5" s="397"/>
      <c r="J5" s="397"/>
      <c r="K5" s="397"/>
      <c r="L5" s="397"/>
      <c r="M5" s="397"/>
      <c r="N5" s="397"/>
      <c r="O5" s="397"/>
      <c r="P5" s="397"/>
      <c r="Q5" s="397"/>
      <c r="R5" s="397"/>
      <c r="S5" s="397"/>
      <c r="T5" s="397"/>
      <c r="U5" s="397"/>
      <c r="V5" s="397"/>
      <c r="W5" s="397"/>
      <c r="X5" s="397"/>
      <c r="Y5" s="397"/>
      <c r="Z5" s="397"/>
      <c r="AA5" s="397"/>
      <c r="AB5" s="397"/>
      <c r="AC5" s="397"/>
      <c r="AD5" s="397"/>
      <c r="AE5" s="397"/>
      <c r="AF5" s="397"/>
      <c r="AG5" s="397"/>
      <c r="AH5" s="397"/>
      <c r="AI5" s="397"/>
      <c r="AJ5" s="397"/>
      <c r="AK5" s="397"/>
    </row>
    <row r="6" spans="1:37" ht="18" customHeight="1" thickBot="1" x14ac:dyDescent="0.25">
      <c r="B6" s="161"/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61"/>
      <c r="N6" s="161"/>
      <c r="O6" s="161"/>
      <c r="P6" s="161"/>
      <c r="Q6" s="161"/>
      <c r="R6" s="161"/>
      <c r="S6" s="161"/>
      <c r="T6" s="161"/>
      <c r="U6" s="161"/>
      <c r="V6" s="161"/>
      <c r="W6" s="161"/>
      <c r="X6" s="161"/>
      <c r="Y6" s="161"/>
      <c r="Z6" s="161"/>
      <c r="AA6" s="161"/>
      <c r="AB6" s="161"/>
      <c r="AC6" s="161"/>
      <c r="AD6" s="161"/>
      <c r="AE6" s="161"/>
      <c r="AF6" s="161"/>
      <c r="AG6" s="161"/>
      <c r="AH6" s="161"/>
      <c r="AI6" s="161"/>
      <c r="AJ6" s="161"/>
      <c r="AK6" s="161"/>
    </row>
    <row r="7" spans="1:37" ht="44.25" customHeight="1" thickBot="1" x14ac:dyDescent="0.25">
      <c r="B7" s="392" t="s">
        <v>158</v>
      </c>
      <c r="C7" s="393"/>
      <c r="D7" s="394"/>
      <c r="E7" s="395" t="s">
        <v>168</v>
      </c>
      <c r="F7" s="396"/>
      <c r="G7" s="396"/>
      <c r="H7" s="396"/>
      <c r="I7" s="396"/>
      <c r="J7" s="396"/>
      <c r="K7" s="307"/>
      <c r="L7" s="307"/>
      <c r="M7" s="307"/>
      <c r="N7" s="307"/>
      <c r="O7" s="307"/>
      <c r="P7" s="307"/>
      <c r="Q7" s="307"/>
      <c r="R7" s="120"/>
      <c r="S7" s="363" t="s">
        <v>304</v>
      </c>
      <c r="T7" s="364"/>
      <c r="U7" s="363" t="s">
        <v>306</v>
      </c>
      <c r="V7" s="364"/>
      <c r="W7" s="363" t="s">
        <v>170</v>
      </c>
      <c r="X7" s="364"/>
      <c r="Y7" s="363" t="s">
        <v>157</v>
      </c>
      <c r="Z7" s="364"/>
      <c r="AA7" s="121"/>
      <c r="AB7" s="363" t="s">
        <v>247</v>
      </c>
      <c r="AC7" s="364"/>
      <c r="AD7" s="122" t="s">
        <v>249</v>
      </c>
      <c r="AE7" s="368" t="s">
        <v>178</v>
      </c>
      <c r="AF7" s="369"/>
      <c r="AG7" s="363" t="s">
        <v>251</v>
      </c>
      <c r="AH7" s="364"/>
      <c r="AI7" s="363" t="s">
        <v>253</v>
      </c>
      <c r="AJ7" s="364"/>
      <c r="AK7" s="122" t="s">
        <v>250</v>
      </c>
    </row>
    <row r="8" spans="1:37" ht="56.25" customHeight="1" x14ac:dyDescent="0.2">
      <c r="B8" s="370" t="s">
        <v>164</v>
      </c>
      <c r="C8" s="391" t="s">
        <v>163</v>
      </c>
      <c r="D8" s="378" t="s">
        <v>174</v>
      </c>
      <c r="E8" s="357" t="s">
        <v>166</v>
      </c>
      <c r="F8" s="359" t="s">
        <v>161</v>
      </c>
      <c r="G8" s="359" t="s">
        <v>165</v>
      </c>
      <c r="H8" s="353" t="s">
        <v>162</v>
      </c>
      <c r="I8" s="351" t="s">
        <v>302</v>
      </c>
      <c r="J8" s="351" t="s">
        <v>303</v>
      </c>
      <c r="K8" s="351" t="s">
        <v>311</v>
      </c>
      <c r="L8" s="123"/>
      <c r="M8" s="123"/>
      <c r="N8" s="388" t="s">
        <v>169</v>
      </c>
      <c r="O8" s="385" t="s">
        <v>308</v>
      </c>
      <c r="P8" s="372" t="s">
        <v>175</v>
      </c>
      <c r="Q8" s="376" t="s">
        <v>176</v>
      </c>
      <c r="R8" s="384" t="s">
        <v>173</v>
      </c>
      <c r="S8" s="365" t="s">
        <v>622</v>
      </c>
      <c r="T8" s="366"/>
      <c r="U8" s="365" t="s">
        <v>624</v>
      </c>
      <c r="V8" s="366"/>
      <c r="W8" s="365" t="s">
        <v>631</v>
      </c>
      <c r="X8" s="366"/>
      <c r="Y8" s="365" t="s">
        <v>309</v>
      </c>
      <c r="Z8" s="366"/>
      <c r="AA8" s="375" t="s">
        <v>177</v>
      </c>
      <c r="AB8" s="365" t="s">
        <v>310</v>
      </c>
      <c r="AC8" s="366"/>
      <c r="AD8" s="353" t="s">
        <v>186</v>
      </c>
      <c r="AE8" s="111" t="s">
        <v>179</v>
      </c>
      <c r="AF8" s="112">
        <v>535600</v>
      </c>
      <c r="AG8" s="365" t="s">
        <v>625</v>
      </c>
      <c r="AH8" s="366"/>
      <c r="AI8" s="365" t="s">
        <v>626</v>
      </c>
      <c r="AJ8" s="366"/>
      <c r="AK8" s="353" t="s">
        <v>186</v>
      </c>
    </row>
    <row r="9" spans="1:37" ht="54" customHeight="1" thickBot="1" x14ac:dyDescent="0.25">
      <c r="B9" s="371"/>
      <c r="C9" s="391"/>
      <c r="D9" s="379"/>
      <c r="E9" s="358"/>
      <c r="F9" s="354"/>
      <c r="G9" s="353"/>
      <c r="H9" s="354"/>
      <c r="I9" s="351"/>
      <c r="J9" s="351"/>
      <c r="K9" s="351"/>
      <c r="L9" s="123" t="s">
        <v>245</v>
      </c>
      <c r="M9" s="123" t="s">
        <v>246</v>
      </c>
      <c r="N9" s="389"/>
      <c r="O9" s="386"/>
      <c r="P9" s="373"/>
      <c r="Q9" s="376"/>
      <c r="R9" s="384"/>
      <c r="S9" s="72" t="s">
        <v>305</v>
      </c>
      <c r="T9" s="236" t="s">
        <v>623</v>
      </c>
      <c r="U9" s="72" t="s">
        <v>307</v>
      </c>
      <c r="V9" s="236" t="str">
        <f>"10%*PO"</f>
        <v>10%*PO</v>
      </c>
      <c r="W9" s="72" t="s">
        <v>167</v>
      </c>
      <c r="X9" s="71">
        <v>0.42</v>
      </c>
      <c r="Y9" s="72" t="s">
        <v>255</v>
      </c>
      <c r="Z9" s="71">
        <v>0.7</v>
      </c>
      <c r="AA9" s="376"/>
      <c r="AB9" s="72" t="s">
        <v>248</v>
      </c>
      <c r="AC9" s="71">
        <v>1</v>
      </c>
      <c r="AD9" s="353"/>
      <c r="AE9" s="113" t="s">
        <v>180</v>
      </c>
      <c r="AF9" s="114">
        <v>566700</v>
      </c>
      <c r="AG9" s="134" t="s">
        <v>252</v>
      </c>
      <c r="AH9" s="242">
        <v>0</v>
      </c>
      <c r="AI9" s="134" t="s">
        <v>254</v>
      </c>
      <c r="AJ9" s="242">
        <v>0</v>
      </c>
      <c r="AK9" s="353"/>
    </row>
    <row r="10" spans="1:37" ht="44.25" customHeight="1" thickBot="1" x14ac:dyDescent="0.25">
      <c r="B10" s="371"/>
      <c r="C10" s="391"/>
      <c r="D10" s="379"/>
      <c r="E10" s="358"/>
      <c r="F10" s="354"/>
      <c r="G10" s="353"/>
      <c r="H10" s="354"/>
      <c r="I10" s="351"/>
      <c r="J10" s="351"/>
      <c r="K10" s="351"/>
      <c r="L10" s="123"/>
      <c r="M10" s="123"/>
      <c r="N10" s="390"/>
      <c r="O10" s="387"/>
      <c r="P10" s="374"/>
      <c r="Q10" s="376"/>
      <c r="R10" s="384"/>
      <c r="S10" s="73" t="s">
        <v>160</v>
      </c>
      <c r="T10" s="74" t="s">
        <v>159</v>
      </c>
      <c r="U10" s="73" t="s">
        <v>160</v>
      </c>
      <c r="V10" s="74" t="s">
        <v>159</v>
      </c>
      <c r="W10" s="73" t="s">
        <v>160</v>
      </c>
      <c r="X10" s="74" t="s">
        <v>159</v>
      </c>
      <c r="Y10" s="73" t="s">
        <v>160</v>
      </c>
      <c r="Z10" s="74" t="s">
        <v>159</v>
      </c>
      <c r="AA10" s="377"/>
      <c r="AB10" s="73" t="s">
        <v>160</v>
      </c>
      <c r="AC10" s="74" t="s">
        <v>159</v>
      </c>
      <c r="AD10" s="367"/>
      <c r="AE10" s="115" t="s">
        <v>181</v>
      </c>
      <c r="AF10" s="116">
        <v>30000</v>
      </c>
      <c r="AG10" s="135" t="s">
        <v>160</v>
      </c>
      <c r="AH10" s="133" t="s">
        <v>159</v>
      </c>
      <c r="AI10" s="135" t="s">
        <v>160</v>
      </c>
      <c r="AJ10" s="133" t="s">
        <v>159</v>
      </c>
      <c r="AK10" s="367"/>
    </row>
    <row r="11" spans="1:37" ht="18" customHeight="1" thickBot="1" x14ac:dyDescent="0.25">
      <c r="B11" s="153"/>
      <c r="C11" s="154"/>
      <c r="D11" s="154"/>
      <c r="E11" s="154"/>
      <c r="F11" s="154"/>
      <c r="G11" s="154"/>
      <c r="H11" s="154"/>
      <c r="I11" s="154"/>
      <c r="J11" s="154"/>
      <c r="K11" s="154"/>
      <c r="L11" s="154"/>
      <c r="M11" s="154"/>
      <c r="N11" s="154"/>
      <c r="O11" s="182"/>
      <c r="P11" s="154"/>
      <c r="Q11" s="154"/>
      <c r="R11" s="154"/>
      <c r="S11" s="154"/>
      <c r="T11" s="154"/>
      <c r="U11" s="154"/>
      <c r="V11" s="154"/>
      <c r="W11" s="154"/>
      <c r="X11" s="154"/>
      <c r="Y11" s="154"/>
      <c r="Z11" s="154"/>
      <c r="AA11" s="154"/>
      <c r="AB11" s="154"/>
      <c r="AC11" s="154"/>
      <c r="AD11" s="155"/>
      <c r="AE11" s="156"/>
      <c r="AF11" s="157"/>
      <c r="AG11" s="158"/>
      <c r="AH11" s="159"/>
      <c r="AI11" s="158"/>
      <c r="AJ11" s="159"/>
      <c r="AK11" s="160"/>
    </row>
    <row r="12" spans="1:37" ht="36" customHeight="1" x14ac:dyDescent="0.25">
      <c r="B12" s="85">
        <v>1</v>
      </c>
      <c r="C12" s="86"/>
      <c r="D12" s="107">
        <f>IF(SUM(D13:D22)=0,"",SUM(D13:D22))</f>
        <v>1</v>
      </c>
      <c r="E12" s="87">
        <f>IF(ISERROR(($D13*E13)+($D14*E14)+($D15*E15)+($D16*E16)+($D17*E17)+($D18*E18)+($D19*E19)+($D20*E20)+($D21*E21)+($D22*E22)),"",($D13*E13)+($D14*E14)+($D15*E15)+($D16*E16)+($D17*E17)+($D18*E18)+($D19*E19)+($D20*E20)+($D21*E21)+($D22*E22))</f>
        <v>49500000</v>
      </c>
      <c r="F12" s="87">
        <f>IF(ISERROR(($D13*F13)+($D14*F14)+($D15*F15)+($D16*F16)+($D17*F17)+($D18*F18)+($D19*F19)+($D20*F20)+($D21*F21)+($D22*F22)),"",($D13*F13)+($D14*F14)+($D15*F15)+($D16*F16)+($D17*F17)+($D18*F18)+($D19*F19)+($D20*F20)+($D21*F21)+($D22*F22))</f>
        <v>76500000</v>
      </c>
      <c r="G12" s="87">
        <f>IF(ISERROR(($D13*G13)+($D14*G14)+($D15*G15)+($D16*G16)+($D17*G17)+($D18*G18)+($D19*G19)+($D20*G20)+($D21*G21)+($D22*G22)),"",($D13*G13)+($D14*G14)+($D15*G15)+($D16*G16)+($D17*G17)+($D18*G18)+($D19*G19)+($D20*G20)+($D21*G21)+($D22*G22))</f>
        <v>2000000</v>
      </c>
      <c r="H12" s="87">
        <f>IF(ISERROR(($D13*H13)+($D14*H14)+($D15*H15)+($D16*H16)+($D17*H17)+($D18*H18)+($D19*H19)+($D20*H20)+($D21*H21)+($D22*H22)),"",($D13*H13)+($D14*H14)+($D15*H15)+($D16*H16)+($D17*H17)+($D18*H18)+($D19*H19)+($D20*H20)+($D21*H21)+($D22*H22))</f>
        <v>2000000</v>
      </c>
      <c r="I12" s="87">
        <f>IF(ISERROR(SUM(I13:I22)),"",SUM(I13:I22))</f>
        <v>47500000</v>
      </c>
      <c r="J12" s="87">
        <f>IF(ISERROR(SUM(J13:J22)),"",SUM(J13:J22))</f>
        <v>74500000</v>
      </c>
      <c r="K12" s="87">
        <f>IF(ISERROR(($D13*K13)+($D14*K14)+($D15*K15)+($D16*K16)+($D17*K17)+($D18*K18)+($D19*K19)+($D20*K20)+($D21*K21)+($D22*K22)),"",($D13*K13)+($D14*K14)+($D15*K15)+($D16*K16)+($D17*K17)+($D18*K18)+($D19*K19)+($D20*K20)+($D21*K21)+($D22*K22))</f>
        <v>74500000</v>
      </c>
      <c r="L12" s="87">
        <f>IF(ISERROR(($D13*L13)+($D14*L14)+($D15*L15)+($D16*L16)+($D17*L17)+($D18*L18)+($D19*L19)+($D20*L20)+($D21*L21)+($D22*L22)),"",($D13*L13)+($D14*L14)+($D15*L15)+($D16*L16)+($D17*L17)+($D18*L18)+($D19*L19)+($D20*L20)+($D21*L21)+($D22*L22))</f>
        <v>25983944</v>
      </c>
      <c r="M12" s="87">
        <f>IF(ISERROR(($D13*M13)+($D14*M14)+($D15*M15)+($D16*M16)+($D17*M17)+($D18*M18)+($D19*M19)+($D20*M20)+($D21*M21)+($D22*M22)),"",($D13*M13)+($D14*M14)+($D15*M15)+($D16*M16)+($D17*M17)+($D18*M18)+($D19*M19)+($D20*M20)+($D21*M21)+($D22*M22))</f>
        <v>1000000</v>
      </c>
      <c r="N12" s="80">
        <f>POA!A2</f>
        <v>1</v>
      </c>
      <c r="O12" s="237">
        <f>IF(ISERROR(VLOOKUP(N12,POA!$A$2:$C$16,3,0)),"",VLOOKUP(N12,POA!$A$2:$C$16,3,0))</f>
        <v>5</v>
      </c>
      <c r="P12" s="110"/>
      <c r="Q12" s="80">
        <f>+SUM(Q13:Q22)</f>
        <v>0</v>
      </c>
      <c r="R12" s="81">
        <f>IF(ISERROR(VLOOKUP(N12,POA!$A$2:$C$16,2,0)),"",VLOOKUP(N12,POA!$A$2:$C$16,2,0))</f>
        <v>165305025</v>
      </c>
      <c r="S12" s="235">
        <f>SUM(I12)</f>
        <v>47500000</v>
      </c>
      <c r="T12" s="88" t="str">
        <f>IF(OR(S12=0,N12="",R12=""),"",IF(S12&gt;=(R12/O12),"HABIL","NO HABIL"))</f>
        <v>HABIL</v>
      </c>
      <c r="U12" s="87">
        <f>SUM(J12)</f>
        <v>74500000</v>
      </c>
      <c r="V12" s="88" t="str">
        <f>IF(OR(U12=0,N12="",R12=""),"",IF(U12&gt;=(10%*R12),"HABIL","NO HABIL"))</f>
        <v>HABIL</v>
      </c>
      <c r="W12" s="87">
        <f>IF(ISERROR(SUM(E12/G12)),0,SUM(E12/G12))</f>
        <v>24.75</v>
      </c>
      <c r="X12" s="88" t="str">
        <f>IF(OR(W12=0,N12="",R12=""),"",IF(W12&gt;=$X$9,"HABIL","NO HABIL"))</f>
        <v>HABIL</v>
      </c>
      <c r="Y12" s="241">
        <f>IF(ISERROR(SUM(H12/F12)),0,SUM(H12/F12))</f>
        <v>2.6143790849673203E-2</v>
      </c>
      <c r="Z12" s="88" t="str">
        <f>IF(OR(Y12=0,N12="",R12=""),"",IF(Y12&lt;=$Z$9,"HABIL","NO HABIL"))</f>
        <v>HABIL</v>
      </c>
      <c r="AA12" s="80">
        <f>+SUM(AA13:AA22)</f>
        <v>0</v>
      </c>
      <c r="AB12" s="241">
        <f>IF(ISERROR(SUM(L12/M12)),0,SUM(L12/M12))</f>
        <v>25.983944000000001</v>
      </c>
      <c r="AC12" s="88" t="str">
        <f>IF(OR(AB12=0,N12="",R12=""),"",IF(AB12&gt;=$AC$9,"HABIL","NO HABIL"))</f>
        <v>HABIL</v>
      </c>
      <c r="AD12" s="88" t="str">
        <f t="shared" ref="AD12:AD22" si="0">IF(OR(T12="",V12="",X12="",Z12="",AC12=""),"",IF(T12="NO HABIL","NO HABIL",IF(V12="NO HABIL","NO HABIL",IF(X12="NO HABIL","NO HABIL",IF(Z12="NO HABIL","NO HABIL",IF(AC12="NO HABIL","NO HABIL",IF(AC12="NO HABIL","NO HABIL","HABIL")))))))</f>
        <v>HABIL</v>
      </c>
      <c r="AE12" s="127"/>
      <c r="AF12" s="117"/>
      <c r="AG12" s="241">
        <f>IF(ISERROR(SUM(L12/K12)),0,SUM(L12/K12))</f>
        <v>0.34877777181208053</v>
      </c>
      <c r="AH12" s="88" t="str">
        <f>IF(OR(AG12=0,N12="",R12=""),"",IF(AG12&gt;=$AH$9,"HABIL","NO HABIL"))</f>
        <v>HABIL</v>
      </c>
      <c r="AI12" s="241">
        <f>IF(ISERROR(SUM(L12/F12)),0,SUM(L12/F12))</f>
        <v>0.33965939869281048</v>
      </c>
      <c r="AJ12" s="88" t="str">
        <f>IF(OR(AI12=0,N12="",R12=""),"",IF(AI12&gt;=$AJ$9,"HABIL","NO HABIL"))</f>
        <v>HABIL</v>
      </c>
      <c r="AK12" s="129" t="str">
        <f t="shared" ref="AK12:AK22" si="1">IF(OR(AH12="",AJ12=""),"",IF(AH12="NO HABIL","NO HABIL",IF(AJ12="NO HABIL","NO HABIL",IF(AJ12="NO HABIL","NO HABIL","HABIL"))))</f>
        <v>HABIL</v>
      </c>
    </row>
    <row r="13" spans="1:37" ht="33.75" thickBot="1" x14ac:dyDescent="0.3">
      <c r="A13" s="148"/>
      <c r="B13" s="93">
        <f t="shared" ref="B13:B18" si="2">IF(C13="","",B12+0.1)</f>
        <v>1.1000000000000001</v>
      </c>
      <c r="C13" s="319" t="s">
        <v>630</v>
      </c>
      <c r="D13" s="109">
        <v>1</v>
      </c>
      <c r="E13" s="78">
        <v>49500000</v>
      </c>
      <c r="F13" s="78">
        <v>76500000</v>
      </c>
      <c r="G13" s="78">
        <v>2000000</v>
      </c>
      <c r="H13" s="78">
        <v>2000000</v>
      </c>
      <c r="I13" s="78">
        <f t="shared" ref="I13:I14" si="3">IF(ISERROR(E13-G13),"",E13-G13)</f>
        <v>47500000</v>
      </c>
      <c r="J13" s="78">
        <f t="shared" ref="J13:J14" si="4">IF(ISERROR(F13-H13),"",F13-H13)</f>
        <v>74500000</v>
      </c>
      <c r="K13" s="78">
        <f t="shared" ref="K13:K14" si="5">IF(ISERROR(F13-H13),"",F13-H13)</f>
        <v>74500000</v>
      </c>
      <c r="L13" s="78">
        <v>25983944</v>
      </c>
      <c r="M13" s="78">
        <v>1000000</v>
      </c>
      <c r="N13" s="320"/>
      <c r="O13" s="321" t="str">
        <f>IF(ISERROR(VLOOKUP(N13,POA!$A$2:$C$16,3,0)),"",VLOOKUP(N13,POA!$A$2:$C$16,3,0))</f>
        <v/>
      </c>
      <c r="P13" s="89"/>
      <c r="Q13" s="89" t="str">
        <f>IF(ISERROR(VLOOKUP(P13,POA!$A$2:$F$16,4,0)),"",VLOOKUP(P13,POA!$A$2:$F$16,4,0))</f>
        <v/>
      </c>
      <c r="R13" s="82" t="str">
        <f>IF(ISERROR(VLOOKUP(N13,POA!$A$2:$C$16,2,0)),"",VLOOKUP(N13,POA!$A$2:$C$16,2,0))</f>
        <v/>
      </c>
      <c r="S13" s="91"/>
      <c r="T13" s="90" t="str">
        <f>IF(OR(S12=0,N13="",R13=""),"",IF(S12&gt;=(0.4*R13),"HABIL","NO HABIL"))</f>
        <v/>
      </c>
      <c r="U13" s="91"/>
      <c r="V13" s="90" t="str">
        <f>IF(OR(U12=0,N13="",R13=""),"",IF(U12&gt;=(0.5*R13),"HABIL","NO HABIL"))</f>
        <v/>
      </c>
      <c r="W13" s="91"/>
      <c r="X13" s="90" t="str">
        <f>IF(OR(W12=0,N13="",R13=""),"",IF(W12&gt;=$X$9,"HABIL","NO HABIL"))</f>
        <v/>
      </c>
      <c r="Y13" s="125"/>
      <c r="Z13" s="90" t="str">
        <f>IF(OR(Y12=0,N13="",R13=""),"",IF(Y12&lt;=$Z$9,"HABIL","NO HABIL"))</f>
        <v/>
      </c>
      <c r="AA13" s="89" t="s">
        <v>621</v>
      </c>
      <c r="AB13" s="89"/>
      <c r="AC13" s="90" t="str">
        <f>IF(OR(AB12=0,N13="",R13=""),"",IF(AB12&gt;=$AC$9,"HABIL","NO HABIL"))</f>
        <v/>
      </c>
      <c r="AD13" s="90" t="str">
        <f t="shared" si="0"/>
        <v/>
      </c>
      <c r="AE13" s="128">
        <f t="shared" ref="AE13:AE22" si="6">IF(ISERROR(F13/$AF$9),"",F13/$AF$9)</f>
        <v>134.99205929062995</v>
      </c>
      <c r="AF13" s="119" t="str">
        <f>+IF(AE13&lt;$AF$10,"MIPYME","NO CUMPLE")</f>
        <v>MIPYME</v>
      </c>
      <c r="AG13" s="137"/>
      <c r="AH13" s="90" t="str">
        <f>IF(OR(AG12=0,N13="",R13=""),"",IF(AG12&gt;=$AH$9,"HABIL","NO HABIL"))</f>
        <v/>
      </c>
      <c r="AI13" s="137"/>
      <c r="AJ13" s="90" t="str">
        <f>IF(OR(AI12=0,N13="",R13=""),"",IF(AI12&gt;=$AJ$9,"HABIL","NO HABIL"))</f>
        <v/>
      </c>
      <c r="AK13" s="322" t="str">
        <f>IF(OR(AH13="",AJ13=""),"",IF(AH13="NO HABIL","NO HABIL",IF(AJ13="NO HABIL","NO HABIL",IF(AJ13="NO HABIL","NO HABIL","HABIL"))))</f>
        <v/>
      </c>
    </row>
    <row r="14" spans="1:37" ht="16.5" hidden="1" x14ac:dyDescent="0.25">
      <c r="A14" s="148"/>
      <c r="B14" s="308" t="str">
        <f t="shared" si="2"/>
        <v/>
      </c>
      <c r="C14" s="309"/>
      <c r="D14" s="309"/>
      <c r="E14" s="310">
        <f>IF(ISERROR(VLOOKUP(C14,TD!$4:$65536,2,0)),0,VLOOKUP(C14,TD!$4:$65536,2,0))</f>
        <v>0</v>
      </c>
      <c r="F14" s="310">
        <f>IF(ISERROR(VLOOKUP(C14,TD!$4:$65536,3,0)),0,VLOOKUP(C14,TD!$4:$65536,3,0))</f>
        <v>0</v>
      </c>
      <c r="G14" s="310">
        <f>IF(ISERROR(VLOOKUP(C14,TD!$4:$65536,4,0)),0,VLOOKUP(C14,TD!$4:$65536,4,0))</f>
        <v>0</v>
      </c>
      <c r="H14" s="310">
        <f>IF(ISERROR(VLOOKUP(C14,TD!$4:$65536,5,0)),0,VLOOKUP(C14,TD!$4:$65536,5,0))</f>
        <v>0</v>
      </c>
      <c r="I14" s="310">
        <f t="shared" si="3"/>
        <v>0</v>
      </c>
      <c r="J14" s="310">
        <f t="shared" si="4"/>
        <v>0</v>
      </c>
      <c r="K14" s="310">
        <f t="shared" si="5"/>
        <v>0</v>
      </c>
      <c r="L14" s="310">
        <f>IF(ISERROR(VLOOKUP(C14,TD!$4:$65536,6,0)),0,VLOOKUP(C14,TD!$4:$65536,6,0))</f>
        <v>0</v>
      </c>
      <c r="M14" s="310">
        <f>IF(ISERROR(VLOOKUP(C14,TD!$4:$65536,7,0)),0,VLOOKUP(C14,TD!$4:$65536,7,0))</f>
        <v>0</v>
      </c>
      <c r="N14" s="185"/>
      <c r="O14" s="185" t="str">
        <f>IF(ISERROR(VLOOKUP(N14,POA!$A$2:$C$16,3,0)),"",VLOOKUP(N14,POA!$A$2:$C$16,3,0))</f>
        <v/>
      </c>
      <c r="P14" s="311"/>
      <c r="Q14" s="311" t="str">
        <f>IF(ISERROR(VLOOKUP(P14,POA!$A$2:$F$16,4,0)),"",VLOOKUP(P14,POA!$A$2:$F$16,4,0))</f>
        <v/>
      </c>
      <c r="R14" s="312" t="str">
        <f>IF(ISERROR(VLOOKUP(N14,POA!$A$2:$C$16,2,0)),"",VLOOKUP(N14,POA!$A$2:$C$16,2,0))</f>
        <v/>
      </c>
      <c r="S14" s="313"/>
      <c r="T14" s="314" t="str">
        <f>IF(OR(S12=0,N14="",R14=""),"",IF(S12&gt;=(0.4*R14),"HABIL","NO HABIL"))</f>
        <v/>
      </c>
      <c r="U14" s="313"/>
      <c r="V14" s="314" t="str">
        <f>IF(OR(U12=0,N14="",R14=""),"",IF(U12&gt;=(0.5*R14),"HABIL","NO HABIL"))</f>
        <v/>
      </c>
      <c r="W14" s="313"/>
      <c r="X14" s="314" t="str">
        <f>IF(OR(W12=0,N14="",R14=""),"",IF(W12&gt;=$X$9,"HABIL","NO HABIL"))</f>
        <v/>
      </c>
      <c r="Y14" s="315"/>
      <c r="Z14" s="314" t="str">
        <f>IF(OR(Y12=0,N14="",R14=""),"",IF(Y12&lt;=$Z$9,"HABIL","NO HABIL"))</f>
        <v/>
      </c>
      <c r="AA14" s="311" t="s">
        <v>621</v>
      </c>
      <c r="AB14" s="311"/>
      <c r="AC14" s="314" t="str">
        <f>IF(OR(AB12=0,N14="",R14=""),"",IF(AB12&gt;=$AC$9,"HABIL","NO HABIL"))</f>
        <v/>
      </c>
      <c r="AD14" s="314" t="str">
        <f t="shared" si="0"/>
        <v/>
      </c>
      <c r="AE14" s="316">
        <f t="shared" si="6"/>
        <v>0</v>
      </c>
      <c r="AF14" s="317" t="str">
        <f t="shared" ref="AF14:AF22" si="7">+IF(AE14&lt;$AF$10,"MIPYME","NO CUMPLE")</f>
        <v>MIPYME</v>
      </c>
      <c r="AG14" s="318"/>
      <c r="AH14" s="314" t="str">
        <f>IF(OR(AG12=0,N14="",R14=""),"",IF(AG12&gt;=$AH$9,"HABIL","NO HABIL"))</f>
        <v/>
      </c>
      <c r="AI14" s="318"/>
      <c r="AJ14" s="314" t="str">
        <f>IF(OR(AI12=0,N14="",R14=""),"",IF(AI12&gt;=$AJ$9,"HABIL","NO HABIL"))</f>
        <v/>
      </c>
      <c r="AK14" s="130" t="str">
        <f t="shared" si="1"/>
        <v/>
      </c>
    </row>
    <row r="15" spans="1:37" ht="16.5" hidden="1" x14ac:dyDescent="0.25">
      <c r="A15" s="148"/>
      <c r="B15" s="76" t="str">
        <f t="shared" si="2"/>
        <v/>
      </c>
      <c r="C15" s="108"/>
      <c r="D15" s="264"/>
      <c r="E15" s="75">
        <f>IF(ISERROR(VLOOKUP(C15,TD!$4:$65536,2,0)),0,VLOOKUP(C15,TD!$4:$65536,2,0))</f>
        <v>0</v>
      </c>
      <c r="F15" s="75">
        <f>IF(ISERROR(VLOOKUP(C15,TD!$4:$65536,3,0)),0,VLOOKUP(C15,TD!$4:$65536,3,0))</f>
        <v>0</v>
      </c>
      <c r="G15" s="75">
        <f>IF(ISERROR(VLOOKUP(C15,TD!$4:$65536,4,0)),0,VLOOKUP(C15,TD!$4:$65536,4,0))</f>
        <v>0</v>
      </c>
      <c r="H15" s="75">
        <f>IF(ISERROR(VLOOKUP(C15,TD!$4:$65536,5,0)),0,VLOOKUP(C15,TD!$4:$65536,5,0))</f>
        <v>0</v>
      </c>
      <c r="I15" s="234">
        <f t="shared" ref="I15:J22" si="8">IF(ISERROR(E15-G15),"",E15-G15)</f>
        <v>0</v>
      </c>
      <c r="J15" s="75">
        <f t="shared" si="8"/>
        <v>0</v>
      </c>
      <c r="K15" s="234">
        <f t="shared" ref="K15:K22" si="9">IF(ISERROR(F15-H15),"",F15-H15)</f>
        <v>0</v>
      </c>
      <c r="L15" s="234">
        <f>IF(ISERROR(VLOOKUP(C15,TD!$4:$65536,6,0)),0,VLOOKUP(C15,TD!$4:$65536,6,0))</f>
        <v>0</v>
      </c>
      <c r="M15" s="234">
        <f>IF(ISERROR(VLOOKUP(C15,TD!$4:$65536,7,0)),0,VLOOKUP(C15,TD!$4:$65536,7,0))</f>
        <v>0</v>
      </c>
      <c r="N15" s="183"/>
      <c r="O15" s="183" t="str">
        <f>IF(ISERROR(VLOOKUP(N15,POA!$A$2:$C$16,3,0)),"",VLOOKUP(N15,POA!$A$2:$C$16,3,0))</f>
        <v/>
      </c>
      <c r="P15" s="77"/>
      <c r="Q15" s="77" t="str">
        <f>IF(ISERROR(VLOOKUP(P15,POA!$A$2:$F$16,4,0)),"",VLOOKUP(P15,POA!$A$2:$F$16,4,0))</f>
        <v/>
      </c>
      <c r="R15" s="79" t="str">
        <f>IF(ISERROR(VLOOKUP(N15,POA!$A$2:$C$16,2,0)),"",VLOOKUP(N15,POA!$A$2:$C$16,2,0))</f>
        <v/>
      </c>
      <c r="S15" s="84"/>
      <c r="T15" s="83" t="str">
        <f>IF(OR(S12=0,N15="",R15=""),"",IF(S12&gt;=(0.4*R15),"HABIL","NO HABIL"))</f>
        <v/>
      </c>
      <c r="U15" s="84"/>
      <c r="V15" s="83" t="str">
        <f>IF(OR(U12=0,N15="",R15=""),"",IF(U12&gt;=(0.5*R15),"HABIL","NO HABIL"))</f>
        <v/>
      </c>
      <c r="W15" s="84"/>
      <c r="X15" s="83" t="str">
        <f>IF(OR(W12=0,N15="",R15=""),"",IF(W12&gt;=$X$9,"HABIL","NO HABIL"))</f>
        <v/>
      </c>
      <c r="Y15" s="124"/>
      <c r="Z15" s="83" t="str">
        <f>IF(OR(Y12=0,N15="",R15=""),"",IF(Y12&lt;=$Z$9,"HABIL","NO HABIL"))</f>
        <v/>
      </c>
      <c r="AA15" s="77">
        <v>0</v>
      </c>
      <c r="AB15" s="77"/>
      <c r="AC15" s="83" t="str">
        <f>IF(OR(AB12=0,N15="",R15=""),"",IF(AB12&gt;=$AC$9,"HABIL","NO HABIL"))</f>
        <v/>
      </c>
      <c r="AD15" s="83" t="str">
        <f t="shared" si="0"/>
        <v/>
      </c>
      <c r="AE15" s="126">
        <f t="shared" si="6"/>
        <v>0</v>
      </c>
      <c r="AF15" s="118" t="str">
        <f t="shared" si="7"/>
        <v>MIPYME</v>
      </c>
      <c r="AG15" s="136"/>
      <c r="AH15" s="83" t="str">
        <f>IF(OR(AG12=0,N15="",R15=""),"",IF(AG12&gt;=$AH$9,"HABIL","NO HABIL"))</f>
        <v/>
      </c>
      <c r="AI15" s="136"/>
      <c r="AJ15" s="83" t="str">
        <f>IF(OR(AI12=0,N15="",R15=""),"",IF(AI12&gt;=$AJ$9,"HABIL","NO HABIL"))</f>
        <v/>
      </c>
      <c r="AK15" s="132" t="str">
        <f t="shared" si="1"/>
        <v/>
      </c>
    </row>
    <row r="16" spans="1:37" ht="18" hidden="1" customHeight="1" x14ac:dyDescent="0.25">
      <c r="A16" s="148"/>
      <c r="B16" s="76" t="str">
        <f t="shared" si="2"/>
        <v/>
      </c>
      <c r="C16" s="108"/>
      <c r="D16" s="264"/>
      <c r="E16" s="75">
        <f>IF(ISERROR(VLOOKUP(C16,TD!$4:$65536,2,0)),0,VLOOKUP(C16,TD!$4:$65536,2,0))</f>
        <v>0</v>
      </c>
      <c r="F16" s="75">
        <f>IF(ISERROR(VLOOKUP(C16,TD!$4:$65536,3,0)),0,VLOOKUP(C16,TD!$4:$65536,3,0))</f>
        <v>0</v>
      </c>
      <c r="G16" s="75">
        <f>IF(ISERROR(VLOOKUP(C16,TD!$4:$65536,4,0)),0,VLOOKUP(C16,TD!$4:$65536,4,0))</f>
        <v>0</v>
      </c>
      <c r="H16" s="75">
        <f>IF(ISERROR(VLOOKUP(C16,TD!$4:$65536,5,0)),0,VLOOKUP(C16,TD!$4:$65536,5,0))</f>
        <v>0</v>
      </c>
      <c r="I16" s="234">
        <f t="shared" si="8"/>
        <v>0</v>
      </c>
      <c r="J16" s="75">
        <f t="shared" si="8"/>
        <v>0</v>
      </c>
      <c r="K16" s="234">
        <f t="shared" si="9"/>
        <v>0</v>
      </c>
      <c r="L16" s="234">
        <f>IF(ISERROR(VLOOKUP(C16,TD!$4:$65536,6,0)),0,VLOOKUP(C16,TD!$4:$65536,6,0))</f>
        <v>0</v>
      </c>
      <c r="M16" s="234">
        <f>IF(ISERROR(VLOOKUP(C16,TD!$4:$65536,7,0)),0,VLOOKUP(C16,TD!$4:$65536,7,0))</f>
        <v>0</v>
      </c>
      <c r="N16" s="183"/>
      <c r="O16" s="183" t="str">
        <f>IF(ISERROR(VLOOKUP(N16,POA!$A$2:$C$16,3,0)),"",VLOOKUP(N16,POA!$A$2:$C$16,3,0))</f>
        <v/>
      </c>
      <c r="P16" s="77"/>
      <c r="Q16" s="77" t="str">
        <f>IF(ISERROR(VLOOKUP(P16,POA!$A$2:$F$16,4,0)),"",VLOOKUP(P16,POA!$A$2:$F$16,4,0))</f>
        <v/>
      </c>
      <c r="R16" s="79" t="str">
        <f>IF(ISERROR(VLOOKUP(N16,POA!$A$2:$C$16,2,0)),"",VLOOKUP(N16,POA!$A$2:$C$16,2,0))</f>
        <v/>
      </c>
      <c r="S16" s="84"/>
      <c r="T16" s="83" t="str">
        <f>IF(OR(S12=0,N16="",R16=""),"",IF(S12&gt;=(0.4*R16),"HABIL","NO HABIL"))</f>
        <v/>
      </c>
      <c r="U16" s="84"/>
      <c r="V16" s="83" t="str">
        <f>IF(OR(U12=0,N16="",R16=""),"",IF(U12&gt;=(0.5*R16),"HABIL","NO HABIL"))</f>
        <v/>
      </c>
      <c r="W16" s="84"/>
      <c r="X16" s="83" t="str">
        <f>IF(OR(W12=0,N16="",R16=""),"",IF(W12&gt;=$X$9,"HABIL","NO HABIL"))</f>
        <v/>
      </c>
      <c r="Y16" s="124"/>
      <c r="Z16" s="83" t="str">
        <f>IF(OR(Y12=0,N16="",R16=""),"",IF(Y12&lt;=$Z$9,"HABIL","NO HABIL"))</f>
        <v/>
      </c>
      <c r="AA16" s="77">
        <v>0</v>
      </c>
      <c r="AB16" s="77"/>
      <c r="AC16" s="83" t="str">
        <f>IF(OR(AB12=0,N16="",R16=""),"",IF(AB12&gt;=$AC$9,"HABIL","NO HABIL"))</f>
        <v/>
      </c>
      <c r="AD16" s="83" t="str">
        <f t="shared" si="0"/>
        <v/>
      </c>
      <c r="AE16" s="126">
        <f t="shared" si="6"/>
        <v>0</v>
      </c>
      <c r="AF16" s="118" t="str">
        <f t="shared" si="7"/>
        <v>MIPYME</v>
      </c>
      <c r="AG16" s="136"/>
      <c r="AH16" s="83" t="str">
        <f>IF(OR(AG12=0,N16="",R16=""),"",IF(AG12&gt;=$AH$9,"HABIL","NO HABIL"))</f>
        <v/>
      </c>
      <c r="AI16" s="136"/>
      <c r="AJ16" s="83" t="str">
        <f>IF(OR(AI12=0,N16="",R16=""),"",IF(AI12&gt;=$AJ$9,"HABIL","NO HABIL"))</f>
        <v/>
      </c>
      <c r="AK16" s="132" t="str">
        <f t="shared" si="1"/>
        <v/>
      </c>
    </row>
    <row r="17" spans="2:37" ht="16.5" hidden="1" x14ac:dyDescent="0.25">
      <c r="B17" s="76" t="str">
        <f t="shared" si="2"/>
        <v/>
      </c>
      <c r="C17" s="108"/>
      <c r="D17" s="264"/>
      <c r="E17" s="75">
        <f>IF(ISERROR(VLOOKUP(C17,TD!$4:$65536,2,0)),0,VLOOKUP(C17,TD!$4:$65536,2,0))</f>
        <v>0</v>
      </c>
      <c r="F17" s="75">
        <f>IF(ISERROR(VLOOKUP(C17,TD!$4:$65536,3,0)),0,VLOOKUP(C17,TD!$4:$65536,3,0))</f>
        <v>0</v>
      </c>
      <c r="G17" s="75">
        <f>IF(ISERROR(VLOOKUP(C17,TD!$4:$65536,4,0)),0,VLOOKUP(C17,TD!$4:$65536,4,0))</f>
        <v>0</v>
      </c>
      <c r="H17" s="75">
        <f>IF(ISERROR(VLOOKUP(C17,TD!$4:$65536,5,0)),0,VLOOKUP(C17,TD!$4:$65536,5,0))</f>
        <v>0</v>
      </c>
      <c r="I17" s="234">
        <f t="shared" si="8"/>
        <v>0</v>
      </c>
      <c r="J17" s="75">
        <f t="shared" si="8"/>
        <v>0</v>
      </c>
      <c r="K17" s="234">
        <f t="shared" si="9"/>
        <v>0</v>
      </c>
      <c r="L17" s="234">
        <f>IF(ISERROR(VLOOKUP(C17,TD!$4:$65536,6,0)),0,VLOOKUP(C17,TD!$4:$65536,6,0))</f>
        <v>0</v>
      </c>
      <c r="M17" s="234">
        <f>IF(ISERROR(VLOOKUP(C17,TD!$4:$65536,7,0)),0,VLOOKUP(C17,TD!$4:$65536,7,0))</f>
        <v>0</v>
      </c>
      <c r="N17" s="183"/>
      <c r="O17" s="183" t="str">
        <f>IF(ISERROR(VLOOKUP(N17,POA!$A$2:$C$16,3,0)),"",VLOOKUP(N17,POA!$A$2:$C$16,3,0))</f>
        <v/>
      </c>
      <c r="P17" s="77"/>
      <c r="Q17" s="77" t="str">
        <f>IF(ISERROR(VLOOKUP(P17,POA!$A$2:$F$16,4,0)),"",VLOOKUP(P17,POA!$A$2:$F$16,4,0))</f>
        <v/>
      </c>
      <c r="R17" s="79" t="str">
        <f>IF(ISERROR(VLOOKUP(N17,POA!$A$2:$C$16,2,0)),"",VLOOKUP(N17,POA!$A$2:$C$16,2,0))</f>
        <v/>
      </c>
      <c r="S17" s="84"/>
      <c r="T17" s="83" t="str">
        <f>IF(OR(S12=0,N17="",R17=""),"",IF(S12&gt;=(0.4*R17),"HABIL","NO HABIL"))</f>
        <v/>
      </c>
      <c r="U17" s="84"/>
      <c r="V17" s="83" t="str">
        <f>IF(OR(U12=0,N17="",R17=""),"",IF(U12&gt;=(0.5*R17),"HABIL","NO HABIL"))</f>
        <v/>
      </c>
      <c r="W17" s="84"/>
      <c r="X17" s="83" t="str">
        <f>IF(OR(W12=0,N17="",R17=""),"",IF(W12&gt;=$X$9,"HABIL","NO HABIL"))</f>
        <v/>
      </c>
      <c r="Y17" s="124"/>
      <c r="Z17" s="83" t="str">
        <f>IF(OR(Y12=0,N17="",R17=""),"",IF(Y12&lt;=$Z$9,"HABIL","NO HABIL"))</f>
        <v/>
      </c>
      <c r="AA17" s="77">
        <v>0</v>
      </c>
      <c r="AB17" s="77"/>
      <c r="AC17" s="83" t="str">
        <f>IF(OR(AB12=0,N17="",R17=""),"",IF(AB12&gt;=$AC$9,"HABIL","NO HABIL"))</f>
        <v/>
      </c>
      <c r="AD17" s="83" t="str">
        <f t="shared" si="0"/>
        <v/>
      </c>
      <c r="AE17" s="126">
        <f t="shared" si="6"/>
        <v>0</v>
      </c>
      <c r="AF17" s="118" t="str">
        <f t="shared" si="7"/>
        <v>MIPYME</v>
      </c>
      <c r="AG17" s="136"/>
      <c r="AH17" s="83" t="str">
        <f>IF(OR(AG12=0,N17="",R17=""),"",IF(AG12&gt;=$AH$9,"HABIL","NO HABIL"))</f>
        <v/>
      </c>
      <c r="AI17" s="136"/>
      <c r="AJ17" s="83" t="str">
        <f>IF(OR(AI12=0,N17="",R17=""),"",IF(AI12&gt;=$AJ$9,"HABIL","NO HABIL"))</f>
        <v/>
      </c>
      <c r="AK17" s="130" t="str">
        <f t="shared" si="1"/>
        <v/>
      </c>
    </row>
    <row r="18" spans="2:37" ht="18" hidden="1" customHeight="1" x14ac:dyDescent="0.25">
      <c r="B18" s="76" t="str">
        <f t="shared" si="2"/>
        <v/>
      </c>
      <c r="C18" s="108"/>
      <c r="D18" s="264"/>
      <c r="E18" s="75">
        <f>IF(ISERROR(VLOOKUP(C18,TD!$4:$65536,2,0)),0,VLOOKUP(C18,TD!$4:$65536,2,0))</f>
        <v>0</v>
      </c>
      <c r="F18" s="75">
        <f>IF(ISERROR(VLOOKUP(C18,TD!$4:$65536,3,0)),0,VLOOKUP(C18,TD!$4:$65536,3,0))</f>
        <v>0</v>
      </c>
      <c r="G18" s="75">
        <f>IF(ISERROR(VLOOKUP(C18,TD!$4:$65536,4,0)),0,VLOOKUP(C18,TD!$4:$65536,4,0))</f>
        <v>0</v>
      </c>
      <c r="H18" s="75">
        <f>IF(ISERROR(VLOOKUP(C18,TD!$4:$65536,5,0)),0,VLOOKUP(C18,TD!$4:$65536,5,0))</f>
        <v>0</v>
      </c>
      <c r="I18" s="234">
        <f t="shared" si="8"/>
        <v>0</v>
      </c>
      <c r="J18" s="75">
        <f t="shared" si="8"/>
        <v>0</v>
      </c>
      <c r="K18" s="234">
        <f t="shared" si="9"/>
        <v>0</v>
      </c>
      <c r="L18" s="234">
        <f>IF(ISERROR(VLOOKUP(C18,TD!$4:$65536,6,0)),0,VLOOKUP(C18,TD!$4:$65536,6,0))</f>
        <v>0</v>
      </c>
      <c r="M18" s="234">
        <f>IF(ISERROR(VLOOKUP(C18,TD!$4:$65536,7,0)),0,VLOOKUP(C18,TD!$4:$65536,7,0))</f>
        <v>0</v>
      </c>
      <c r="N18" s="183"/>
      <c r="O18" s="183" t="str">
        <f>IF(ISERROR(VLOOKUP(N18,POA!$A$2:$C$16,3,0)),"",VLOOKUP(N18,POA!$A$2:$C$16,3,0))</f>
        <v/>
      </c>
      <c r="P18" s="77"/>
      <c r="Q18" s="77" t="str">
        <f>IF(ISERROR(VLOOKUP(P18,POA!$A$2:$F$16,4,0)),"",VLOOKUP(P18,POA!$A$2:$F$16,4,0))</f>
        <v/>
      </c>
      <c r="R18" s="79" t="str">
        <f>IF(ISERROR(VLOOKUP(N18,POA!$A$2:$C$16,2,0)),"",VLOOKUP(N18,POA!$A$2:$C$16,2,0))</f>
        <v/>
      </c>
      <c r="S18" s="84"/>
      <c r="T18" s="83" t="str">
        <f>IF(OR(S12=0,N18="",R18=""),"",IF(S12&gt;=(0.4*R18),"HABIL","NO HABIL"))</f>
        <v/>
      </c>
      <c r="U18" s="84"/>
      <c r="V18" s="83" t="str">
        <f>IF(OR(U12=0,N18="",R18=""),"",IF(U12&gt;=(0.5*R18),"HABIL","NO HABIL"))</f>
        <v/>
      </c>
      <c r="W18" s="84"/>
      <c r="X18" s="83" t="str">
        <f>IF(OR(W12=0,N18="",R18=""),"",IF(W12&gt;=$X$9,"HABIL","NO HABIL"))</f>
        <v/>
      </c>
      <c r="Y18" s="124"/>
      <c r="Z18" s="83" t="str">
        <f>IF(OR(Y12=0,N18="",R18=""),"",IF(Y12&lt;=$Z$9,"HABIL","NO HABIL"))</f>
        <v/>
      </c>
      <c r="AA18" s="77">
        <v>0</v>
      </c>
      <c r="AB18" s="77"/>
      <c r="AC18" s="83" t="str">
        <f>IF(OR(AB12=0,N18="",R18=""),"",IF(AB12&gt;=$AC$9,"HABIL","NO HABIL"))</f>
        <v/>
      </c>
      <c r="AD18" s="83" t="str">
        <f t="shared" si="0"/>
        <v/>
      </c>
      <c r="AE18" s="126">
        <f t="shared" si="6"/>
        <v>0</v>
      </c>
      <c r="AF18" s="118" t="str">
        <f t="shared" si="7"/>
        <v>MIPYME</v>
      </c>
      <c r="AG18" s="136"/>
      <c r="AH18" s="83" t="str">
        <f>IF(OR(AG12=0,N18="",R18=""),"",IF(AG12&gt;=$AH$9,"HABIL","NO HABIL"))</f>
        <v/>
      </c>
      <c r="AI18" s="136"/>
      <c r="AJ18" s="83" t="str">
        <f>IF(OR(AI12=0,N18="",R18=""),"",IF(AI12&gt;=$AJ$9,"HABIL","NO HABIL"))</f>
        <v/>
      </c>
      <c r="AK18" s="132" t="str">
        <f t="shared" si="1"/>
        <v/>
      </c>
    </row>
    <row r="19" spans="2:37" ht="18" hidden="1" customHeight="1" x14ac:dyDescent="0.25">
      <c r="B19" s="76" t="str">
        <f>IF(C19="","",B18+0.1)</f>
        <v/>
      </c>
      <c r="C19" s="108"/>
      <c r="D19" s="264"/>
      <c r="E19" s="75">
        <f>IF(ISERROR(VLOOKUP(C19,TD!$4:$65536,2,0)),0,VLOOKUP(C19,TD!$4:$65536,2,0))</f>
        <v>0</v>
      </c>
      <c r="F19" s="75">
        <f>IF(ISERROR(VLOOKUP(C19,TD!$4:$65536,3,0)),0,VLOOKUP(C19,TD!$4:$65536,3,0))</f>
        <v>0</v>
      </c>
      <c r="G19" s="75">
        <f>IF(ISERROR(VLOOKUP(C19,TD!$4:$65536,4,0)),0,VLOOKUP(C19,TD!$4:$65536,4,0))</f>
        <v>0</v>
      </c>
      <c r="H19" s="75">
        <f>IF(ISERROR(VLOOKUP(C19,TD!$4:$65536,5,0)),0,VLOOKUP(C19,TD!$4:$65536,5,0))</f>
        <v>0</v>
      </c>
      <c r="I19" s="234">
        <f t="shared" si="8"/>
        <v>0</v>
      </c>
      <c r="J19" s="75">
        <f t="shared" si="8"/>
        <v>0</v>
      </c>
      <c r="K19" s="234">
        <f t="shared" si="9"/>
        <v>0</v>
      </c>
      <c r="L19" s="234">
        <f>IF(ISERROR(VLOOKUP(C19,TD!$4:$65536,6,0)),0,VLOOKUP(C19,TD!$4:$65536,6,0))</f>
        <v>0</v>
      </c>
      <c r="M19" s="234">
        <f>IF(ISERROR(VLOOKUP(C19,TD!$4:$65536,7,0)),0,VLOOKUP(C19,TD!$4:$65536,7,0))</f>
        <v>0</v>
      </c>
      <c r="N19" s="183"/>
      <c r="O19" s="183" t="str">
        <f>IF(ISERROR(VLOOKUP(N19,POA!$A$2:$C$16,3,0)),"",VLOOKUP(N19,POA!$A$2:$C$16,3,0))</f>
        <v/>
      </c>
      <c r="P19" s="77"/>
      <c r="Q19" s="77" t="str">
        <f>IF(ISERROR(VLOOKUP(P19,POA!$A$2:$F$16,4,0)),"",VLOOKUP(P19,POA!$A$2:$F$16,4,0))</f>
        <v/>
      </c>
      <c r="R19" s="79" t="str">
        <f>IF(ISERROR(VLOOKUP(N19,POA!$A$2:$C$16,2,0)),"",VLOOKUP(N19,POA!$A$2:$C$16,2,0))</f>
        <v/>
      </c>
      <c r="S19" s="84"/>
      <c r="T19" s="83" t="str">
        <f>IF(OR(S12=0,N19="",R19=""),"",IF(S12&gt;=(0.4*R19),"HABIL","NO HABIL"))</f>
        <v/>
      </c>
      <c r="U19" s="84"/>
      <c r="V19" s="83" t="str">
        <f>IF(OR(U12=0,N19="",R19=""),"",IF(U12&gt;=(0.5*R19),"HABIL","NO HABIL"))</f>
        <v/>
      </c>
      <c r="W19" s="84"/>
      <c r="X19" s="83" t="str">
        <f>IF(OR(W12=0,N19="",R19=""),"",IF(W12&gt;=$X$9,"HABIL","NO HABIL"))</f>
        <v/>
      </c>
      <c r="Y19" s="124"/>
      <c r="Z19" s="83" t="str">
        <f>IF(OR(Y12=0,N19="",R19=""),"",IF(Y12&lt;=$Z$9,"HABIL","NO HABIL"))</f>
        <v/>
      </c>
      <c r="AA19" s="77">
        <v>0</v>
      </c>
      <c r="AB19" s="77"/>
      <c r="AC19" s="83" t="str">
        <f>IF(OR(AB12=0,N19="",R19=""),"",IF(AB12&gt;=$AC$9,"HABIL","NO HABIL"))</f>
        <v/>
      </c>
      <c r="AD19" s="83" t="str">
        <f t="shared" si="0"/>
        <v/>
      </c>
      <c r="AE19" s="126">
        <f t="shared" si="6"/>
        <v>0</v>
      </c>
      <c r="AF19" s="118" t="str">
        <f t="shared" si="7"/>
        <v>MIPYME</v>
      </c>
      <c r="AG19" s="136"/>
      <c r="AH19" s="83" t="str">
        <f>IF(OR(AG12=0,N19="",R19=""),"",IF(AG12&gt;=$AH$9,"HABIL","NO HABIL"))</f>
        <v/>
      </c>
      <c r="AI19" s="136"/>
      <c r="AJ19" s="83" t="str">
        <f>IF(OR(AI12=0,N19="",R19=""),"",IF(AI12&gt;=$AJ$9,"HABIL","NO HABIL"))</f>
        <v/>
      </c>
      <c r="AK19" s="132" t="str">
        <f t="shared" si="1"/>
        <v/>
      </c>
    </row>
    <row r="20" spans="2:37" ht="18" hidden="1" customHeight="1" x14ac:dyDescent="0.25">
      <c r="B20" s="76" t="str">
        <f>IF(C20="","",B19+0.1)</f>
        <v/>
      </c>
      <c r="C20" s="108"/>
      <c r="D20" s="264"/>
      <c r="E20" s="75">
        <f>IF(ISERROR(VLOOKUP(C20,TD!$4:$65536,2,0)),0,VLOOKUP(C20,TD!$4:$65536,2,0))</f>
        <v>0</v>
      </c>
      <c r="F20" s="75">
        <f>IF(ISERROR(VLOOKUP(C20,TD!$4:$65536,3,0)),0,VLOOKUP(C20,TD!$4:$65536,3,0))</f>
        <v>0</v>
      </c>
      <c r="G20" s="75">
        <f>IF(ISERROR(VLOOKUP(C20,TD!$4:$65536,4,0)),0,VLOOKUP(C20,TD!$4:$65536,4,0))</f>
        <v>0</v>
      </c>
      <c r="H20" s="75">
        <f>IF(ISERROR(VLOOKUP(C20,TD!$4:$65536,5,0)),0,VLOOKUP(C20,TD!$4:$65536,5,0))</f>
        <v>0</v>
      </c>
      <c r="I20" s="234">
        <f t="shared" si="8"/>
        <v>0</v>
      </c>
      <c r="J20" s="75">
        <f t="shared" si="8"/>
        <v>0</v>
      </c>
      <c r="K20" s="234">
        <f t="shared" si="9"/>
        <v>0</v>
      </c>
      <c r="L20" s="234">
        <f>IF(ISERROR(VLOOKUP(C20,TD!$4:$65536,6,0)),0,VLOOKUP(C20,TD!$4:$65536,6,0))</f>
        <v>0</v>
      </c>
      <c r="M20" s="234">
        <f>IF(ISERROR(VLOOKUP(C20,TD!$4:$65536,7,0)),0,VLOOKUP(C20,TD!$4:$65536,7,0))</f>
        <v>0</v>
      </c>
      <c r="N20" s="183"/>
      <c r="O20" s="183" t="str">
        <f>IF(ISERROR(VLOOKUP(N20,POA!$A$2:$C$16,3,0)),"",VLOOKUP(N20,POA!$A$2:$C$16,3,0))</f>
        <v/>
      </c>
      <c r="P20" s="77"/>
      <c r="Q20" s="77" t="str">
        <f>IF(ISERROR(VLOOKUP(P20,POA!$A$2:$F$16,4,0)),"",VLOOKUP(P20,POA!$A$2:$F$16,4,0))</f>
        <v/>
      </c>
      <c r="R20" s="79" t="str">
        <f>IF(ISERROR(VLOOKUP(N20,POA!$A$2:$C$16,2,0)),"",VLOOKUP(N20,POA!$A$2:$C$16,2,0))</f>
        <v/>
      </c>
      <c r="S20" s="84"/>
      <c r="T20" s="83" t="str">
        <f>IF(OR(S12=0,N20="",R20=""),"",IF(S12&gt;=(0.4*R20),"HABIL","NO HABIL"))</f>
        <v/>
      </c>
      <c r="U20" s="84"/>
      <c r="V20" s="83" t="str">
        <f>IF(OR(U12=0,N20="",R20=""),"",IF(U12&gt;=(0.5*R20),"HABIL","NO HABIL"))</f>
        <v/>
      </c>
      <c r="W20" s="84"/>
      <c r="X20" s="83" t="str">
        <f>IF(OR(W12=0,N20="",R20=""),"",IF(W12&gt;=$X$9,"HABIL","NO HABIL"))</f>
        <v/>
      </c>
      <c r="Y20" s="124"/>
      <c r="Z20" s="83" t="str">
        <f>IF(OR(Y12=0,N20="",R20=""),"",IF(Y12&lt;=$Z$9,"HABIL","NO HABIL"))</f>
        <v/>
      </c>
      <c r="AA20" s="77">
        <v>0</v>
      </c>
      <c r="AB20" s="77"/>
      <c r="AC20" s="83" t="str">
        <f>IF(OR(AB12=0,N20="",R20=""),"",IF(AB12&gt;=$AC$9,"HABIL","NO HABIL"))</f>
        <v/>
      </c>
      <c r="AD20" s="83" t="str">
        <f t="shared" si="0"/>
        <v/>
      </c>
      <c r="AE20" s="126">
        <f t="shared" si="6"/>
        <v>0</v>
      </c>
      <c r="AF20" s="118" t="str">
        <f t="shared" si="7"/>
        <v>MIPYME</v>
      </c>
      <c r="AG20" s="136"/>
      <c r="AH20" s="83" t="str">
        <f>IF(OR(AG12=0,N20="",R20=""),"",IF(AG12&gt;=$AH$9,"HABIL","NO HABIL"))</f>
        <v/>
      </c>
      <c r="AI20" s="136"/>
      <c r="AJ20" s="83" t="str">
        <f>IF(OR(AI12=0,N20="",R20=""),"",IF(AI12&gt;=$AJ$9,"HABIL","NO HABIL"))</f>
        <v/>
      </c>
      <c r="AK20" s="130" t="str">
        <f t="shared" si="1"/>
        <v/>
      </c>
    </row>
    <row r="21" spans="2:37" ht="18" hidden="1" customHeight="1" x14ac:dyDescent="0.25">
      <c r="B21" s="76" t="str">
        <f>IF(C21="","",B20+0.1)</f>
        <v/>
      </c>
      <c r="C21" s="108"/>
      <c r="D21" s="264"/>
      <c r="E21" s="75">
        <f>IF(ISERROR(VLOOKUP(C21,TD!$4:$65536,2,0)),0,VLOOKUP(C21,TD!$4:$65536,2,0))</f>
        <v>0</v>
      </c>
      <c r="F21" s="75">
        <f>IF(ISERROR(VLOOKUP(C21,TD!$4:$65536,3,0)),0,VLOOKUP(C21,TD!$4:$65536,3,0))</f>
        <v>0</v>
      </c>
      <c r="G21" s="75">
        <f>IF(ISERROR(VLOOKUP(C21,TD!$4:$65536,4,0)),0,VLOOKUP(C21,TD!$4:$65536,4,0))</f>
        <v>0</v>
      </c>
      <c r="H21" s="75">
        <f>IF(ISERROR(VLOOKUP(C21,TD!$4:$65536,5,0)),0,VLOOKUP(C21,TD!$4:$65536,5,0))</f>
        <v>0</v>
      </c>
      <c r="I21" s="234">
        <f t="shared" si="8"/>
        <v>0</v>
      </c>
      <c r="J21" s="75">
        <f t="shared" si="8"/>
        <v>0</v>
      </c>
      <c r="K21" s="234">
        <f t="shared" si="9"/>
        <v>0</v>
      </c>
      <c r="L21" s="234">
        <f>IF(ISERROR(VLOOKUP(C21,TD!$4:$65536,6,0)),0,VLOOKUP(C21,TD!$4:$65536,6,0))</f>
        <v>0</v>
      </c>
      <c r="M21" s="234">
        <f>IF(ISERROR(VLOOKUP(C21,TD!$4:$65536,7,0)),0,VLOOKUP(C21,TD!$4:$65536,7,0))</f>
        <v>0</v>
      </c>
      <c r="N21" s="183"/>
      <c r="O21" s="183" t="str">
        <f>IF(ISERROR(VLOOKUP(N21,POA!$A$2:$C$16,3,0)),"",VLOOKUP(N21,POA!$A$2:$C$16,3,0))</f>
        <v/>
      </c>
      <c r="P21" s="77"/>
      <c r="Q21" s="77" t="str">
        <f>IF(ISERROR(VLOOKUP(P21,POA!$A$2:$F$16,4,0)),"",VLOOKUP(P21,POA!$A$2:$F$16,4,0))</f>
        <v/>
      </c>
      <c r="R21" s="79" t="str">
        <f>IF(ISERROR(VLOOKUP(N21,POA!$A$2:$C$16,2,0)),"",VLOOKUP(N21,POA!$A$2:$C$16,2,0))</f>
        <v/>
      </c>
      <c r="S21" s="84"/>
      <c r="T21" s="83" t="str">
        <f>IF(OR(S12=0,N21="",R21=""),"",IF(S12&gt;=(0.4*R21),"HABIL","NO HABIL"))</f>
        <v/>
      </c>
      <c r="U21" s="84"/>
      <c r="V21" s="83" t="str">
        <f>IF(OR(U12=0,N21="",R21=""),"",IF(U12&gt;=(0.5*R21),"HABIL","NO HABIL"))</f>
        <v/>
      </c>
      <c r="W21" s="84"/>
      <c r="X21" s="83" t="str">
        <f>IF(OR(W12=0,N21="",R21=""),"",IF(W12&gt;=$X$9,"HABIL","NO HABIL"))</f>
        <v/>
      </c>
      <c r="Y21" s="124"/>
      <c r="Z21" s="83" t="str">
        <f>IF(OR(Y12=0,N21="",R21=""),"",IF(Y12&lt;=$Z$9,"HABIL","NO HABIL"))</f>
        <v/>
      </c>
      <c r="AA21" s="77">
        <v>0</v>
      </c>
      <c r="AB21" s="77"/>
      <c r="AC21" s="83" t="str">
        <f>IF(OR(AB12=0,N21="",R21=""),"",IF(AB12&gt;=$AC$9,"HABIL","NO HABIL"))</f>
        <v/>
      </c>
      <c r="AD21" s="83" t="str">
        <f t="shared" si="0"/>
        <v/>
      </c>
      <c r="AE21" s="126">
        <f t="shared" si="6"/>
        <v>0</v>
      </c>
      <c r="AF21" s="118" t="str">
        <f t="shared" si="7"/>
        <v>MIPYME</v>
      </c>
      <c r="AG21" s="136"/>
      <c r="AH21" s="83" t="str">
        <f>IF(OR(AG12=0,N21="",R21=""),"",IF(AG12&gt;=$AH$9,"HABIL","NO HABIL"))</f>
        <v/>
      </c>
      <c r="AI21" s="136"/>
      <c r="AJ21" s="83" t="str">
        <f>IF(OR(AI12=0,N21="",R21=""),"",IF(AI12&gt;=$AJ$9,"HABIL","NO HABIL"))</f>
        <v/>
      </c>
      <c r="AK21" s="130" t="str">
        <f t="shared" si="1"/>
        <v/>
      </c>
    </row>
    <row r="22" spans="2:37" ht="8.25" hidden="1" customHeight="1" thickBot="1" x14ac:dyDescent="0.3">
      <c r="B22" s="93" t="str">
        <f>IF(C22="","",B21+0.1)</f>
        <v/>
      </c>
      <c r="C22" s="109"/>
      <c r="D22" s="109"/>
      <c r="E22" s="78">
        <f>IF(ISERROR(VLOOKUP(C22,TD!$4:$65536,2,0)),0,VLOOKUP(C22,TD!$4:$65536,2,0))</f>
        <v>0</v>
      </c>
      <c r="F22" s="78">
        <f>IF(ISERROR(VLOOKUP(C22,TD!$4:$65536,3,0)),0,VLOOKUP(C22,TD!$4:$65536,3,0))</f>
        <v>0</v>
      </c>
      <c r="G22" s="78">
        <f>IF(ISERROR(VLOOKUP(C22,TD!$4:$65536,4,0)),0,VLOOKUP(C22,TD!$4:$65536,4,0))</f>
        <v>0</v>
      </c>
      <c r="H22" s="78">
        <f>IF(ISERROR(VLOOKUP(C22,TD!$4:$65536,5,0)),0,VLOOKUP(C22,TD!$4:$65536,5,0))</f>
        <v>0</v>
      </c>
      <c r="I22" s="78">
        <f t="shared" si="8"/>
        <v>0</v>
      </c>
      <c r="J22" s="78">
        <f t="shared" si="8"/>
        <v>0</v>
      </c>
      <c r="K22" s="78">
        <f t="shared" si="9"/>
        <v>0</v>
      </c>
      <c r="L22" s="78">
        <f>IF(ISERROR(VLOOKUP(C22,TD!$4:$65536,6,0)),0,VLOOKUP(C22,TD!$4:$65536,6,0))</f>
        <v>0</v>
      </c>
      <c r="M22" s="78">
        <f>IF(ISERROR(VLOOKUP(C22,TD!$4:$65536,7,0)),0,VLOOKUP(C22,TD!$4:$65536,7,0))</f>
        <v>0</v>
      </c>
      <c r="N22" s="184"/>
      <c r="O22" s="184" t="str">
        <f>IF(ISERROR(VLOOKUP(N22,POA!$A$2:$C$16,3,0)),"",VLOOKUP(N22,POA!$A$2:$C$16,3,0))</f>
        <v/>
      </c>
      <c r="P22" s="89"/>
      <c r="Q22" s="89" t="str">
        <f>IF(ISERROR(VLOOKUP(P22,POA!$A$2:$F$16,4,0)),"",VLOOKUP(P22,POA!$A$2:$F$16,4,0))</f>
        <v/>
      </c>
      <c r="R22" s="82" t="str">
        <f>IF(ISERROR(VLOOKUP(N22,POA!$A$2:$C$16,2,0)),"",VLOOKUP(N22,POA!$A$2:$C$16,2,0))</f>
        <v/>
      </c>
      <c r="S22" s="91"/>
      <c r="T22" s="90" t="str">
        <f>IF(OR(S12=0,N22="",R22=""),"",IF(S12&gt;=(0.4*R22),"HABIL","NO HABIL"))</f>
        <v/>
      </c>
      <c r="U22" s="91"/>
      <c r="V22" s="90" t="str">
        <f>IF(OR(U12=0,N22="",R22=""),"",IF(U12&gt;=(0.5*R22),"HABIL","NO HABIL"))</f>
        <v/>
      </c>
      <c r="W22" s="91"/>
      <c r="X22" s="90" t="str">
        <f>IF(OR(W12=0,N22="",R22=""),"",IF(W12&gt;=$X$9,"HABIL","NO HABIL"))</f>
        <v/>
      </c>
      <c r="Y22" s="125"/>
      <c r="Z22" s="90" t="str">
        <f>IF(OR(Y12=0,N22="",R22=""),"",IF(Y12&lt;=$Z$9,"HABIL","NO HABIL"))</f>
        <v/>
      </c>
      <c r="AA22" s="89">
        <v>0</v>
      </c>
      <c r="AB22" s="89"/>
      <c r="AC22" s="90" t="str">
        <f>IF(OR(AB12=0,N22="",R22=""),"",IF(AB12&gt;=$AC$9,"HABIL","NO HABIL"))</f>
        <v/>
      </c>
      <c r="AD22" s="90" t="str">
        <f t="shared" si="0"/>
        <v/>
      </c>
      <c r="AE22" s="128">
        <f t="shared" si="6"/>
        <v>0</v>
      </c>
      <c r="AF22" s="119" t="str">
        <f t="shared" si="7"/>
        <v>MIPYME</v>
      </c>
      <c r="AG22" s="137"/>
      <c r="AH22" s="90" t="str">
        <f>IF(OR(AG12=0,N22="",R22=""),"",IF(AG12&gt;=$AH$9,"HABIL","NO HABIL"))</f>
        <v/>
      </c>
      <c r="AI22" s="137"/>
      <c r="AJ22" s="90" t="str">
        <f>IF(OR(AI12=0,N22="",R22=""),"",IF(AI12&gt;=$AJ$9,"HABIL","NO HABIL"))</f>
        <v/>
      </c>
      <c r="AK22" s="131" t="str">
        <f t="shared" si="1"/>
        <v/>
      </c>
    </row>
    <row r="23" spans="2:37" ht="18" customHeight="1" x14ac:dyDescent="0.25">
      <c r="B23" s="85">
        <v>2</v>
      </c>
      <c r="C23" s="86"/>
      <c r="D23" s="107">
        <f>IF(SUM(D24:D33)=0,"",SUM(D24:D33))</f>
        <v>1</v>
      </c>
      <c r="E23" s="87">
        <f>IF(ISERROR(($D24*E24)+($D25*E25)+($D26*E26)+($D27*E27)+($D28*E28)+($D29*E29)+($D30*E30)+($D31*E31)+($D32*E32)+($D33*E33)),"",($D24*E24)+($D25*E25)+($D26*E26)+($D27*E27)+($D28*E28)+($D29*E29)+($D30*E30)+($D31*E31)+($D32*E32)+($D33*E33))</f>
        <v>70000000</v>
      </c>
      <c r="F23" s="87">
        <f>IF(ISERROR(($D24*F24)+($D25*F25)+($D26*F26)+($D27*F27)+($D28*F28)+($D29*F29)+($D30*F30)+($D31*F31)+($D32*F32)+($D33*F33)),"",($D24*F24)+($D25*F25)+($D26*F26)+($D27*F27)+($D28*F28)+($D29*F29)+($D30*F30)+($D31*F31)+($D32*F32)+($D33*F33))</f>
        <v>82000000</v>
      </c>
      <c r="G23" s="87">
        <f>IF(ISERROR(($D24*G24)+($D25*G25)+($D26*G26)+($D27*G27)+($D28*G28)+($D29*G29)+($D30*G30)+($D31*G31)+($D32*G32)+($D33*G33)),"",($D24*G24)+($D25*G25)+($D26*G26)+($D27*G27)+($D28*G28)+($D29*G29)+($D30*G30)+($D31*G31)+($D32*G32)+($D33*G33))</f>
        <v>1000000</v>
      </c>
      <c r="H23" s="87">
        <f>IF(ISERROR(($D24*H24)+($D25*H25)+($D26*H26)+($D27*H27)+($D28*H28)+($D29*H29)+($D30*H30)+($D31*H31)+($D32*H32)+($D33*H33)),"",($D24*H24)+($D25*H25)+($D26*H26)+($D27*H27)+($D28*H28)+($D29*H29)+($D30*H30)+($D31*H31)+($D32*H32)+($D33*H33))</f>
        <v>1000000</v>
      </c>
      <c r="I23" s="87">
        <f>IF(ISERROR(SUM(I24:I33)),"",SUM(I24:I33))</f>
        <v>69000000</v>
      </c>
      <c r="J23" s="87">
        <f>IF(ISERROR(SUM(J24:J33)),"",SUM(J24:J33))</f>
        <v>81000000</v>
      </c>
      <c r="K23" s="87">
        <f>IF(ISERROR(($D24*K24)+($D25*K25)+($D26*K26)+($D27*K27)+($D28*K28)+($D29*K29)+($D30*K30)+($D31*K31)+($D32*K32)+($D33*K33)),"",($D24*K24)+($D25*K25)+($D26*K26)+($D27*K27)+($D28*K28)+($D29*K29)+($D30*K30)+($D31*K31)+($D32*K32)+($D33*K33))</f>
        <v>81000000</v>
      </c>
      <c r="L23" s="87">
        <f>IF(ISERROR(($D24*L24)+($D25*L25)+($D26*L26)+($D27*L27)+($D28*L28)+($D29*L29)+($D30*L30)+($D31*L31)+($D32*L32)+($D33*L33)),"",($D24*L24)+($D25*L25)+($D26*L26)+($D27*L27)+($D28*L28)+($D29*L29)+($D30*L30)+($D31*L31)+($D32*L32)+($D33*L33))</f>
        <v>27048000</v>
      </c>
      <c r="M23" s="87">
        <f>IF(ISERROR(($D24*M24)+($D25*M25)+($D26*M26)+($D27*M27)+($D28*M28)+($D29*M29)+($D30*M30)+($D31*M31)+($D32*M32)+($D33*M33)),"",($D24*M24)+($D25*M25)+($D26*M26)+($D27*M27)+($D28*M28)+($D29*M29)+($D30*M30)+($D31*M31)+($D32*M32)+($D33*M33))</f>
        <v>1000000</v>
      </c>
      <c r="N23" s="80">
        <f>POA!A2</f>
        <v>1</v>
      </c>
      <c r="O23" s="237">
        <f>IF(ISERROR(VLOOKUP(N23,POA!$A$2:$C$16,3,0)),"",VLOOKUP(N23,POA!$A$2:$C$16,3,0))</f>
        <v>5</v>
      </c>
      <c r="P23" s="110"/>
      <c r="Q23" s="80">
        <f>+SUM(Q24:Q33)</f>
        <v>0</v>
      </c>
      <c r="R23" s="81">
        <f>IF(ISERROR(VLOOKUP(N23,POA!$A$2:$C$16,2,0)),"",VLOOKUP(N23,POA!$A$2:$C$16,2,0))</f>
        <v>165305025</v>
      </c>
      <c r="S23" s="235">
        <f>SUM(I23)</f>
        <v>69000000</v>
      </c>
      <c r="T23" s="88" t="str">
        <f>IF(OR(S23=0,N23="",R23=""),"",IF(S23&gt;=(R23/O23),"HABIL","NO HABIL"))</f>
        <v>HABIL</v>
      </c>
      <c r="U23" s="87">
        <f>SUM(J23)</f>
        <v>81000000</v>
      </c>
      <c r="V23" s="88" t="str">
        <f>IF(OR(U23=0,N23="",R23=""),"",IF(U23&gt;=(10%*R23),"HABIL","NO HABIL"))</f>
        <v>HABIL</v>
      </c>
      <c r="W23" s="87">
        <f>IF(ISERROR(SUM(E23/G23)),0,SUM(E23/G23))</f>
        <v>70</v>
      </c>
      <c r="X23" s="88" t="str">
        <f>IF(OR(W23=0,N23="",R23=""),"",IF(W23&gt;=$X$9,"HABIL","NO HABIL"))</f>
        <v>HABIL</v>
      </c>
      <c r="Y23" s="241">
        <f>IF(ISERROR(SUM(H23/F23)),0,SUM(H23/F23))</f>
        <v>1.2195121951219513E-2</v>
      </c>
      <c r="Z23" s="88" t="str">
        <f>IF(OR(Y23=0,N23="",R23=""),"",IF(Y23&lt;=$Z$9,"HABIL","NO HABIL"))</f>
        <v>HABIL</v>
      </c>
      <c r="AA23" s="80">
        <f>+SUM(AA24:AA33)</f>
        <v>0</v>
      </c>
      <c r="AB23" s="241">
        <f>IF(ISERROR(SUM(L23/M23)),0,SUM(L23/M23))</f>
        <v>27.047999999999998</v>
      </c>
      <c r="AC23" s="88" t="str">
        <f>IF(OR(AB23=0,N23="",R23=""),"",IF(AB23&gt;=$AC$9,"HABIL","NO HABIL"))</f>
        <v>HABIL</v>
      </c>
      <c r="AD23" s="88" t="str">
        <f t="shared" ref="AD23:AD33" si="10">IF(OR(T23="",V23="",X23="",Z23="",AC23=""),"",IF(T23="NO HABIL","NO HABIL",IF(V23="NO HABIL","NO HABIL",IF(X23="NO HABIL","NO HABIL",IF(Z23="NO HABIL","NO HABIL",IF(AC23="NO HABIL","NO HABIL",IF(AC23="NO HABIL","NO HABIL","HABIL")))))))</f>
        <v>HABIL</v>
      </c>
      <c r="AE23" s="127"/>
      <c r="AF23" s="117"/>
      <c r="AG23" s="241">
        <f>IF(ISERROR(SUM(L23/K23)),0,SUM(L23/K23))</f>
        <v>0.3339259259259259</v>
      </c>
      <c r="AH23" s="88" t="str">
        <f>IF(OR(AG23=0,N23="",R23=""),"",IF(AG23&gt;=$AH$9,"HABIL","NO HABIL"))</f>
        <v>HABIL</v>
      </c>
      <c r="AI23" s="241">
        <f>IF(ISERROR(SUM(L23/F23)),0,SUM(L23/F23))</f>
        <v>0.32985365853658538</v>
      </c>
      <c r="AJ23" s="88" t="str">
        <f>IF(OR(AI23=0,N23="",R23=""),"",IF(AI23&gt;=$AJ$9,"HABIL","NO HABIL"))</f>
        <v>HABIL</v>
      </c>
      <c r="AK23" s="129" t="str">
        <f t="shared" ref="AK23" si="11">IF(OR(AH23="",AJ23=""),"",IF(AH23="NO HABIL","NO HABIL",IF(AJ23="NO HABIL","NO HABIL",IF(AJ23="NO HABIL","NO HABIL","HABIL"))))</f>
        <v>HABIL</v>
      </c>
    </row>
    <row r="24" spans="2:37" ht="37.5" customHeight="1" thickBot="1" x14ac:dyDescent="0.3">
      <c r="B24" s="93">
        <f t="shared" ref="B24:B29" si="12">IF(C24="","",B23+0.1)</f>
        <v>2.1</v>
      </c>
      <c r="C24" s="319" t="s">
        <v>632</v>
      </c>
      <c r="D24" s="109">
        <v>1</v>
      </c>
      <c r="E24" s="78">
        <v>70000000</v>
      </c>
      <c r="F24" s="78">
        <v>82000000</v>
      </c>
      <c r="G24" s="78">
        <v>1000000</v>
      </c>
      <c r="H24" s="78">
        <v>1000000</v>
      </c>
      <c r="I24" s="78">
        <f>IF(ISERROR(E24-G24),"",E24-G24)</f>
        <v>69000000</v>
      </c>
      <c r="J24" s="78">
        <f t="shared" ref="J24:J33" si="13">IF(ISERROR(F24-H24),"",F24-H24)</f>
        <v>81000000</v>
      </c>
      <c r="K24" s="78">
        <f t="shared" ref="K24:K33" si="14">IF(ISERROR(F24-H24),"",F24-H24)</f>
        <v>81000000</v>
      </c>
      <c r="L24" s="78">
        <v>27048000</v>
      </c>
      <c r="M24" s="78">
        <v>1000000</v>
      </c>
      <c r="N24" s="320"/>
      <c r="O24" s="321" t="str">
        <f>IF(ISERROR(VLOOKUP(N24,POA!$A$2:$C$16,3,0)),"",VLOOKUP(N24,POA!$A$2:$C$16,3,0))</f>
        <v/>
      </c>
      <c r="P24" s="89"/>
      <c r="Q24" s="89" t="str">
        <f>IF(ISERROR(VLOOKUP(P24,POA!$A$2:$F$16,4,0)),"",VLOOKUP(P24,POA!$A$2:$F$16,4,0))</f>
        <v/>
      </c>
      <c r="R24" s="82" t="str">
        <f>IF(ISERROR(VLOOKUP(N24,POA!$A$2:$C$16,2,0)),"",VLOOKUP(N24,POA!$A$2:$C$16,2,0))</f>
        <v/>
      </c>
      <c r="S24" s="91"/>
      <c r="T24" s="90" t="str">
        <f>IF(OR(S23=0,N24="",R24=""),"",IF(S23&gt;=(0.4*R24),"HABIL","NO HABIL"))</f>
        <v/>
      </c>
      <c r="U24" s="91"/>
      <c r="V24" s="90" t="str">
        <f>IF(OR(U23=0,N24="",R24=""),"",IF(U23&gt;=(0.5*R24),"HABIL","NO HABIL"))</f>
        <v/>
      </c>
      <c r="W24" s="91"/>
      <c r="X24" s="90" t="str">
        <f>IF(OR(W23=0,N24="",R24=""),"",IF(W23&gt;=$X$9,"HABIL","NO HABIL"))</f>
        <v/>
      </c>
      <c r="Y24" s="125"/>
      <c r="Z24" s="90" t="str">
        <f>IF(OR(Y23=0,N24="",R24=""),"",IF(Y23&lt;=$Z$9,"HABIL","NO HABIL"))</f>
        <v/>
      </c>
      <c r="AA24" s="89" t="s">
        <v>621</v>
      </c>
      <c r="AB24" s="89"/>
      <c r="AC24" s="90" t="str">
        <f>IF(OR(AB23=0,N24="",R24=""),"",IF(AB23&gt;=$AC$9,"HABIL","NO HABIL"))</f>
        <v/>
      </c>
      <c r="AD24" s="90" t="str">
        <f t="shared" si="10"/>
        <v/>
      </c>
      <c r="AE24" s="128">
        <f t="shared" ref="AE24:AE33" si="15">IF(ISERROR(F24/$AF$9),"",F24/$AF$9)</f>
        <v>144.69737074289748</v>
      </c>
      <c r="AF24" s="119" t="str">
        <f>+IF(AE24&lt;$AF$10,"MIPYME","NO CUMPLE")</f>
        <v>MIPYME</v>
      </c>
      <c r="AG24" s="137"/>
      <c r="AH24" s="90" t="str">
        <f>IF(OR(AG23=0,N24="",R24=""),"",IF(AG23&gt;=$AH$9,"HABIL","NO HABIL"))</f>
        <v/>
      </c>
      <c r="AI24" s="137"/>
      <c r="AJ24" s="90" t="str">
        <f>IF(OR(AI23=0,N24="",R24=""),"",IF(AI23&gt;=$AJ$9,"HABIL","NO HABIL"))</f>
        <v/>
      </c>
      <c r="AK24" s="322" t="str">
        <f>IF(OR(AH24="",AJ24=""),"",IF(AH24="NO HABIL","NO HABIL",IF(AJ24="NO HABIL","NO HABIL",IF(AJ24="NO HABIL","NO HABIL","HABIL"))))</f>
        <v/>
      </c>
    </row>
    <row r="25" spans="2:37" ht="18" hidden="1" customHeight="1" x14ac:dyDescent="0.25">
      <c r="B25" s="308" t="str">
        <f t="shared" si="12"/>
        <v/>
      </c>
      <c r="C25" s="309"/>
      <c r="D25" s="309"/>
      <c r="E25" s="310">
        <f>IF(ISERROR(VLOOKUP(C25,TD!$4:$65536,2,0)),0,VLOOKUP(C25,TD!$4:$65536,2,0))</f>
        <v>0</v>
      </c>
      <c r="F25" s="310">
        <f>IF(ISERROR(VLOOKUP(C25,TD!$4:$65536,3,0)),0,VLOOKUP(C25,TD!$4:$65536,3,0))</f>
        <v>0</v>
      </c>
      <c r="G25" s="310">
        <f>IF(ISERROR(VLOOKUP(C25,TD!$4:$65536,4,0)),0,VLOOKUP(C25,TD!$4:$65536,4,0))</f>
        <v>0</v>
      </c>
      <c r="H25" s="310">
        <f>IF(ISERROR(VLOOKUP(C25,TD!$4:$65536,5,0)),0,VLOOKUP(C25,TD!$4:$65536,5,0))</f>
        <v>0</v>
      </c>
      <c r="I25" s="310">
        <f t="shared" ref="I25:I33" si="16">IF(ISERROR(E25-G25),"",E25-G25)</f>
        <v>0</v>
      </c>
      <c r="J25" s="310">
        <f t="shared" si="13"/>
        <v>0</v>
      </c>
      <c r="K25" s="310">
        <f t="shared" si="14"/>
        <v>0</v>
      </c>
      <c r="L25" s="310">
        <f>IF(ISERROR(VLOOKUP(C25,TD!$4:$65536,6,0)),0,VLOOKUP(C25,TD!$4:$65536,6,0))</f>
        <v>0</v>
      </c>
      <c r="M25" s="310">
        <f>IF(ISERROR(VLOOKUP(C25,TD!$4:$65536,7,0)),0,VLOOKUP(C25,TD!$4:$65536,7,0))</f>
        <v>0</v>
      </c>
      <c r="N25" s="185"/>
      <c r="O25" s="185" t="str">
        <f>IF(ISERROR(VLOOKUP(N25,POA!$A$2:$C$16,3,0)),"",VLOOKUP(N25,POA!$A$2:$C$16,3,0))</f>
        <v/>
      </c>
      <c r="P25" s="311"/>
      <c r="Q25" s="311" t="str">
        <f>IF(ISERROR(VLOOKUP(P25,POA!$A$2:$F$16,4,0)),"",VLOOKUP(P25,POA!$A$2:$F$16,4,0))</f>
        <v/>
      </c>
      <c r="R25" s="312" t="str">
        <f>IF(ISERROR(VLOOKUP(N25,POA!$A$2:$C$16,2,0)),"",VLOOKUP(N25,POA!$A$2:$C$16,2,0))</f>
        <v/>
      </c>
      <c r="S25" s="313"/>
      <c r="T25" s="314" t="str">
        <f>IF(OR(S23=0,N25="",R25=""),"",IF(S23&gt;=(0.4*R25),"HABIL","NO HABIL"))</f>
        <v/>
      </c>
      <c r="U25" s="313"/>
      <c r="V25" s="314" t="str">
        <f>IF(OR(U23=0,N25="",R25=""),"",IF(U23&gt;=(0.5*R25),"HABIL","NO HABIL"))</f>
        <v/>
      </c>
      <c r="W25" s="313"/>
      <c r="X25" s="314" t="str">
        <f>IF(OR(W23=0,N25="",R25=""),"",IF(W23&gt;=$X$9,"HABIL","NO HABIL"))</f>
        <v/>
      </c>
      <c r="Y25" s="315"/>
      <c r="Z25" s="314" t="str">
        <f>IF(OR(Y23=0,N25="",R25=""),"",IF(Y23&lt;=$Z$9,"HABIL","NO HABIL"))</f>
        <v/>
      </c>
      <c r="AA25" s="311" t="s">
        <v>621</v>
      </c>
      <c r="AB25" s="311"/>
      <c r="AC25" s="314" t="str">
        <f>IF(OR(AB23=0,N25="",R25=""),"",IF(AB23&gt;=$AC$9,"HABIL","NO HABIL"))</f>
        <v/>
      </c>
      <c r="AD25" s="314" t="str">
        <f t="shared" si="10"/>
        <v/>
      </c>
      <c r="AE25" s="316">
        <f t="shared" si="15"/>
        <v>0</v>
      </c>
      <c r="AF25" s="317" t="str">
        <f t="shared" ref="AF25:AF33" si="17">+IF(AE25&lt;$AF$10,"MIPYME","NO CUMPLE")</f>
        <v>MIPYME</v>
      </c>
      <c r="AG25" s="318"/>
      <c r="AH25" s="314" t="str">
        <f>IF(OR(AG23=0,N25="",R25=""),"",IF(AG23&gt;=$AH$9,"HABIL","NO HABIL"))</f>
        <v/>
      </c>
      <c r="AI25" s="318"/>
      <c r="AJ25" s="314" t="str">
        <f>IF(OR(AI23=0,N25="",R25=""),"",IF(AI23&gt;=$AJ$9,"HABIL","NO HABIL"))</f>
        <v/>
      </c>
      <c r="AK25" s="130" t="str">
        <f t="shared" ref="AK25:AK33" si="18">IF(OR(AH25="",AJ25=""),"",IF(AH25="NO HABIL","NO HABIL",IF(AJ25="NO HABIL","NO HABIL",IF(AJ25="NO HABIL","NO HABIL","HABIL"))))</f>
        <v/>
      </c>
    </row>
    <row r="26" spans="2:37" ht="18" hidden="1" customHeight="1" x14ac:dyDescent="0.25">
      <c r="B26" s="76" t="str">
        <f t="shared" si="12"/>
        <v/>
      </c>
      <c r="C26" s="108"/>
      <c r="D26" s="264"/>
      <c r="E26" s="75">
        <f>IF(ISERROR(VLOOKUP(C26,TD!$4:$65536,2,0)),0,VLOOKUP(C26,TD!$4:$65536,2,0))</f>
        <v>0</v>
      </c>
      <c r="F26" s="75">
        <f>IF(ISERROR(VLOOKUP(C26,TD!$4:$65536,3,0)),0,VLOOKUP(C26,TD!$4:$65536,3,0))</f>
        <v>0</v>
      </c>
      <c r="G26" s="75">
        <f>IF(ISERROR(VLOOKUP(C26,TD!$4:$65536,4,0)),0,VLOOKUP(C26,TD!$4:$65536,4,0))</f>
        <v>0</v>
      </c>
      <c r="H26" s="75">
        <f>IF(ISERROR(VLOOKUP(C26,TD!$4:$65536,5,0)),0,VLOOKUP(C26,TD!$4:$65536,5,0))</f>
        <v>0</v>
      </c>
      <c r="I26" s="234">
        <f t="shared" si="16"/>
        <v>0</v>
      </c>
      <c r="J26" s="75">
        <f t="shared" si="13"/>
        <v>0</v>
      </c>
      <c r="K26" s="234">
        <f t="shared" si="14"/>
        <v>0</v>
      </c>
      <c r="L26" s="234">
        <f>IF(ISERROR(VLOOKUP(C26,TD!$4:$65536,6,0)),0,VLOOKUP(C26,TD!$4:$65536,6,0))</f>
        <v>0</v>
      </c>
      <c r="M26" s="234">
        <f>IF(ISERROR(VLOOKUP(C26,TD!$4:$65536,7,0)),0,VLOOKUP(C26,TD!$4:$65536,7,0))</f>
        <v>0</v>
      </c>
      <c r="N26" s="183"/>
      <c r="O26" s="183" t="str">
        <f>IF(ISERROR(VLOOKUP(N26,POA!$A$2:$C$16,3,0)),"",VLOOKUP(N26,POA!$A$2:$C$16,3,0))</f>
        <v/>
      </c>
      <c r="P26" s="77"/>
      <c r="Q26" s="77" t="str">
        <f>IF(ISERROR(VLOOKUP(P26,POA!$A$2:$F$16,4,0)),"",VLOOKUP(P26,POA!$A$2:$F$16,4,0))</f>
        <v/>
      </c>
      <c r="R26" s="79" t="str">
        <f>IF(ISERROR(VLOOKUP(N26,POA!$A$2:$C$16,2,0)),"",VLOOKUP(N26,POA!$A$2:$C$16,2,0))</f>
        <v/>
      </c>
      <c r="S26" s="84"/>
      <c r="T26" s="83" t="str">
        <f>IF(OR(S23=0,N26="",R26=""),"",IF(S23&gt;=(0.4*R26),"HABIL","NO HABIL"))</f>
        <v/>
      </c>
      <c r="U26" s="84"/>
      <c r="V26" s="83" t="str">
        <f>IF(OR(U23=0,N26="",R26=""),"",IF(U23&gt;=(0.5*R26),"HABIL","NO HABIL"))</f>
        <v/>
      </c>
      <c r="W26" s="84"/>
      <c r="X26" s="83" t="str">
        <f>IF(OR(W23=0,N26="",R26=""),"",IF(W23&gt;=$X$9,"HABIL","NO HABIL"))</f>
        <v/>
      </c>
      <c r="Y26" s="124"/>
      <c r="Z26" s="83" t="str">
        <f>IF(OR(Y23=0,N26="",R26=""),"",IF(Y23&lt;=$Z$9,"HABIL","NO HABIL"))</f>
        <v/>
      </c>
      <c r="AA26" s="77">
        <v>0</v>
      </c>
      <c r="AB26" s="77"/>
      <c r="AC26" s="83" t="str">
        <f>IF(OR(AB23=0,N26="",R26=""),"",IF(AB23&gt;=$AC$9,"HABIL","NO HABIL"))</f>
        <v/>
      </c>
      <c r="AD26" s="83" t="str">
        <f t="shared" si="10"/>
        <v/>
      </c>
      <c r="AE26" s="126">
        <f t="shared" si="15"/>
        <v>0</v>
      </c>
      <c r="AF26" s="118" t="str">
        <f t="shared" si="17"/>
        <v>MIPYME</v>
      </c>
      <c r="AG26" s="136"/>
      <c r="AH26" s="83" t="str">
        <f>IF(OR(AG23=0,N26="",R26=""),"",IF(AG23&gt;=$AH$9,"HABIL","NO HABIL"))</f>
        <v/>
      </c>
      <c r="AI26" s="136"/>
      <c r="AJ26" s="83" t="str">
        <f>IF(OR(AI23=0,N26="",R26=""),"",IF(AI23&gt;=$AJ$9,"HABIL","NO HABIL"))</f>
        <v/>
      </c>
      <c r="AK26" s="132" t="str">
        <f t="shared" si="18"/>
        <v/>
      </c>
    </row>
    <row r="27" spans="2:37" ht="18" hidden="1" customHeight="1" x14ac:dyDescent="0.25">
      <c r="B27" s="76" t="str">
        <f t="shared" si="12"/>
        <v/>
      </c>
      <c r="C27" s="108"/>
      <c r="D27" s="264"/>
      <c r="E27" s="75">
        <f>IF(ISERROR(VLOOKUP(C27,TD!$4:$65536,2,0)),0,VLOOKUP(C27,TD!$4:$65536,2,0))</f>
        <v>0</v>
      </c>
      <c r="F27" s="75">
        <f>IF(ISERROR(VLOOKUP(C27,TD!$4:$65536,3,0)),0,VLOOKUP(C27,TD!$4:$65536,3,0))</f>
        <v>0</v>
      </c>
      <c r="G27" s="75">
        <f>IF(ISERROR(VLOOKUP(C27,TD!$4:$65536,4,0)),0,VLOOKUP(C27,TD!$4:$65536,4,0))</f>
        <v>0</v>
      </c>
      <c r="H27" s="75">
        <f>IF(ISERROR(VLOOKUP(C27,TD!$4:$65536,5,0)),0,VLOOKUP(C27,TD!$4:$65536,5,0))</f>
        <v>0</v>
      </c>
      <c r="I27" s="234">
        <f t="shared" si="16"/>
        <v>0</v>
      </c>
      <c r="J27" s="75">
        <f t="shared" si="13"/>
        <v>0</v>
      </c>
      <c r="K27" s="234">
        <f t="shared" si="14"/>
        <v>0</v>
      </c>
      <c r="L27" s="234">
        <f>IF(ISERROR(VLOOKUP(C27,TD!$4:$65536,6,0)),0,VLOOKUP(C27,TD!$4:$65536,6,0))</f>
        <v>0</v>
      </c>
      <c r="M27" s="234">
        <f>IF(ISERROR(VLOOKUP(C27,TD!$4:$65536,7,0)),0,VLOOKUP(C27,TD!$4:$65536,7,0))</f>
        <v>0</v>
      </c>
      <c r="N27" s="183"/>
      <c r="O27" s="183" t="str">
        <f>IF(ISERROR(VLOOKUP(N27,POA!$A$2:$C$16,3,0)),"",VLOOKUP(N27,POA!$A$2:$C$16,3,0))</f>
        <v/>
      </c>
      <c r="P27" s="77"/>
      <c r="Q27" s="77" t="str">
        <f>IF(ISERROR(VLOOKUP(P27,POA!$A$2:$F$16,4,0)),"",VLOOKUP(P27,POA!$A$2:$F$16,4,0))</f>
        <v/>
      </c>
      <c r="R27" s="79" t="str">
        <f>IF(ISERROR(VLOOKUP(N27,POA!$A$2:$C$16,2,0)),"",VLOOKUP(N27,POA!$A$2:$C$16,2,0))</f>
        <v/>
      </c>
      <c r="S27" s="84"/>
      <c r="T27" s="83" t="str">
        <f>IF(OR(S23=0,N27="",R27=""),"",IF(S23&gt;=(0.4*R27),"HABIL","NO HABIL"))</f>
        <v/>
      </c>
      <c r="U27" s="84"/>
      <c r="V27" s="83" t="str">
        <f>IF(OR(U23=0,N27="",R27=""),"",IF(U23&gt;=(0.5*R27),"HABIL","NO HABIL"))</f>
        <v/>
      </c>
      <c r="W27" s="84"/>
      <c r="X27" s="83" t="str">
        <f>IF(OR(W23=0,N27="",R27=""),"",IF(W23&gt;=$X$9,"HABIL","NO HABIL"))</f>
        <v/>
      </c>
      <c r="Y27" s="124"/>
      <c r="Z27" s="83" t="str">
        <f>IF(OR(Y23=0,N27="",R27=""),"",IF(Y23&lt;=$Z$9,"HABIL","NO HABIL"))</f>
        <v/>
      </c>
      <c r="AA27" s="77">
        <v>0</v>
      </c>
      <c r="AB27" s="77"/>
      <c r="AC27" s="83" t="str">
        <f>IF(OR(AB23=0,N27="",R27=""),"",IF(AB23&gt;=$AC$9,"HABIL","NO HABIL"))</f>
        <v/>
      </c>
      <c r="AD27" s="83" t="str">
        <f t="shared" si="10"/>
        <v/>
      </c>
      <c r="AE27" s="126">
        <f t="shared" si="15"/>
        <v>0</v>
      </c>
      <c r="AF27" s="118" t="str">
        <f t="shared" si="17"/>
        <v>MIPYME</v>
      </c>
      <c r="AG27" s="136"/>
      <c r="AH27" s="83" t="str">
        <f>IF(OR(AG23=0,N27="",R27=""),"",IF(AG23&gt;=$AH$9,"HABIL","NO HABIL"))</f>
        <v/>
      </c>
      <c r="AI27" s="136"/>
      <c r="AJ27" s="83" t="str">
        <f>IF(OR(AI23=0,N27="",R27=""),"",IF(AI23&gt;=$AJ$9,"HABIL","NO HABIL"))</f>
        <v/>
      </c>
      <c r="AK27" s="132" t="str">
        <f t="shared" si="18"/>
        <v/>
      </c>
    </row>
    <row r="28" spans="2:37" ht="18" hidden="1" customHeight="1" x14ac:dyDescent="0.25">
      <c r="B28" s="76" t="str">
        <f t="shared" si="12"/>
        <v/>
      </c>
      <c r="C28" s="108"/>
      <c r="D28" s="264"/>
      <c r="E28" s="75">
        <f>IF(ISERROR(VLOOKUP(C28,TD!$4:$65536,2,0)),0,VLOOKUP(C28,TD!$4:$65536,2,0))</f>
        <v>0</v>
      </c>
      <c r="F28" s="75">
        <f>IF(ISERROR(VLOOKUP(C28,TD!$4:$65536,3,0)),0,VLOOKUP(C28,TD!$4:$65536,3,0))</f>
        <v>0</v>
      </c>
      <c r="G28" s="75">
        <f>IF(ISERROR(VLOOKUP(C28,TD!$4:$65536,4,0)),0,VLOOKUP(C28,TD!$4:$65536,4,0))</f>
        <v>0</v>
      </c>
      <c r="H28" s="75">
        <f>IF(ISERROR(VLOOKUP(C28,TD!$4:$65536,5,0)),0,VLOOKUP(C28,TD!$4:$65536,5,0))</f>
        <v>0</v>
      </c>
      <c r="I28" s="234">
        <f t="shared" si="16"/>
        <v>0</v>
      </c>
      <c r="J28" s="75">
        <f t="shared" si="13"/>
        <v>0</v>
      </c>
      <c r="K28" s="234">
        <f t="shared" si="14"/>
        <v>0</v>
      </c>
      <c r="L28" s="234">
        <f>IF(ISERROR(VLOOKUP(C28,TD!$4:$65536,6,0)),0,VLOOKUP(C28,TD!$4:$65536,6,0))</f>
        <v>0</v>
      </c>
      <c r="M28" s="234">
        <f>IF(ISERROR(VLOOKUP(C28,TD!$4:$65536,7,0)),0,VLOOKUP(C28,TD!$4:$65536,7,0))</f>
        <v>0</v>
      </c>
      <c r="N28" s="183"/>
      <c r="O28" s="183" t="str">
        <f>IF(ISERROR(VLOOKUP(N28,POA!$A$2:$C$16,3,0)),"",VLOOKUP(N28,POA!$A$2:$C$16,3,0))</f>
        <v/>
      </c>
      <c r="P28" s="77"/>
      <c r="Q28" s="77" t="str">
        <f>IF(ISERROR(VLOOKUP(P28,POA!$A$2:$F$16,4,0)),"",VLOOKUP(P28,POA!$A$2:$F$16,4,0))</f>
        <v/>
      </c>
      <c r="R28" s="79" t="str">
        <f>IF(ISERROR(VLOOKUP(N28,POA!$A$2:$C$16,2,0)),"",VLOOKUP(N28,POA!$A$2:$C$16,2,0))</f>
        <v/>
      </c>
      <c r="S28" s="84"/>
      <c r="T28" s="83" t="str">
        <f>IF(OR(S23=0,N28="",R28=""),"",IF(S23&gt;=(0.4*R28),"HABIL","NO HABIL"))</f>
        <v/>
      </c>
      <c r="U28" s="84"/>
      <c r="V28" s="83" t="str">
        <f>IF(OR(U23=0,N28="",R28=""),"",IF(U23&gt;=(0.5*R28),"HABIL","NO HABIL"))</f>
        <v/>
      </c>
      <c r="W28" s="84"/>
      <c r="X28" s="83" t="str">
        <f>IF(OR(W23=0,N28="",R28=""),"",IF(W23&gt;=$X$9,"HABIL","NO HABIL"))</f>
        <v/>
      </c>
      <c r="Y28" s="124"/>
      <c r="Z28" s="83" t="str">
        <f>IF(OR(Y23=0,N28="",R28=""),"",IF(Y23&lt;=$Z$9,"HABIL","NO HABIL"))</f>
        <v/>
      </c>
      <c r="AA28" s="77">
        <v>0</v>
      </c>
      <c r="AB28" s="77"/>
      <c r="AC28" s="83" t="str">
        <f>IF(OR(AB23=0,N28="",R28=""),"",IF(AB23&gt;=$AC$9,"HABIL","NO HABIL"))</f>
        <v/>
      </c>
      <c r="AD28" s="83" t="str">
        <f t="shared" si="10"/>
        <v/>
      </c>
      <c r="AE28" s="126">
        <f t="shared" si="15"/>
        <v>0</v>
      </c>
      <c r="AF28" s="118" t="str">
        <f t="shared" si="17"/>
        <v>MIPYME</v>
      </c>
      <c r="AG28" s="136"/>
      <c r="AH28" s="83" t="str">
        <f>IF(OR(AG23=0,N28="",R28=""),"",IF(AG23&gt;=$AH$9,"HABIL","NO HABIL"))</f>
        <v/>
      </c>
      <c r="AI28" s="136"/>
      <c r="AJ28" s="83" t="str">
        <f>IF(OR(AI23=0,N28="",R28=""),"",IF(AI23&gt;=$AJ$9,"HABIL","NO HABIL"))</f>
        <v/>
      </c>
      <c r="AK28" s="130" t="str">
        <f t="shared" si="18"/>
        <v/>
      </c>
    </row>
    <row r="29" spans="2:37" ht="18" hidden="1" customHeight="1" x14ac:dyDescent="0.25">
      <c r="B29" s="76" t="str">
        <f t="shared" si="12"/>
        <v/>
      </c>
      <c r="C29" s="108"/>
      <c r="D29" s="264"/>
      <c r="E29" s="75">
        <f>IF(ISERROR(VLOOKUP(C29,TD!$4:$65536,2,0)),0,VLOOKUP(C29,TD!$4:$65536,2,0))</f>
        <v>0</v>
      </c>
      <c r="F29" s="75">
        <f>IF(ISERROR(VLOOKUP(C29,TD!$4:$65536,3,0)),0,VLOOKUP(C29,TD!$4:$65536,3,0))</f>
        <v>0</v>
      </c>
      <c r="G29" s="75">
        <f>IF(ISERROR(VLOOKUP(C29,TD!$4:$65536,4,0)),0,VLOOKUP(C29,TD!$4:$65536,4,0))</f>
        <v>0</v>
      </c>
      <c r="H29" s="75">
        <f>IF(ISERROR(VLOOKUP(C29,TD!$4:$65536,5,0)),0,VLOOKUP(C29,TD!$4:$65536,5,0))</f>
        <v>0</v>
      </c>
      <c r="I29" s="234">
        <f t="shared" si="16"/>
        <v>0</v>
      </c>
      <c r="J29" s="75">
        <f t="shared" si="13"/>
        <v>0</v>
      </c>
      <c r="K29" s="234">
        <f t="shared" si="14"/>
        <v>0</v>
      </c>
      <c r="L29" s="234">
        <f>IF(ISERROR(VLOOKUP(C29,TD!$4:$65536,6,0)),0,VLOOKUP(C29,TD!$4:$65536,6,0))</f>
        <v>0</v>
      </c>
      <c r="M29" s="234">
        <f>IF(ISERROR(VLOOKUP(C29,TD!$4:$65536,7,0)),0,VLOOKUP(C29,TD!$4:$65536,7,0))</f>
        <v>0</v>
      </c>
      <c r="N29" s="183"/>
      <c r="O29" s="183" t="str">
        <f>IF(ISERROR(VLOOKUP(N29,POA!$A$2:$C$16,3,0)),"",VLOOKUP(N29,POA!$A$2:$C$16,3,0))</f>
        <v/>
      </c>
      <c r="P29" s="77"/>
      <c r="Q29" s="77" t="str">
        <f>IF(ISERROR(VLOOKUP(P29,POA!$A$2:$F$16,4,0)),"",VLOOKUP(P29,POA!$A$2:$F$16,4,0))</f>
        <v/>
      </c>
      <c r="R29" s="79" t="str">
        <f>IF(ISERROR(VLOOKUP(N29,POA!$A$2:$C$16,2,0)),"",VLOOKUP(N29,POA!$A$2:$C$16,2,0))</f>
        <v/>
      </c>
      <c r="S29" s="84"/>
      <c r="T29" s="83" t="str">
        <f>IF(OR(S23=0,N29="",R29=""),"",IF(S23&gt;=(0.4*R29),"HABIL","NO HABIL"))</f>
        <v/>
      </c>
      <c r="U29" s="84"/>
      <c r="V29" s="83" t="str">
        <f>IF(OR(U23=0,N29="",R29=""),"",IF(U23&gt;=(0.5*R29),"HABIL","NO HABIL"))</f>
        <v/>
      </c>
      <c r="W29" s="84"/>
      <c r="X29" s="83" t="str">
        <f>IF(OR(W23=0,N29="",R29=""),"",IF(W23&gt;=$X$9,"HABIL","NO HABIL"))</f>
        <v/>
      </c>
      <c r="Y29" s="124"/>
      <c r="Z29" s="83" t="str">
        <f>IF(OR(Y23=0,N29="",R29=""),"",IF(Y23&lt;=$Z$9,"HABIL","NO HABIL"))</f>
        <v/>
      </c>
      <c r="AA29" s="77">
        <v>0</v>
      </c>
      <c r="AB29" s="77"/>
      <c r="AC29" s="83" t="str">
        <f>IF(OR(AB23=0,N29="",R29=""),"",IF(AB23&gt;=$AC$9,"HABIL","NO HABIL"))</f>
        <v/>
      </c>
      <c r="AD29" s="83" t="str">
        <f t="shared" si="10"/>
        <v/>
      </c>
      <c r="AE29" s="126">
        <f t="shared" si="15"/>
        <v>0</v>
      </c>
      <c r="AF29" s="118" t="str">
        <f t="shared" si="17"/>
        <v>MIPYME</v>
      </c>
      <c r="AG29" s="136"/>
      <c r="AH29" s="83" t="str">
        <f>IF(OR(AG23=0,N29="",R29=""),"",IF(AG23&gt;=$AH$9,"HABIL","NO HABIL"))</f>
        <v/>
      </c>
      <c r="AI29" s="136"/>
      <c r="AJ29" s="83" t="str">
        <f>IF(OR(AI23=0,N29="",R29=""),"",IF(AI23&gt;=$AJ$9,"HABIL","NO HABIL"))</f>
        <v/>
      </c>
      <c r="AK29" s="132" t="str">
        <f t="shared" si="18"/>
        <v/>
      </c>
    </row>
    <row r="30" spans="2:37" ht="18" hidden="1" customHeight="1" x14ac:dyDescent="0.25">
      <c r="B30" s="76" t="str">
        <f>IF(C30="","",B29+0.1)</f>
        <v/>
      </c>
      <c r="C30" s="108"/>
      <c r="D30" s="264"/>
      <c r="E30" s="75">
        <f>IF(ISERROR(VLOOKUP(C30,TD!$4:$65536,2,0)),0,VLOOKUP(C30,TD!$4:$65536,2,0))</f>
        <v>0</v>
      </c>
      <c r="F30" s="75">
        <f>IF(ISERROR(VLOOKUP(C30,TD!$4:$65536,3,0)),0,VLOOKUP(C30,TD!$4:$65536,3,0))</f>
        <v>0</v>
      </c>
      <c r="G30" s="75">
        <f>IF(ISERROR(VLOOKUP(C30,TD!$4:$65536,4,0)),0,VLOOKUP(C30,TD!$4:$65536,4,0))</f>
        <v>0</v>
      </c>
      <c r="H30" s="75">
        <f>IF(ISERROR(VLOOKUP(C30,TD!$4:$65536,5,0)),0,VLOOKUP(C30,TD!$4:$65536,5,0))</f>
        <v>0</v>
      </c>
      <c r="I30" s="234">
        <f t="shared" si="16"/>
        <v>0</v>
      </c>
      <c r="J30" s="75">
        <f t="shared" si="13"/>
        <v>0</v>
      </c>
      <c r="K30" s="234">
        <f t="shared" si="14"/>
        <v>0</v>
      </c>
      <c r="L30" s="234">
        <f>IF(ISERROR(VLOOKUP(C30,TD!$4:$65536,6,0)),0,VLOOKUP(C30,TD!$4:$65536,6,0))</f>
        <v>0</v>
      </c>
      <c r="M30" s="234">
        <f>IF(ISERROR(VLOOKUP(C30,TD!$4:$65536,7,0)),0,VLOOKUP(C30,TD!$4:$65536,7,0))</f>
        <v>0</v>
      </c>
      <c r="N30" s="183"/>
      <c r="O30" s="183" t="str">
        <f>IF(ISERROR(VLOOKUP(N30,POA!$A$2:$C$16,3,0)),"",VLOOKUP(N30,POA!$A$2:$C$16,3,0))</f>
        <v/>
      </c>
      <c r="P30" s="77"/>
      <c r="Q30" s="77" t="str">
        <f>IF(ISERROR(VLOOKUP(P30,POA!$A$2:$F$16,4,0)),"",VLOOKUP(P30,POA!$A$2:$F$16,4,0))</f>
        <v/>
      </c>
      <c r="R30" s="79" t="str">
        <f>IF(ISERROR(VLOOKUP(N30,POA!$A$2:$C$16,2,0)),"",VLOOKUP(N30,POA!$A$2:$C$16,2,0))</f>
        <v/>
      </c>
      <c r="S30" s="84"/>
      <c r="T30" s="83" t="str">
        <f>IF(OR(S23=0,N30="",R30=""),"",IF(S23&gt;=(0.4*R30),"HABIL","NO HABIL"))</f>
        <v/>
      </c>
      <c r="U30" s="84"/>
      <c r="V30" s="83" t="str">
        <f>IF(OR(U23=0,N30="",R30=""),"",IF(U23&gt;=(0.5*R30),"HABIL","NO HABIL"))</f>
        <v/>
      </c>
      <c r="W30" s="84"/>
      <c r="X30" s="83" t="str">
        <f>IF(OR(W23=0,N30="",R30=""),"",IF(W23&gt;=$X$9,"HABIL","NO HABIL"))</f>
        <v/>
      </c>
      <c r="Y30" s="124"/>
      <c r="Z30" s="83" t="str">
        <f>IF(OR(Y23=0,N30="",R30=""),"",IF(Y23&lt;=$Z$9,"HABIL","NO HABIL"))</f>
        <v/>
      </c>
      <c r="AA30" s="77">
        <v>0</v>
      </c>
      <c r="AB30" s="77"/>
      <c r="AC30" s="83" t="str">
        <f>IF(OR(AB23=0,N30="",R30=""),"",IF(AB23&gt;=$AC$9,"HABIL","NO HABIL"))</f>
        <v/>
      </c>
      <c r="AD30" s="83" t="str">
        <f t="shared" si="10"/>
        <v/>
      </c>
      <c r="AE30" s="126">
        <f t="shared" si="15"/>
        <v>0</v>
      </c>
      <c r="AF30" s="118" t="str">
        <f t="shared" si="17"/>
        <v>MIPYME</v>
      </c>
      <c r="AG30" s="136"/>
      <c r="AH30" s="83" t="str">
        <f>IF(OR(AG23=0,N30="",R30=""),"",IF(AG23&gt;=$AH$9,"HABIL","NO HABIL"))</f>
        <v/>
      </c>
      <c r="AI30" s="136"/>
      <c r="AJ30" s="83" t="str">
        <f>IF(OR(AI23=0,N30="",R30=""),"",IF(AI23&gt;=$AJ$9,"HABIL","NO HABIL"))</f>
        <v/>
      </c>
      <c r="AK30" s="132" t="str">
        <f t="shared" si="18"/>
        <v/>
      </c>
    </row>
    <row r="31" spans="2:37" ht="18" hidden="1" customHeight="1" x14ac:dyDescent="0.25">
      <c r="B31" s="76" t="str">
        <f>IF(C31="","",B30+0.1)</f>
        <v/>
      </c>
      <c r="C31" s="108"/>
      <c r="D31" s="264"/>
      <c r="E31" s="75">
        <f>IF(ISERROR(VLOOKUP(C31,TD!$4:$65536,2,0)),0,VLOOKUP(C31,TD!$4:$65536,2,0))</f>
        <v>0</v>
      </c>
      <c r="F31" s="75">
        <f>IF(ISERROR(VLOOKUP(C31,TD!$4:$65536,3,0)),0,VLOOKUP(C31,TD!$4:$65536,3,0))</f>
        <v>0</v>
      </c>
      <c r="G31" s="75">
        <f>IF(ISERROR(VLOOKUP(C31,TD!$4:$65536,4,0)),0,VLOOKUP(C31,TD!$4:$65536,4,0))</f>
        <v>0</v>
      </c>
      <c r="H31" s="75">
        <f>IF(ISERROR(VLOOKUP(C31,TD!$4:$65536,5,0)),0,VLOOKUP(C31,TD!$4:$65536,5,0))</f>
        <v>0</v>
      </c>
      <c r="I31" s="234">
        <f t="shared" si="16"/>
        <v>0</v>
      </c>
      <c r="J31" s="75">
        <f t="shared" si="13"/>
        <v>0</v>
      </c>
      <c r="K31" s="234">
        <f t="shared" si="14"/>
        <v>0</v>
      </c>
      <c r="L31" s="234">
        <f>IF(ISERROR(VLOOKUP(C31,TD!$4:$65536,6,0)),0,VLOOKUP(C31,TD!$4:$65536,6,0))</f>
        <v>0</v>
      </c>
      <c r="M31" s="234">
        <f>IF(ISERROR(VLOOKUP(C31,TD!$4:$65536,7,0)),0,VLOOKUP(C31,TD!$4:$65536,7,0))</f>
        <v>0</v>
      </c>
      <c r="N31" s="183"/>
      <c r="O31" s="183" t="str">
        <f>IF(ISERROR(VLOOKUP(N31,POA!$A$2:$C$16,3,0)),"",VLOOKUP(N31,POA!$A$2:$C$16,3,0))</f>
        <v/>
      </c>
      <c r="P31" s="77"/>
      <c r="Q31" s="77" t="str">
        <f>IF(ISERROR(VLOOKUP(P31,POA!$A$2:$F$16,4,0)),"",VLOOKUP(P31,POA!$A$2:$F$16,4,0))</f>
        <v/>
      </c>
      <c r="R31" s="79" t="str">
        <f>IF(ISERROR(VLOOKUP(N31,POA!$A$2:$C$16,2,0)),"",VLOOKUP(N31,POA!$A$2:$C$16,2,0))</f>
        <v/>
      </c>
      <c r="S31" s="84"/>
      <c r="T31" s="83" t="str">
        <f>IF(OR(S23=0,N31="",R31=""),"",IF(S23&gt;=(0.4*R31),"HABIL","NO HABIL"))</f>
        <v/>
      </c>
      <c r="U31" s="84"/>
      <c r="V31" s="83" t="str">
        <f>IF(OR(U23=0,N31="",R31=""),"",IF(U23&gt;=(0.5*R31),"HABIL","NO HABIL"))</f>
        <v/>
      </c>
      <c r="W31" s="84"/>
      <c r="X31" s="83" t="str">
        <f>IF(OR(W23=0,N31="",R31=""),"",IF(W23&gt;=$X$9,"HABIL","NO HABIL"))</f>
        <v/>
      </c>
      <c r="Y31" s="124"/>
      <c r="Z31" s="83" t="str">
        <f>IF(OR(Y23=0,N31="",R31=""),"",IF(Y23&lt;=$Z$9,"HABIL","NO HABIL"))</f>
        <v/>
      </c>
      <c r="AA31" s="77">
        <v>0</v>
      </c>
      <c r="AB31" s="77"/>
      <c r="AC31" s="83" t="str">
        <f>IF(OR(AB23=0,N31="",R31=""),"",IF(AB23&gt;=$AC$9,"HABIL","NO HABIL"))</f>
        <v/>
      </c>
      <c r="AD31" s="83" t="str">
        <f t="shared" si="10"/>
        <v/>
      </c>
      <c r="AE31" s="126">
        <f t="shared" si="15"/>
        <v>0</v>
      </c>
      <c r="AF31" s="118" t="str">
        <f t="shared" si="17"/>
        <v>MIPYME</v>
      </c>
      <c r="AG31" s="136"/>
      <c r="AH31" s="83" t="str">
        <f>IF(OR(AG23=0,N31="",R31=""),"",IF(AG23&gt;=$AH$9,"HABIL","NO HABIL"))</f>
        <v/>
      </c>
      <c r="AI31" s="136"/>
      <c r="AJ31" s="83" t="str">
        <f>IF(OR(AI23=0,N31="",R31=""),"",IF(AI23&gt;=$AJ$9,"HABIL","NO HABIL"))</f>
        <v/>
      </c>
      <c r="AK31" s="130" t="str">
        <f t="shared" si="18"/>
        <v/>
      </c>
    </row>
    <row r="32" spans="2:37" ht="18" hidden="1" customHeight="1" x14ac:dyDescent="0.25">
      <c r="B32" s="76" t="str">
        <f>IF(C32="","",B31+0.1)</f>
        <v/>
      </c>
      <c r="C32" s="108"/>
      <c r="D32" s="264"/>
      <c r="E32" s="75">
        <f>IF(ISERROR(VLOOKUP(C32,TD!$4:$65536,2,0)),0,VLOOKUP(C32,TD!$4:$65536,2,0))</f>
        <v>0</v>
      </c>
      <c r="F32" s="75">
        <f>IF(ISERROR(VLOOKUP(C32,TD!$4:$65536,3,0)),0,VLOOKUP(C32,TD!$4:$65536,3,0))</f>
        <v>0</v>
      </c>
      <c r="G32" s="75">
        <f>IF(ISERROR(VLOOKUP(C32,TD!$4:$65536,4,0)),0,VLOOKUP(C32,TD!$4:$65536,4,0))</f>
        <v>0</v>
      </c>
      <c r="H32" s="75">
        <f>IF(ISERROR(VLOOKUP(C32,TD!$4:$65536,5,0)),0,VLOOKUP(C32,TD!$4:$65536,5,0))</f>
        <v>0</v>
      </c>
      <c r="I32" s="234">
        <f t="shared" si="16"/>
        <v>0</v>
      </c>
      <c r="J32" s="75">
        <f t="shared" si="13"/>
        <v>0</v>
      </c>
      <c r="K32" s="234">
        <f t="shared" si="14"/>
        <v>0</v>
      </c>
      <c r="L32" s="234">
        <f>IF(ISERROR(VLOOKUP(C32,TD!$4:$65536,6,0)),0,VLOOKUP(C32,TD!$4:$65536,6,0))</f>
        <v>0</v>
      </c>
      <c r="M32" s="234">
        <f>IF(ISERROR(VLOOKUP(C32,TD!$4:$65536,7,0)),0,VLOOKUP(C32,TD!$4:$65536,7,0))</f>
        <v>0</v>
      </c>
      <c r="N32" s="183"/>
      <c r="O32" s="183" t="str">
        <f>IF(ISERROR(VLOOKUP(N32,POA!$A$2:$C$16,3,0)),"",VLOOKUP(N32,POA!$A$2:$C$16,3,0))</f>
        <v/>
      </c>
      <c r="P32" s="77"/>
      <c r="Q32" s="77" t="str">
        <f>IF(ISERROR(VLOOKUP(P32,POA!$A$2:$F$16,4,0)),"",VLOOKUP(P32,POA!$A$2:$F$16,4,0))</f>
        <v/>
      </c>
      <c r="R32" s="79" t="str">
        <f>IF(ISERROR(VLOOKUP(N32,POA!$A$2:$C$16,2,0)),"",VLOOKUP(N32,POA!$A$2:$C$16,2,0))</f>
        <v/>
      </c>
      <c r="S32" s="84"/>
      <c r="T32" s="83" t="str">
        <f>IF(OR(S23=0,N32="",R32=""),"",IF(S23&gt;=(0.4*R32),"HABIL","NO HABIL"))</f>
        <v/>
      </c>
      <c r="U32" s="84"/>
      <c r="V32" s="83" t="str">
        <f>IF(OR(U23=0,N32="",R32=""),"",IF(U23&gt;=(0.5*R32),"HABIL","NO HABIL"))</f>
        <v/>
      </c>
      <c r="W32" s="84"/>
      <c r="X32" s="83" t="str">
        <f>IF(OR(W23=0,N32="",R32=""),"",IF(W23&gt;=$X$9,"HABIL","NO HABIL"))</f>
        <v/>
      </c>
      <c r="Y32" s="124"/>
      <c r="Z32" s="83" t="str">
        <f>IF(OR(Y23=0,N32="",R32=""),"",IF(Y23&lt;=$Z$9,"HABIL","NO HABIL"))</f>
        <v/>
      </c>
      <c r="AA32" s="77">
        <v>0</v>
      </c>
      <c r="AB32" s="77"/>
      <c r="AC32" s="83" t="str">
        <f>IF(OR(AB23=0,N32="",R32=""),"",IF(AB23&gt;=$AC$9,"HABIL","NO HABIL"))</f>
        <v/>
      </c>
      <c r="AD32" s="83" t="str">
        <f t="shared" si="10"/>
        <v/>
      </c>
      <c r="AE32" s="126">
        <f t="shared" si="15"/>
        <v>0</v>
      </c>
      <c r="AF32" s="118" t="str">
        <f t="shared" si="17"/>
        <v>MIPYME</v>
      </c>
      <c r="AG32" s="136"/>
      <c r="AH32" s="83" t="str">
        <f>IF(OR(AG23=0,N32="",R32=""),"",IF(AG23&gt;=$AH$9,"HABIL","NO HABIL"))</f>
        <v/>
      </c>
      <c r="AI32" s="136"/>
      <c r="AJ32" s="83" t="str">
        <f>IF(OR(AI23=0,N32="",R32=""),"",IF(AI23&gt;=$AJ$9,"HABIL","NO HABIL"))</f>
        <v/>
      </c>
      <c r="AK32" s="130" t="str">
        <f t="shared" si="18"/>
        <v/>
      </c>
    </row>
    <row r="33" spans="2:37" ht="18" hidden="1" customHeight="1" thickBot="1" x14ac:dyDescent="0.3">
      <c r="B33" s="93" t="str">
        <f>IF(C33="","",B32+0.1)</f>
        <v/>
      </c>
      <c r="C33" s="109"/>
      <c r="D33" s="109"/>
      <c r="E33" s="78">
        <f>IF(ISERROR(VLOOKUP(C33,TD!$4:$65536,2,0)),0,VLOOKUP(C33,TD!$4:$65536,2,0))</f>
        <v>0</v>
      </c>
      <c r="F33" s="78">
        <f>IF(ISERROR(VLOOKUP(C33,TD!$4:$65536,3,0)),0,VLOOKUP(C33,TD!$4:$65536,3,0))</f>
        <v>0</v>
      </c>
      <c r="G33" s="78">
        <f>IF(ISERROR(VLOOKUP(C33,TD!$4:$65536,4,0)),0,VLOOKUP(C33,TD!$4:$65536,4,0))</f>
        <v>0</v>
      </c>
      <c r="H33" s="78">
        <f>IF(ISERROR(VLOOKUP(C33,TD!$4:$65536,5,0)),0,VLOOKUP(C33,TD!$4:$65536,5,0))</f>
        <v>0</v>
      </c>
      <c r="I33" s="78">
        <f t="shared" si="16"/>
        <v>0</v>
      </c>
      <c r="J33" s="78">
        <f t="shared" si="13"/>
        <v>0</v>
      </c>
      <c r="K33" s="78">
        <f t="shared" si="14"/>
        <v>0</v>
      </c>
      <c r="L33" s="78">
        <f>IF(ISERROR(VLOOKUP(C33,TD!$4:$65536,6,0)),0,VLOOKUP(C33,TD!$4:$65536,6,0))</f>
        <v>0</v>
      </c>
      <c r="M33" s="78">
        <f>IF(ISERROR(VLOOKUP(C33,TD!$4:$65536,7,0)),0,VLOOKUP(C33,TD!$4:$65536,7,0))</f>
        <v>0</v>
      </c>
      <c r="N33" s="184"/>
      <c r="O33" s="184" t="str">
        <f>IF(ISERROR(VLOOKUP(N33,POA!$A$2:$C$16,3,0)),"",VLOOKUP(N33,POA!$A$2:$C$16,3,0))</f>
        <v/>
      </c>
      <c r="P33" s="89"/>
      <c r="Q33" s="89" t="str">
        <f>IF(ISERROR(VLOOKUP(P33,POA!$A$2:$F$16,4,0)),"",VLOOKUP(P33,POA!$A$2:$F$16,4,0))</f>
        <v/>
      </c>
      <c r="R33" s="82" t="str">
        <f>IF(ISERROR(VLOOKUP(N33,POA!$A$2:$C$16,2,0)),"",VLOOKUP(N33,POA!$A$2:$C$16,2,0))</f>
        <v/>
      </c>
      <c r="S33" s="91"/>
      <c r="T33" s="90" t="str">
        <f>IF(OR(S23=0,N33="",R33=""),"",IF(S23&gt;=(0.4*R33),"HABIL","NO HABIL"))</f>
        <v/>
      </c>
      <c r="U33" s="91"/>
      <c r="V33" s="90" t="str">
        <f>IF(OR(U23=0,N33="",R33=""),"",IF(U23&gt;=(0.5*R33),"HABIL","NO HABIL"))</f>
        <v/>
      </c>
      <c r="W33" s="91"/>
      <c r="X33" s="90" t="str">
        <f>IF(OR(W23=0,N33="",R33=""),"",IF(W23&gt;=$X$9,"HABIL","NO HABIL"))</f>
        <v/>
      </c>
      <c r="Y33" s="125"/>
      <c r="Z33" s="90" t="str">
        <f>IF(OR(Y23=0,N33="",R33=""),"",IF(Y23&lt;=$Z$9,"HABIL","NO HABIL"))</f>
        <v/>
      </c>
      <c r="AA33" s="89">
        <v>0</v>
      </c>
      <c r="AB33" s="89"/>
      <c r="AC33" s="90" t="str">
        <f>IF(OR(AB23=0,N33="",R33=""),"",IF(AB23&gt;=$AC$9,"HABIL","NO HABIL"))</f>
        <v/>
      </c>
      <c r="AD33" s="90" t="str">
        <f t="shared" si="10"/>
        <v/>
      </c>
      <c r="AE33" s="128">
        <f t="shared" si="15"/>
        <v>0</v>
      </c>
      <c r="AF33" s="119" t="str">
        <f t="shared" si="17"/>
        <v>MIPYME</v>
      </c>
      <c r="AG33" s="137"/>
      <c r="AH33" s="90" t="str">
        <f>IF(OR(AG23=0,N33="",R33=""),"",IF(AG23&gt;=$AH$9,"HABIL","NO HABIL"))</f>
        <v/>
      </c>
      <c r="AI33" s="137"/>
      <c r="AJ33" s="90" t="str">
        <f>IF(OR(AI23=0,N33="",R33=""),"",IF(AI23&gt;=$AJ$9,"HABIL","NO HABIL"))</f>
        <v/>
      </c>
      <c r="AK33" s="131" t="str">
        <f t="shared" si="18"/>
        <v/>
      </c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
&amp;D</oddFooter>
      </headerFooter>
    </customSheetView>
  </customSheetViews>
  <mergeCells count="40">
    <mergeCell ref="B1:AD1"/>
    <mergeCell ref="B4:AK4"/>
    <mergeCell ref="B3:AK3"/>
    <mergeCell ref="B2:AK2"/>
    <mergeCell ref="R8:R10"/>
    <mergeCell ref="O8:O10"/>
    <mergeCell ref="Q8:Q10"/>
    <mergeCell ref="N8:N10"/>
    <mergeCell ref="C8:C10"/>
    <mergeCell ref="J8:J10"/>
    <mergeCell ref="E8:E10"/>
    <mergeCell ref="B7:D7"/>
    <mergeCell ref="W7:X7"/>
    <mergeCell ref="Y7:Z7"/>
    <mergeCell ref="E7:J7"/>
    <mergeCell ref="B5:AK5"/>
    <mergeCell ref="B8:B10"/>
    <mergeCell ref="P8:P10"/>
    <mergeCell ref="AD8:AD10"/>
    <mergeCell ref="W8:X8"/>
    <mergeCell ref="Y8:Z8"/>
    <mergeCell ref="G8:G10"/>
    <mergeCell ref="AA8:AA10"/>
    <mergeCell ref="D8:D10"/>
    <mergeCell ref="F8:F10"/>
    <mergeCell ref="H8:H10"/>
    <mergeCell ref="I8:I10"/>
    <mergeCell ref="K8:K10"/>
    <mergeCell ref="AK8:AK10"/>
    <mergeCell ref="AB7:AC7"/>
    <mergeCell ref="AB8:AC8"/>
    <mergeCell ref="AG7:AH7"/>
    <mergeCell ref="AG8:AH8"/>
    <mergeCell ref="AE7:AF7"/>
    <mergeCell ref="S7:T7"/>
    <mergeCell ref="S8:T8"/>
    <mergeCell ref="U7:V7"/>
    <mergeCell ref="U8:V8"/>
    <mergeCell ref="AI7:AJ7"/>
    <mergeCell ref="AI8:AJ8"/>
  </mergeCells>
  <phoneticPr fontId="0" type="noConversion"/>
  <conditionalFormatting sqref="AD7:AD10 AE11 AE7:AE9 AF8:AF9 AE10:AF10 AE12:AF22 AK7:AK11 AG11:AJ11 AA12:AC22 AL1:JA11 AE1:AK1 J15:K22 W12:W22 C12:C22 N12:R22">
    <cfRule type="cellIs" dxfId="147" priority="7920" stopIfTrue="1" operator="equal">
      <formula>"NO ADMISIBLE"</formula>
    </cfRule>
  </conditionalFormatting>
  <conditionalFormatting sqref="AB12 AD12:AD22 X12:Z22">
    <cfRule type="cellIs" dxfId="146" priority="7921" stopIfTrue="1" operator="equal">
      <formula>"NO ADMISIBLE"</formula>
    </cfRule>
    <cfRule type="cellIs" dxfId="145" priority="7922" stopIfTrue="1" operator="equal">
      <formula>"ADMISIBLE"</formula>
    </cfRule>
  </conditionalFormatting>
  <conditionalFormatting sqref="AC12:AC22">
    <cfRule type="cellIs" dxfId="144" priority="6789" stopIfTrue="1" operator="equal">
      <formula>"NO ADMISIBLE"</formula>
    </cfRule>
    <cfRule type="cellIs" dxfId="143" priority="6790" stopIfTrue="1" operator="equal">
      <formula>"ADMISIBLE"</formula>
    </cfRule>
  </conditionalFormatting>
  <conditionalFormatting sqref="AG12:AH22">
    <cfRule type="cellIs" dxfId="142" priority="6788" stopIfTrue="1" operator="equal">
      <formula>"NO ADMISIBLE"</formula>
    </cfRule>
  </conditionalFormatting>
  <conditionalFormatting sqref="AG12">
    <cfRule type="cellIs" dxfId="141" priority="6786" stopIfTrue="1" operator="equal">
      <formula>"NO ADMISIBLE"</formula>
    </cfRule>
    <cfRule type="cellIs" dxfId="140" priority="6787" stopIfTrue="1" operator="equal">
      <formula>"ADMISIBLE"</formula>
    </cfRule>
  </conditionalFormatting>
  <conditionalFormatting sqref="AH12:AH22">
    <cfRule type="cellIs" dxfId="139" priority="6784" stopIfTrue="1" operator="equal">
      <formula>"NO ADMISIBLE"</formula>
    </cfRule>
    <cfRule type="cellIs" dxfId="138" priority="6785" stopIfTrue="1" operator="equal">
      <formula>"ADMISIBLE"</formula>
    </cfRule>
  </conditionalFormatting>
  <conditionalFormatting sqref="AI12:AJ22">
    <cfRule type="cellIs" dxfId="137" priority="6783" stopIfTrue="1" operator="equal">
      <formula>"NO ADMISIBLE"</formula>
    </cfRule>
  </conditionalFormatting>
  <conditionalFormatting sqref="AI12">
    <cfRule type="cellIs" dxfId="136" priority="6781" stopIfTrue="1" operator="equal">
      <formula>"NO ADMISIBLE"</formula>
    </cfRule>
    <cfRule type="cellIs" dxfId="135" priority="6782" stopIfTrue="1" operator="equal">
      <formula>"ADMISIBLE"</formula>
    </cfRule>
  </conditionalFormatting>
  <conditionalFormatting sqref="AJ12:AJ22">
    <cfRule type="cellIs" dxfId="134" priority="6779" stopIfTrue="1" operator="equal">
      <formula>"NO ADMISIBLE"</formula>
    </cfRule>
    <cfRule type="cellIs" dxfId="133" priority="6780" stopIfTrue="1" operator="equal">
      <formula>"ADMISIBLE"</formula>
    </cfRule>
  </conditionalFormatting>
  <conditionalFormatting sqref="AK12:AK22">
    <cfRule type="cellIs" dxfId="132" priority="6777" stopIfTrue="1" operator="equal">
      <formula>"NO ADMISIBLE"</formula>
    </cfRule>
    <cfRule type="cellIs" dxfId="131" priority="6778" stopIfTrue="1" operator="equal">
      <formula>"ADMISIBLE"</formula>
    </cfRule>
  </conditionalFormatting>
  <conditionalFormatting sqref="S12:S22">
    <cfRule type="cellIs" dxfId="130" priority="6774" stopIfTrue="1" operator="equal">
      <formula>"NO ADMISIBLE"</formula>
    </cfRule>
  </conditionalFormatting>
  <conditionalFormatting sqref="T12:T22">
    <cfRule type="cellIs" dxfId="129" priority="6775" stopIfTrue="1" operator="equal">
      <formula>"NO ADMISIBLE"</formula>
    </cfRule>
    <cfRule type="cellIs" dxfId="128" priority="6776" stopIfTrue="1" operator="equal">
      <formula>"ADMISIBLE"</formula>
    </cfRule>
  </conditionalFormatting>
  <conditionalFormatting sqref="U12:U22">
    <cfRule type="cellIs" dxfId="127" priority="6771" stopIfTrue="1" operator="equal">
      <formula>"NO ADMISIBLE"</formula>
    </cfRule>
  </conditionalFormatting>
  <conditionalFormatting sqref="V12:V22">
    <cfRule type="cellIs" dxfId="126" priority="6772" stopIfTrue="1" operator="equal">
      <formula>"NO ADMISIBLE"</formula>
    </cfRule>
    <cfRule type="cellIs" dxfId="125" priority="6773" stopIfTrue="1" operator="equal">
      <formula>"ADMISIBLE"</formula>
    </cfRule>
  </conditionalFormatting>
  <conditionalFormatting sqref="D12:D22">
    <cfRule type="cellIs" dxfId="124" priority="4929" stopIfTrue="1" operator="equal">
      <formula>"NO ADMISIBLE"</formula>
    </cfRule>
  </conditionalFormatting>
  <conditionalFormatting sqref="J13:K14">
    <cfRule type="cellIs" dxfId="123" priority="26" stopIfTrue="1" operator="equal">
      <formula>"NO ADMISIBLE"</formula>
    </cfRule>
  </conditionalFormatting>
  <conditionalFormatting sqref="AE23:AF33 AA23:AC33 J26:K33 W23:W33 C23:C33 N23:R33">
    <cfRule type="cellIs" dxfId="122" priority="23" stopIfTrue="1" operator="equal">
      <formula>"NO ADMISIBLE"</formula>
    </cfRule>
  </conditionalFormatting>
  <conditionalFormatting sqref="AB23 AD23:AD33 X23:Z33">
    <cfRule type="cellIs" dxfId="121" priority="24" stopIfTrue="1" operator="equal">
      <formula>"NO ADMISIBLE"</formula>
    </cfRule>
    <cfRule type="cellIs" dxfId="120" priority="25" stopIfTrue="1" operator="equal">
      <formula>"ADMISIBLE"</formula>
    </cfRule>
  </conditionalFormatting>
  <conditionalFormatting sqref="AC23:AC33">
    <cfRule type="cellIs" dxfId="119" priority="21" stopIfTrue="1" operator="equal">
      <formula>"NO ADMISIBLE"</formula>
    </cfRule>
    <cfRule type="cellIs" dxfId="118" priority="22" stopIfTrue="1" operator="equal">
      <formula>"ADMISIBLE"</formula>
    </cfRule>
  </conditionalFormatting>
  <conditionalFormatting sqref="AG23:AH33">
    <cfRule type="cellIs" dxfId="117" priority="20" stopIfTrue="1" operator="equal">
      <formula>"NO ADMISIBLE"</formula>
    </cfRule>
  </conditionalFormatting>
  <conditionalFormatting sqref="AG23">
    <cfRule type="cellIs" dxfId="116" priority="18" stopIfTrue="1" operator="equal">
      <formula>"NO ADMISIBLE"</formula>
    </cfRule>
    <cfRule type="cellIs" dxfId="115" priority="19" stopIfTrue="1" operator="equal">
      <formula>"ADMISIBLE"</formula>
    </cfRule>
  </conditionalFormatting>
  <conditionalFormatting sqref="AH23:AH33">
    <cfRule type="cellIs" dxfId="114" priority="16" stopIfTrue="1" operator="equal">
      <formula>"NO ADMISIBLE"</formula>
    </cfRule>
    <cfRule type="cellIs" dxfId="113" priority="17" stopIfTrue="1" operator="equal">
      <formula>"ADMISIBLE"</formula>
    </cfRule>
  </conditionalFormatting>
  <conditionalFormatting sqref="AI23:AJ33">
    <cfRule type="cellIs" dxfId="112" priority="15" stopIfTrue="1" operator="equal">
      <formula>"NO ADMISIBLE"</formula>
    </cfRule>
  </conditionalFormatting>
  <conditionalFormatting sqref="AI23">
    <cfRule type="cellIs" dxfId="111" priority="13" stopIfTrue="1" operator="equal">
      <formula>"NO ADMISIBLE"</formula>
    </cfRule>
    <cfRule type="cellIs" dxfId="110" priority="14" stopIfTrue="1" operator="equal">
      <formula>"ADMISIBLE"</formula>
    </cfRule>
  </conditionalFormatting>
  <conditionalFormatting sqref="AJ23:AJ33">
    <cfRule type="cellIs" dxfId="109" priority="11" stopIfTrue="1" operator="equal">
      <formula>"NO ADMISIBLE"</formula>
    </cfRule>
    <cfRule type="cellIs" dxfId="108" priority="12" stopIfTrue="1" operator="equal">
      <formula>"ADMISIBLE"</formula>
    </cfRule>
  </conditionalFormatting>
  <conditionalFormatting sqref="AK23:AK33">
    <cfRule type="cellIs" dxfId="107" priority="9" stopIfTrue="1" operator="equal">
      <formula>"NO ADMISIBLE"</formula>
    </cfRule>
    <cfRule type="cellIs" dxfId="106" priority="10" stopIfTrue="1" operator="equal">
      <formula>"ADMISIBLE"</formula>
    </cfRule>
  </conditionalFormatting>
  <conditionalFormatting sqref="S23:S33">
    <cfRule type="cellIs" dxfId="105" priority="6" stopIfTrue="1" operator="equal">
      <formula>"NO ADMISIBLE"</formula>
    </cfRule>
  </conditionalFormatting>
  <conditionalFormatting sqref="T23:T33">
    <cfRule type="cellIs" dxfId="104" priority="7" stopIfTrue="1" operator="equal">
      <formula>"NO ADMISIBLE"</formula>
    </cfRule>
    <cfRule type="cellIs" dxfId="103" priority="8" stopIfTrue="1" operator="equal">
      <formula>"ADMISIBLE"</formula>
    </cfRule>
  </conditionalFormatting>
  <conditionalFormatting sqref="U23:U33">
    <cfRule type="cellIs" dxfId="102" priority="3" stopIfTrue="1" operator="equal">
      <formula>"NO ADMISIBLE"</formula>
    </cfRule>
  </conditionalFormatting>
  <conditionalFormatting sqref="V23:V33">
    <cfRule type="cellIs" dxfId="101" priority="4" stopIfTrue="1" operator="equal">
      <formula>"NO ADMISIBLE"</formula>
    </cfRule>
    <cfRule type="cellIs" dxfId="100" priority="5" stopIfTrue="1" operator="equal">
      <formula>"ADMISIBLE"</formula>
    </cfRule>
  </conditionalFormatting>
  <conditionalFormatting sqref="D23:D33">
    <cfRule type="cellIs" dxfId="99" priority="2" stopIfTrue="1" operator="equal">
      <formula>"NO ADMISIBLE"</formula>
    </cfRule>
  </conditionalFormatting>
  <conditionalFormatting sqref="J24:K25">
    <cfRule type="cellIs" dxfId="98" priority="1" stopIfTrue="1" operator="equal">
      <formula>"NO ADMISIBLE"</formula>
    </cfRule>
  </conditionalFormatting>
  <dataValidations count="1">
    <dataValidation type="list" allowBlank="1" showInputMessage="1" showErrorMessage="1" sqref="C12:D33" xr:uid="{00000000-0002-0000-0500-000000000000}">
      <formula1>prueba</formula1>
    </dataValidation>
  </dataValidations>
  <printOptions horizontalCentered="1" verticalCentered="1"/>
  <pageMargins left="0.19685039370078741" right="0.15748031496062992" top="0.55118110236220474" bottom="0.43307086614173229" header="0" footer="0"/>
  <pageSetup paperSize="14" scale="25" orientation="landscape" r:id="rId2"/>
  <headerFooter alignWithMargins="0">
    <oddFooter>&amp;RElaboro: MN
&amp;D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8" r:id="rId5" name="Button 34">
              <controlPr defaultSize="0" print="0" autoFill="0" autoPict="0" macro="[0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11"/>
  <dimension ref="A2:O30"/>
  <sheetViews>
    <sheetView workbookViewId="0">
      <selection activeCell="D21" sqref="D21"/>
    </sheetView>
  </sheetViews>
  <sheetFormatPr baseColWidth="10" defaultRowHeight="12.75" x14ac:dyDescent="0.2"/>
  <cols>
    <col min="1" max="1" width="11.42578125" style="163" customWidth="1"/>
    <col min="2" max="2" width="11.28515625" style="163" customWidth="1"/>
    <col min="3" max="3" width="3.85546875" style="163" customWidth="1"/>
    <col min="4" max="4" width="29.42578125" style="163" customWidth="1"/>
    <col min="5" max="5" width="15" style="163" customWidth="1"/>
    <col min="6" max="6" width="22.28515625" style="163" customWidth="1"/>
    <col min="7" max="8" width="17" style="163" customWidth="1"/>
    <col min="9" max="9" width="13.85546875" style="151" customWidth="1"/>
    <col min="10" max="10" width="36.140625" style="151" customWidth="1"/>
    <col min="11" max="11" width="32.28515625" style="163" customWidth="1"/>
    <col min="12" max="12" width="13.85546875" style="175" customWidth="1"/>
    <col min="13" max="13" width="9.7109375" style="176" customWidth="1"/>
    <col min="14" max="14" width="12.5703125" style="163" customWidth="1"/>
    <col min="15" max="15" width="12.7109375" style="163" customWidth="1"/>
    <col min="16" max="16384" width="11.42578125" style="163"/>
  </cols>
  <sheetData>
    <row r="2" spans="1:15" s="165" customFormat="1" ht="20.25" customHeight="1" x14ac:dyDescent="0.2">
      <c r="C2" s="400" t="s">
        <v>265</v>
      </c>
      <c r="D2" s="400"/>
      <c r="E2" s="400"/>
      <c r="F2" s="400"/>
      <c r="G2" s="400"/>
      <c r="H2" s="400"/>
      <c r="I2" s="400"/>
      <c r="J2" s="400"/>
      <c r="L2" s="166"/>
      <c r="M2" s="167"/>
    </row>
    <row r="3" spans="1:15" s="165" customFormat="1" ht="18" customHeight="1" x14ac:dyDescent="0.2">
      <c r="C3" s="401" t="s">
        <v>279</v>
      </c>
      <c r="D3" s="401"/>
      <c r="E3" s="401"/>
      <c r="F3" s="401"/>
      <c r="G3" s="401"/>
      <c r="H3" s="401"/>
      <c r="I3" s="401"/>
      <c r="J3" s="401"/>
      <c r="L3" s="166"/>
      <c r="M3" s="167"/>
    </row>
    <row r="4" spans="1:15" s="165" customFormat="1" ht="13.5" customHeight="1" x14ac:dyDescent="0.2">
      <c r="C4" s="402" t="str">
        <f>'Capacidad Financiera'!B4</f>
        <v>DIRECCIÓN TERRITORIAL SUCRE</v>
      </c>
      <c r="D4" s="402"/>
      <c r="E4" s="402"/>
      <c r="F4" s="402"/>
      <c r="G4" s="402"/>
      <c r="H4" s="402"/>
      <c r="I4" s="402"/>
      <c r="J4" s="402"/>
      <c r="L4" s="166"/>
      <c r="M4" s="167"/>
    </row>
    <row r="5" spans="1:15" s="165" customFormat="1" ht="13.5" customHeight="1" x14ac:dyDescent="0.2">
      <c r="C5" s="402" t="s">
        <v>281</v>
      </c>
      <c r="D5" s="402"/>
      <c r="E5" s="402"/>
      <c r="F5" s="402"/>
      <c r="G5" s="402"/>
      <c r="H5" s="402"/>
      <c r="I5" s="402"/>
      <c r="J5" s="402"/>
      <c r="L5" s="166"/>
      <c r="M5" s="167"/>
    </row>
    <row r="6" spans="1:15" s="165" customFormat="1" ht="14.25" thickBot="1" x14ac:dyDescent="0.25">
      <c r="C6" s="168"/>
      <c r="D6" s="169"/>
      <c r="E6" s="170"/>
      <c r="F6" s="170"/>
      <c r="G6" s="170"/>
      <c r="H6" s="171"/>
      <c r="I6" s="173"/>
      <c r="J6" s="173"/>
      <c r="L6" s="166"/>
      <c r="M6" s="167"/>
    </row>
    <row r="7" spans="1:15" ht="69" customHeight="1" x14ac:dyDescent="0.2">
      <c r="C7" s="403" t="s">
        <v>164</v>
      </c>
      <c r="D7" s="405" t="s">
        <v>163</v>
      </c>
      <c r="E7" s="407" t="s">
        <v>282</v>
      </c>
      <c r="F7" s="407" t="s">
        <v>299</v>
      </c>
      <c r="G7" s="407" t="s">
        <v>300</v>
      </c>
      <c r="H7" s="407" t="s">
        <v>301</v>
      </c>
      <c r="I7" s="398" t="s">
        <v>281</v>
      </c>
      <c r="J7" s="399"/>
    </row>
    <row r="8" spans="1:15" ht="73.5" customHeight="1" thickBot="1" x14ac:dyDescent="0.25">
      <c r="C8" s="404"/>
      <c r="D8" s="406"/>
      <c r="E8" s="408"/>
      <c r="F8" s="408"/>
      <c r="G8" s="408"/>
      <c r="H8" s="408"/>
      <c r="I8" s="214" t="s">
        <v>283</v>
      </c>
      <c r="J8" s="215" t="s">
        <v>284</v>
      </c>
    </row>
    <row r="9" spans="1:15" ht="26.25" thickBot="1" x14ac:dyDescent="0.25">
      <c r="A9" s="198" t="s">
        <v>285</v>
      </c>
      <c r="C9" s="98">
        <f>+'Capacidad Financiera'!B12</f>
        <v>1</v>
      </c>
      <c r="D9" s="99" t="s">
        <v>630</v>
      </c>
      <c r="E9" s="100">
        <f>IF(ISERROR(VLOOKUP(C9,'Capacidad Financiera'!$B$12:$AD$59206,3,0)),"",VLOOKUP(C9,'Capacidad Financiera'!$B$12:$AD$59206,3,0))</f>
        <v>1</v>
      </c>
      <c r="F9" s="101"/>
      <c r="G9" s="101"/>
      <c r="H9" s="101" t="str">
        <f>IF(OR(D9="",E9="",F9=""),"",IF(C10="",IF(C9&lt;&gt;"",IF(ISERROR(VLOOKUP($A$10,POA!$A$2:$D$16,2,0)),"",VLOOKUP($A$10,POA!$A$2:$D$16,2,0)),""),""))</f>
        <v/>
      </c>
      <c r="I9" s="211" t="str">
        <f>IF(OR(D9="",E9="",F9=""),"",IF(C10="",IF(C9&lt;&gt;"",F9/H9,""),""))</f>
        <v/>
      </c>
      <c r="J9" s="207" t="str">
        <f>IF(C10="",IF(F9="","",IF(AND(I9&gt;0,I9&lt;=Experiencia1),Puntajes!$D$4,IF(AND(I9&gt;Experiencia1,I9&lt;=Experiencia2),Puntajes!$D$5,IF(AND(I9&gt;Experiencia2,I9&lt;=Experiencia3),Puntajes!$D$6,IF(I9&gt;Experiencia3,Puntajes!$D$7,0))))),"")</f>
        <v/>
      </c>
      <c r="L9" s="177"/>
      <c r="M9" s="178"/>
      <c r="N9" s="164"/>
      <c r="O9" s="179"/>
    </row>
    <row r="10" spans="1:15" ht="26.25" thickBot="1" x14ac:dyDescent="0.25">
      <c r="A10" s="210">
        <v>1</v>
      </c>
      <c r="C10" s="103">
        <f>+'Capacidad Financiera'!B13</f>
        <v>1.1000000000000001</v>
      </c>
      <c r="D10" s="143" t="str">
        <f>IF(ISERROR(VLOOKUP(C10,'Capacidad Financiera'!$B$12:$AD$59206,2,0)),"",VLOOKUP(C10,'Capacidad Financiera'!$B$12:$AD$59206,2,0))</f>
        <v>EMPRESA DE MANTENIMIENTO VIAL LA MOJANA S.A.S.</v>
      </c>
      <c r="E10" s="206">
        <f>IF(ISERROR(VLOOKUP(C10,'Capacidad Financiera'!$B$12:$AD$59206,3,0)),"",VLOOKUP(C10,'Capacidad Financiera'!$B$12:$AD$59206,3,0))</f>
        <v>1</v>
      </c>
      <c r="F10" s="186">
        <v>1123422165.5999999</v>
      </c>
      <c r="G10" s="186">
        <f t="shared" ref="G10:G19" si="0">IF(OR(D10="",E10="",F10=""),"",F10/SALACTUAL)</f>
        <v>1356.6</v>
      </c>
      <c r="H10" s="186">
        <f>IF(OR(D10="",E10="",F10=""),"",IF(C10&lt;&gt;"",IF(ISERROR(VLOOKUP($A$10,POA!$A$2:$D$16,2,0)),"",VLOOKUP($A$10,POA!$A$2:$D$16,2,0)/SALACTUAL),""))</f>
        <v>199.61578450362026</v>
      </c>
      <c r="I10" s="219">
        <f>IF(OR(D10="",E10="",G10=""),"",IF(C10&lt;&gt;"",G10/(H10*E10),""))</f>
        <v>6.7960557496664116</v>
      </c>
      <c r="J10" s="223">
        <f>IF(OR(D10="",E10="",F10=""),"",IF(AND(I10&gt;0,I10&lt;=Experiencia1),Puntajes!$D$4,IF(AND(I10&gt;Experiencia1,I10&lt;=Experiencia2),Puntajes!$D$5,IF(AND(I10&gt;Experiencia2,I10&lt;=Experiencia3),Puntajes!$D$6,IF(I10&gt;Experiencia3,Puntajes!$D$7,0)))))</f>
        <v>100</v>
      </c>
    </row>
    <row r="11" spans="1:15" hidden="1" x14ac:dyDescent="0.2">
      <c r="C11" s="103" t="str">
        <f>+'Capacidad Financiera'!B14</f>
        <v/>
      </c>
      <c r="D11" s="143">
        <f>IF(ISERROR(VLOOKUP(C11,'Capacidad Financiera'!$B$12:$AD$59206,2,0)),"",VLOOKUP(C11,'Capacidad Financiera'!$B$12:$AD$59206,2,0))</f>
        <v>0</v>
      </c>
      <c r="E11" s="206">
        <f>IF(ISERROR(VLOOKUP(C11,'Capacidad Financiera'!$B$12:$AD$59206,3,0)),"",VLOOKUP(C11,'Capacidad Financiera'!$B$12:$AD$59206,3,0))</f>
        <v>0</v>
      </c>
      <c r="F11" s="186"/>
      <c r="G11" s="186" t="str">
        <f t="shared" si="0"/>
        <v/>
      </c>
      <c r="H11" s="186" t="str">
        <f>IF(OR(D11="",E11="",F11=""),"",IF(C11&lt;&gt;"",IF(ISERROR(VLOOKUP($A$10,POA!$A$2:$D$16,2,0)),"",VLOOKUP($A$10,POA!$A$2:$D$16,2,0)/SALACTUAL),""))</f>
        <v/>
      </c>
      <c r="I11" s="219" t="str">
        <f t="shared" ref="I11:I19" si="1">IF(OR(D11="",E11="",G11=""),"",IF(C11&lt;&gt;"",G11/(H11*E11),""))</f>
        <v/>
      </c>
      <c r="J11" s="223" t="str">
        <f>IF(OR(D11="",E11="",F11=""),"",IF(AND(I11&gt;0,I11&lt;=Experiencia1),Puntajes!$D$4,IF(AND(I11&gt;Experiencia1,I11&lt;=Experiencia2),Puntajes!$D$5,IF(AND(I11&gt;Experiencia2,I11&lt;=Experiencia3),Puntajes!$D$6,IF(I11&gt;Experiencia3,Puntajes!$D$7,0)))))</f>
        <v/>
      </c>
    </row>
    <row r="12" spans="1:15" hidden="1" x14ac:dyDescent="0.2">
      <c r="C12" s="103" t="str">
        <f>+'Capacidad Financiera'!B15</f>
        <v/>
      </c>
      <c r="D12" s="143">
        <f>IF(ISERROR(VLOOKUP(C12,'Capacidad Financiera'!$B$12:$AD$59206,2,0)),"",VLOOKUP(C12,'Capacidad Financiera'!$B$12:$AD$59206,2,0))</f>
        <v>0</v>
      </c>
      <c r="E12" s="206">
        <f>IF(ISERROR(VLOOKUP(C12,'Capacidad Financiera'!$B$12:$AD$59206,3,0)),"",VLOOKUP(C12,'Capacidad Financiera'!$B$12:$AD$59206,3,0))</f>
        <v>0</v>
      </c>
      <c r="F12" s="186"/>
      <c r="G12" s="186" t="str">
        <f t="shared" si="0"/>
        <v/>
      </c>
      <c r="H12" s="186" t="str">
        <f>IF(OR(D12="",E12="",F12=""),"",IF(C12&lt;&gt;"",IF(ISERROR(VLOOKUP($A$10,POA!$A$2:$D$16,2,0)),"",VLOOKUP($A$10,POA!$A$2:$D$16,2,0)/SALACTUAL),""))</f>
        <v/>
      </c>
      <c r="I12" s="219" t="str">
        <f t="shared" si="1"/>
        <v/>
      </c>
      <c r="J12" s="223" t="str">
        <f>IF(OR(D12="",E12="",F12=""),"",IF(AND(I12&gt;0,I12&lt;=Experiencia1),Puntajes!$D$4,IF(AND(I12&gt;Experiencia1,I12&lt;=Experiencia2),Puntajes!$D$5,IF(AND(I12&gt;Experiencia2,I12&lt;=Experiencia3),Puntajes!$D$6,IF(I12&gt;Experiencia3,Puntajes!$D$7,0)))))</f>
        <v/>
      </c>
    </row>
    <row r="13" spans="1:15" hidden="1" x14ac:dyDescent="0.2">
      <c r="C13" s="103" t="str">
        <f>+'Capacidad Financiera'!B16</f>
        <v/>
      </c>
      <c r="D13" s="143">
        <f>IF(ISERROR(VLOOKUP(C13,'Capacidad Financiera'!$B$12:$AD$59206,2,0)),"",VLOOKUP(C13,'Capacidad Financiera'!$B$12:$AD$59206,2,0))</f>
        <v>0</v>
      </c>
      <c r="E13" s="206">
        <f>IF(ISERROR(VLOOKUP(C13,'Capacidad Financiera'!$B$12:$AD$59206,3,0)),"",VLOOKUP(C13,'Capacidad Financiera'!$B$12:$AD$59206,3,0))</f>
        <v>0</v>
      </c>
      <c r="F13" s="186"/>
      <c r="G13" s="186" t="str">
        <f t="shared" si="0"/>
        <v/>
      </c>
      <c r="H13" s="186" t="str">
        <f>IF(OR(D13="",E13="",F13=""),"",IF(C13&lt;&gt;"",IF(ISERROR(VLOOKUP($A$10,POA!$A$2:$D$16,2,0)),"",VLOOKUP($A$10,POA!$A$2:$D$16,2,0)/SALACTUAL),""))</f>
        <v/>
      </c>
      <c r="I13" s="219" t="str">
        <f t="shared" si="1"/>
        <v/>
      </c>
      <c r="J13" s="223" t="str">
        <f>IF(OR(D13="",E13="",F13=""),"",IF(AND(I13&gt;0,I13&lt;=Experiencia1),Puntajes!$D$4,IF(AND(I13&gt;Experiencia1,I13&lt;=Experiencia2),Puntajes!$D$5,IF(AND(I13&gt;Experiencia2,I13&lt;=Experiencia3),Puntajes!$D$6,IF(I13&gt;Experiencia3,Puntajes!$D$7,0)))))</f>
        <v/>
      </c>
    </row>
    <row r="14" spans="1:15" hidden="1" x14ac:dyDescent="0.2">
      <c r="C14" s="103" t="str">
        <f>+'Capacidad Financiera'!B17</f>
        <v/>
      </c>
      <c r="D14" s="143">
        <f>IF(ISERROR(VLOOKUP(C14,'Capacidad Financiera'!$B$12:$AD$59206,2,0)),"",VLOOKUP(C14,'Capacidad Financiera'!$B$12:$AD$59206,2,0))</f>
        <v>0</v>
      </c>
      <c r="E14" s="206">
        <f>IF(ISERROR(VLOOKUP(C14,'Capacidad Financiera'!$B$12:$AD$59206,3,0)),"",VLOOKUP(C14,'Capacidad Financiera'!$B$12:$AD$59206,3,0))</f>
        <v>0</v>
      </c>
      <c r="F14" s="186"/>
      <c r="G14" s="186" t="str">
        <f t="shared" si="0"/>
        <v/>
      </c>
      <c r="H14" s="186" t="str">
        <f>IF(OR(D14="",E14="",F14=""),"",IF(C14&lt;&gt;"",IF(ISERROR(VLOOKUP($A$10,POA!$A$2:$D$16,2,0)),"",VLOOKUP($A$10,POA!$A$2:$D$16,2,0)/SALACTUAL),""))</f>
        <v/>
      </c>
      <c r="I14" s="219" t="str">
        <f t="shared" si="1"/>
        <v/>
      </c>
      <c r="J14" s="223" t="str">
        <f>IF(OR(D14="",E14="",F14=""),"",IF(AND(I14&gt;0,I14&lt;=Experiencia1),Puntajes!$D$4,IF(AND(I14&gt;Experiencia1,I14&lt;=Experiencia2),Puntajes!$D$5,IF(AND(I14&gt;Experiencia2,I14&lt;=Experiencia3),Puntajes!$D$6,IF(I14&gt;Experiencia3,Puntajes!$D$7,0)))))</f>
        <v/>
      </c>
    </row>
    <row r="15" spans="1:15" hidden="1" x14ac:dyDescent="0.2">
      <c r="C15" s="103" t="str">
        <f>+'Capacidad Financiera'!B18</f>
        <v/>
      </c>
      <c r="D15" s="143">
        <f>IF(ISERROR(VLOOKUP(C15,'Capacidad Financiera'!$B$12:$AD$59206,2,0)),"",VLOOKUP(C15,'Capacidad Financiera'!$B$12:$AD$59206,2,0))</f>
        <v>0</v>
      </c>
      <c r="E15" s="206">
        <f>IF(ISERROR(VLOOKUP(C15,'Capacidad Financiera'!$B$12:$AD$59206,3,0)),"",VLOOKUP(C15,'Capacidad Financiera'!$B$12:$AD$59206,3,0))</f>
        <v>0</v>
      </c>
      <c r="F15" s="186"/>
      <c r="G15" s="186" t="str">
        <f t="shared" si="0"/>
        <v/>
      </c>
      <c r="H15" s="186" t="str">
        <f>IF(OR(D15="",E15="",F15=""),"",IF(C15&lt;&gt;"",IF(ISERROR(VLOOKUP($A$10,POA!$A$2:$D$16,2,0)),"",VLOOKUP($A$10,POA!$A$2:$D$16,2,0)/SALACTUAL),""))</f>
        <v/>
      </c>
      <c r="I15" s="219" t="str">
        <f t="shared" si="1"/>
        <v/>
      </c>
      <c r="J15" s="223" t="str">
        <f>IF(OR(D15="",E15="",F15=""),"",IF(AND(I15&gt;0,I15&lt;=Experiencia1),Puntajes!$D$4,IF(AND(I15&gt;Experiencia1,I15&lt;=Experiencia2),Puntajes!$D$5,IF(AND(I15&gt;Experiencia2,I15&lt;=Experiencia3),Puntajes!$D$6,IF(I15&gt;Experiencia3,Puntajes!$D$7,0)))))</f>
        <v/>
      </c>
    </row>
    <row r="16" spans="1:15" hidden="1" x14ac:dyDescent="0.2">
      <c r="C16" s="103" t="str">
        <f>+'Capacidad Financiera'!B19</f>
        <v/>
      </c>
      <c r="D16" s="143">
        <f>IF(ISERROR(VLOOKUP(C16,'Capacidad Financiera'!$B$12:$AD$59206,2,0)),"",VLOOKUP(C16,'Capacidad Financiera'!$B$12:$AD$59206,2,0))</f>
        <v>0</v>
      </c>
      <c r="E16" s="206">
        <f>IF(ISERROR(VLOOKUP(C16,'Capacidad Financiera'!$B$12:$AD$59206,3,0)),"",VLOOKUP(C16,'Capacidad Financiera'!$B$12:$AD$59206,3,0))</f>
        <v>0</v>
      </c>
      <c r="F16" s="186"/>
      <c r="G16" s="186" t="str">
        <f t="shared" si="0"/>
        <v/>
      </c>
      <c r="H16" s="186" t="str">
        <f>IF(OR(D16="",E16="",F16=""),"",IF(C16&lt;&gt;"",IF(ISERROR(VLOOKUP($A$10,POA!$A$2:$D$16,2,0)),"",VLOOKUP($A$10,POA!$A$2:$D$16,2,0)/SALACTUAL),""))</f>
        <v/>
      </c>
      <c r="I16" s="219" t="str">
        <f t="shared" si="1"/>
        <v/>
      </c>
      <c r="J16" s="223" t="str">
        <f>IF(OR(D16="",E16="",F16=""),"",IF(AND(I16&gt;0,I16&lt;=Experiencia1),Puntajes!$D$4,IF(AND(I16&gt;Experiencia1,I16&lt;=Experiencia2),Puntajes!$D$5,IF(AND(I16&gt;Experiencia2,I16&lt;=Experiencia3),Puntajes!$D$6,IF(I16&gt;Experiencia3,Puntajes!$D$7,0)))))</f>
        <v/>
      </c>
    </row>
    <row r="17" spans="3:10" hidden="1" x14ac:dyDescent="0.2">
      <c r="C17" s="103" t="str">
        <f>+'Capacidad Financiera'!B20</f>
        <v/>
      </c>
      <c r="D17" s="143">
        <f>IF(ISERROR(VLOOKUP(C17,'Capacidad Financiera'!$B$12:$AD$59206,2,0)),"",VLOOKUP(C17,'Capacidad Financiera'!$B$12:$AD$59206,2,0))</f>
        <v>0</v>
      </c>
      <c r="E17" s="206">
        <f>IF(ISERROR(VLOOKUP(C17,'Capacidad Financiera'!$B$12:$AD$59206,3,0)),"",VLOOKUP(C17,'Capacidad Financiera'!$B$12:$AD$59206,3,0))</f>
        <v>0</v>
      </c>
      <c r="F17" s="186"/>
      <c r="G17" s="186" t="str">
        <f t="shared" si="0"/>
        <v/>
      </c>
      <c r="H17" s="186" t="str">
        <f>IF(OR(D17="",E17="",F17=""),"",IF(C17&lt;&gt;"",IF(ISERROR(VLOOKUP($A$10,POA!$A$2:$D$16,2,0)),"",VLOOKUP($A$10,POA!$A$2:$D$16,2,0)/SALACTUAL),""))</f>
        <v/>
      </c>
      <c r="I17" s="219" t="str">
        <f t="shared" si="1"/>
        <v/>
      </c>
      <c r="J17" s="223" t="str">
        <f>IF(OR(D17="",E17="",F17=""),"",IF(AND(I17&gt;0,I17&lt;=Experiencia1),Puntajes!$D$4,IF(AND(I17&gt;Experiencia1,I17&lt;=Experiencia2),Puntajes!$D$5,IF(AND(I17&gt;Experiencia2,I17&lt;=Experiencia3),Puntajes!$D$6,IF(I17&gt;Experiencia3,Puntajes!$D$7,0)))))</f>
        <v/>
      </c>
    </row>
    <row r="18" spans="3:10" hidden="1" x14ac:dyDescent="0.2">
      <c r="C18" s="103" t="str">
        <f>+'Capacidad Financiera'!B21</f>
        <v/>
      </c>
      <c r="D18" s="143">
        <f>IF(ISERROR(VLOOKUP(C18,'Capacidad Financiera'!$B$12:$AD$59206,2,0)),"",VLOOKUP(C18,'Capacidad Financiera'!$B$12:$AD$59206,2,0))</f>
        <v>0</v>
      </c>
      <c r="E18" s="206">
        <f>IF(ISERROR(VLOOKUP(C18,'Capacidad Financiera'!$B$12:$AD$59206,3,0)),"",VLOOKUP(C18,'Capacidad Financiera'!$B$12:$AD$59206,3,0))</f>
        <v>0</v>
      </c>
      <c r="F18" s="186"/>
      <c r="G18" s="186" t="str">
        <f t="shared" si="0"/>
        <v/>
      </c>
      <c r="H18" s="186" t="str">
        <f>IF(OR(D18="",E18="",F18=""),"",IF(C18&lt;&gt;"",IF(ISERROR(VLOOKUP($A$10,POA!$A$2:$D$16,2,0)),"",VLOOKUP($A$10,POA!$A$2:$D$16,2,0)/SALACTUAL),""))</f>
        <v/>
      </c>
      <c r="I18" s="219" t="str">
        <f t="shared" si="1"/>
        <v/>
      </c>
      <c r="J18" s="223" t="str">
        <f>IF(OR(D18="",E18="",F18=""),"",IF(AND(I18&gt;0,I18&lt;=Experiencia1),Puntajes!$D$4,IF(AND(I18&gt;Experiencia1,I18&lt;=Experiencia2),Puntajes!$D$5,IF(AND(I18&gt;Experiencia2,I18&lt;=Experiencia3),Puntajes!$D$6,IF(I18&gt;Experiencia3,Puntajes!$D$7,0)))))</f>
        <v/>
      </c>
    </row>
    <row r="19" spans="3:10" ht="13.5" hidden="1" thickBot="1" x14ac:dyDescent="0.25">
      <c r="C19" s="104" t="str">
        <f>+'Capacidad Financiera'!B22</f>
        <v/>
      </c>
      <c r="D19" s="105">
        <f>IF(ISERROR(VLOOKUP(C19,'Capacidad Financiera'!$B$12:$AD$59206,2,0)),"",VLOOKUP(C19,'Capacidad Financiera'!$B$12:$AD$59206,2,0))</f>
        <v>0</v>
      </c>
      <c r="E19" s="106">
        <f>IF(ISERROR(VLOOKUP(C19,'Capacidad Financiera'!$B$12:$AD$59206,3,0)),"",VLOOKUP(C19,'Capacidad Financiera'!$B$12:$AD$59206,3,0))</f>
        <v>0</v>
      </c>
      <c r="F19" s="187"/>
      <c r="G19" s="187" t="str">
        <f t="shared" si="0"/>
        <v/>
      </c>
      <c r="H19" s="187" t="str">
        <f>IF(OR(D19="",E19="",F19=""),"",IF(C19&lt;&gt;"",IF(ISERROR(VLOOKUP($A$10,POA!$A$2:$D$16,2,0)),"",VLOOKUP($A$10,POA!$A$2:$D$16,2,0)/SALACTUAL),""))</f>
        <v/>
      </c>
      <c r="I19" s="220" t="str">
        <f t="shared" si="1"/>
        <v/>
      </c>
      <c r="J19" s="224" t="str">
        <f>IF(OR(D19="",E19="",F19=""),"",IF(AND(I19&gt;0,I19&lt;=Experiencia1),Puntajes!$D$4,IF(AND(I19&gt;Experiencia1,I19&lt;=Experiencia2),Puntajes!$D$5,IF(AND(I19&gt;Experiencia2,I19&lt;=Experiencia3),Puntajes!$D$6,IF(I19&gt;Experiencia3,Puntajes!$D$7,0)))))</f>
        <v/>
      </c>
    </row>
    <row r="20" spans="3:10" ht="25.5" x14ac:dyDescent="0.2">
      <c r="C20" s="98">
        <v>2</v>
      </c>
      <c r="D20" s="99" t="s">
        <v>632</v>
      </c>
      <c r="E20" s="100">
        <f>IF(ISERROR(VLOOKUP(C20,'Capacidad Financiera'!$B$12:$AD$59206,3,0)),"",VLOOKUP(C20,'Capacidad Financiera'!$B$12:$AD$59206,3,0))</f>
        <v>1</v>
      </c>
      <c r="F20" s="101"/>
      <c r="G20" s="101"/>
      <c r="H20" s="101" t="str">
        <f>IF(OR(D20="",E20="",F20=""),"",IF(C21="",IF(C20&lt;&gt;"",IF(ISERROR(VLOOKUP($A$10,POA!$A$2:$D$16,2,0)),"",VLOOKUP($A$10,POA!$A$2:$D$16,2,0)),""),""))</f>
        <v/>
      </c>
      <c r="I20" s="211" t="str">
        <f>IF(OR(D20="",E20="",F20=""),"",IF(C21="",IF(C20&lt;&gt;"",F20/H20,""),""))</f>
        <v/>
      </c>
      <c r="J20" s="207" t="str">
        <f>IF(C21="",IF(F20="","",IF(AND(I20&gt;0,I20&lt;=Experiencia1),Puntajes!$D$4,IF(AND(I20&gt;Experiencia1,I20&lt;=Experiencia2),Puntajes!$D$5,IF(AND(I20&gt;Experiencia2,I20&lt;=Experiencia3),Puntajes!$D$6,IF(I20&gt;Experiencia3,Puntajes!$D$7,0))))),"")</f>
        <v/>
      </c>
    </row>
    <row r="21" spans="3:10" ht="25.5" x14ac:dyDescent="0.2">
      <c r="C21" s="103">
        <f>+'Capacidad Financiera'!B24</f>
        <v>2.1</v>
      </c>
      <c r="D21" s="143" t="str">
        <f>IF(ISERROR(VLOOKUP(C21,'Capacidad Financiera'!$B$12:$AD$59206,2,0)),"",VLOOKUP(C21,'Capacidad Financiera'!$B$12:$AD$59206,2,0))</f>
        <v>EMPRESA DE TRABAJADORES DE SAN MARCOS ETASAMAR S.A.S.</v>
      </c>
      <c r="E21" s="206">
        <f>IF(ISERROR(VLOOKUP(C21,'Capacidad Financiera'!$B$12:$AD$59206,3,0)),"",VLOOKUP(C21,'Capacidad Financiera'!$B$12:$AD$59206,3,0))</f>
        <v>1</v>
      </c>
      <c r="F21" s="186">
        <v>958124498</v>
      </c>
      <c r="G21" s="186">
        <f t="shared" ref="G21:G30" si="2">IF(OR(D21="",E21="",F21=""),"",F21/SALACTUAL)</f>
        <v>1156.9931000004831</v>
      </c>
      <c r="H21" s="186">
        <f>IF(OR(D21="",E21="",F21=""),"",IF(C21&lt;&gt;"",IF(ISERROR(VLOOKUP($A$10,POA!$A$2:$D$16,2,0)),"",VLOOKUP($A$10,POA!$A$2:$D$16,2,0)/SALACTUAL),""))</f>
        <v>199.61578450362026</v>
      </c>
      <c r="I21" s="219">
        <f>IF(OR(D21="",E21="",G21=""),"",IF(C21&lt;&gt;"",G21/(H21*E21),""))</f>
        <v>5.7961002576902914</v>
      </c>
      <c r="J21" s="223">
        <f>IF(OR(D21="",E21="",F21=""),"",IF(AND(I21&gt;0,I21&lt;=Experiencia1),Puntajes!$D$4,IF(AND(I21&gt;Experiencia1,I21&lt;=Experiencia2),Puntajes!$D$5,IF(AND(I21&gt;Experiencia2,I21&lt;=Experiencia3),Puntajes!$D$6,IF(I21&gt;Experiencia3,Puntajes!$D$7,0)))))</f>
        <v>80</v>
      </c>
    </row>
    <row r="22" spans="3:10" ht="22.5" hidden="1" customHeight="1" x14ac:dyDescent="0.2">
      <c r="C22" s="103" t="str">
        <f>+'Capacidad Financiera'!B25</f>
        <v/>
      </c>
      <c r="D22" s="143">
        <f>IF(ISERROR(VLOOKUP(C22,'Capacidad Financiera'!$B$12:$AD$59206,2,0)),"",VLOOKUP(C22,'Capacidad Financiera'!$B$12:$AD$59206,2,0))</f>
        <v>0</v>
      </c>
      <c r="E22" s="206">
        <f>IF(ISERROR(VLOOKUP(C22,'Capacidad Financiera'!$B$12:$AD$59206,3,0)),"",VLOOKUP(C22,'Capacidad Financiera'!$B$12:$AD$59206,3,0))</f>
        <v>0</v>
      </c>
      <c r="F22" s="186"/>
      <c r="G22" s="186" t="str">
        <f t="shared" si="2"/>
        <v/>
      </c>
      <c r="H22" s="186" t="str">
        <f>IF(OR(D22="",E22="",F22=""),"",IF(C22&lt;&gt;"",IF(ISERROR(VLOOKUP($A$10,POA!$A$2:$D$16,2,0)),"",VLOOKUP($A$10,POA!$A$2:$D$16,2,0)/SALACTUAL),""))</f>
        <v/>
      </c>
      <c r="I22" s="219" t="str">
        <f t="shared" ref="I22:I30" si="3">IF(OR(D22="",E22="",G22=""),"",IF(C22&lt;&gt;"",G22/(H22*E22),""))</f>
        <v/>
      </c>
      <c r="J22" s="223" t="str">
        <f>IF(OR(D22="",E22="",F22=""),"",IF(AND(I22&gt;0,I22&lt;=Experiencia1),Puntajes!$D$4,IF(AND(I22&gt;Experiencia1,I22&lt;=Experiencia2),Puntajes!$D$5,IF(AND(I22&gt;Experiencia2,I22&lt;=Experiencia3),Puntajes!$D$6,IF(I22&gt;Experiencia3,Puntajes!$D$7,0)))))</f>
        <v/>
      </c>
    </row>
    <row r="23" spans="3:10" hidden="1" x14ac:dyDescent="0.2">
      <c r="C23" s="103" t="str">
        <f>+'Capacidad Financiera'!B26</f>
        <v/>
      </c>
      <c r="D23" s="143">
        <f>IF(ISERROR(VLOOKUP(C23,'Capacidad Financiera'!$B$12:$AD$59206,2,0)),"",VLOOKUP(C23,'Capacidad Financiera'!$B$12:$AD$59206,2,0))</f>
        <v>0</v>
      </c>
      <c r="E23" s="206">
        <f>IF(ISERROR(VLOOKUP(C23,'Capacidad Financiera'!$B$12:$AD$59206,3,0)),"",VLOOKUP(C23,'Capacidad Financiera'!$B$12:$AD$59206,3,0))</f>
        <v>0</v>
      </c>
      <c r="F23" s="186"/>
      <c r="G23" s="186" t="str">
        <f t="shared" si="2"/>
        <v/>
      </c>
      <c r="H23" s="186" t="str">
        <f>IF(OR(D23="",E23="",F23=""),"",IF(C23&lt;&gt;"",IF(ISERROR(VLOOKUP($A$10,POA!$A$2:$D$16,2,0)),"",VLOOKUP($A$10,POA!$A$2:$D$16,2,0)/SALACTUAL),""))</f>
        <v/>
      </c>
      <c r="I23" s="219" t="str">
        <f t="shared" si="3"/>
        <v/>
      </c>
      <c r="J23" s="223" t="str">
        <f>IF(OR(D23="",E23="",F23=""),"",IF(AND(I23&gt;0,I23&lt;=Experiencia1),Puntajes!$D$4,IF(AND(I23&gt;Experiencia1,I23&lt;=Experiencia2),Puntajes!$D$5,IF(AND(I23&gt;Experiencia2,I23&lt;=Experiencia3),Puntajes!$D$6,IF(I23&gt;Experiencia3,Puntajes!$D$7,0)))))</f>
        <v/>
      </c>
    </row>
    <row r="24" spans="3:10" hidden="1" x14ac:dyDescent="0.2">
      <c r="C24" s="103" t="str">
        <f>+'Capacidad Financiera'!B27</f>
        <v/>
      </c>
      <c r="D24" s="143">
        <f>IF(ISERROR(VLOOKUP(C24,'Capacidad Financiera'!$B$12:$AD$59206,2,0)),"",VLOOKUP(C24,'Capacidad Financiera'!$B$12:$AD$59206,2,0))</f>
        <v>0</v>
      </c>
      <c r="E24" s="206">
        <f>IF(ISERROR(VLOOKUP(C24,'Capacidad Financiera'!$B$12:$AD$59206,3,0)),"",VLOOKUP(C24,'Capacidad Financiera'!$B$12:$AD$59206,3,0))</f>
        <v>0</v>
      </c>
      <c r="F24" s="186"/>
      <c r="G24" s="186" t="str">
        <f t="shared" si="2"/>
        <v/>
      </c>
      <c r="H24" s="186" t="str">
        <f>IF(OR(D24="",E24="",F24=""),"",IF(C24&lt;&gt;"",IF(ISERROR(VLOOKUP($A$10,POA!$A$2:$D$16,2,0)),"",VLOOKUP($A$10,POA!$A$2:$D$16,2,0)/SALACTUAL),""))</f>
        <v/>
      </c>
      <c r="I24" s="219" t="str">
        <f t="shared" si="3"/>
        <v/>
      </c>
      <c r="J24" s="223" t="str">
        <f>IF(OR(D24="",E24="",F24=""),"",IF(AND(I24&gt;0,I24&lt;=Experiencia1),Puntajes!$D$4,IF(AND(I24&gt;Experiencia1,I24&lt;=Experiencia2),Puntajes!$D$5,IF(AND(I24&gt;Experiencia2,I24&lt;=Experiencia3),Puntajes!$D$6,IF(I24&gt;Experiencia3,Puntajes!$D$7,0)))))</f>
        <v/>
      </c>
    </row>
    <row r="25" spans="3:10" hidden="1" x14ac:dyDescent="0.2">
      <c r="C25" s="103" t="str">
        <f>+'Capacidad Financiera'!B28</f>
        <v/>
      </c>
      <c r="D25" s="143">
        <f>IF(ISERROR(VLOOKUP(C25,'Capacidad Financiera'!$B$12:$AD$59206,2,0)),"",VLOOKUP(C25,'Capacidad Financiera'!$B$12:$AD$59206,2,0))</f>
        <v>0</v>
      </c>
      <c r="E25" s="206">
        <f>IF(ISERROR(VLOOKUP(C25,'Capacidad Financiera'!$B$12:$AD$59206,3,0)),"",VLOOKUP(C25,'Capacidad Financiera'!$B$12:$AD$59206,3,0))</f>
        <v>0</v>
      </c>
      <c r="F25" s="186"/>
      <c r="G25" s="186" t="str">
        <f t="shared" si="2"/>
        <v/>
      </c>
      <c r="H25" s="186" t="str">
        <f>IF(OR(D25="",E25="",F25=""),"",IF(C25&lt;&gt;"",IF(ISERROR(VLOOKUP($A$10,POA!$A$2:$D$16,2,0)),"",VLOOKUP($A$10,POA!$A$2:$D$16,2,0)/SALACTUAL),""))</f>
        <v/>
      </c>
      <c r="I25" s="219" t="str">
        <f t="shared" si="3"/>
        <v/>
      </c>
      <c r="J25" s="223" t="str">
        <f>IF(OR(D25="",E25="",F25=""),"",IF(AND(I25&gt;0,I25&lt;=Experiencia1),Puntajes!$D$4,IF(AND(I25&gt;Experiencia1,I25&lt;=Experiencia2),Puntajes!$D$5,IF(AND(I25&gt;Experiencia2,I25&lt;=Experiencia3),Puntajes!$D$6,IF(I25&gt;Experiencia3,Puntajes!$D$7,0)))))</f>
        <v/>
      </c>
    </row>
    <row r="26" spans="3:10" hidden="1" x14ac:dyDescent="0.2">
      <c r="C26" s="103" t="str">
        <f>+'Capacidad Financiera'!B29</f>
        <v/>
      </c>
      <c r="D26" s="143">
        <f>IF(ISERROR(VLOOKUP(C26,'Capacidad Financiera'!$B$12:$AD$59206,2,0)),"",VLOOKUP(C26,'Capacidad Financiera'!$B$12:$AD$59206,2,0))</f>
        <v>0</v>
      </c>
      <c r="E26" s="206">
        <f>IF(ISERROR(VLOOKUP(C26,'Capacidad Financiera'!$B$12:$AD$59206,3,0)),"",VLOOKUP(C26,'Capacidad Financiera'!$B$12:$AD$59206,3,0))</f>
        <v>0</v>
      </c>
      <c r="F26" s="186"/>
      <c r="G26" s="186" t="str">
        <f t="shared" si="2"/>
        <v/>
      </c>
      <c r="H26" s="186" t="str">
        <f>IF(OR(D26="",E26="",F26=""),"",IF(C26&lt;&gt;"",IF(ISERROR(VLOOKUP($A$10,POA!$A$2:$D$16,2,0)),"",VLOOKUP($A$10,POA!$A$2:$D$16,2,0)/SALACTUAL),""))</f>
        <v/>
      </c>
      <c r="I26" s="219" t="str">
        <f t="shared" si="3"/>
        <v/>
      </c>
      <c r="J26" s="223" t="str">
        <f>IF(OR(D26="",E26="",F26=""),"",IF(AND(I26&gt;0,I26&lt;=Experiencia1),Puntajes!$D$4,IF(AND(I26&gt;Experiencia1,I26&lt;=Experiencia2),Puntajes!$D$5,IF(AND(I26&gt;Experiencia2,I26&lt;=Experiencia3),Puntajes!$D$6,IF(I26&gt;Experiencia3,Puntajes!$D$7,0)))))</f>
        <v/>
      </c>
    </row>
    <row r="27" spans="3:10" hidden="1" x14ac:dyDescent="0.2">
      <c r="C27" s="103" t="str">
        <f>+'Capacidad Financiera'!B30</f>
        <v/>
      </c>
      <c r="D27" s="143">
        <f>IF(ISERROR(VLOOKUP(C27,'Capacidad Financiera'!$B$12:$AD$59206,2,0)),"",VLOOKUP(C27,'Capacidad Financiera'!$B$12:$AD$59206,2,0))</f>
        <v>0</v>
      </c>
      <c r="E27" s="206">
        <f>IF(ISERROR(VLOOKUP(C27,'Capacidad Financiera'!$B$12:$AD$59206,3,0)),"",VLOOKUP(C27,'Capacidad Financiera'!$B$12:$AD$59206,3,0))</f>
        <v>0</v>
      </c>
      <c r="F27" s="186"/>
      <c r="G27" s="186" t="str">
        <f t="shared" si="2"/>
        <v/>
      </c>
      <c r="H27" s="186" t="str">
        <f>IF(OR(D27="",E27="",F27=""),"",IF(C27&lt;&gt;"",IF(ISERROR(VLOOKUP($A$10,POA!$A$2:$D$16,2,0)),"",VLOOKUP($A$10,POA!$A$2:$D$16,2,0)/SALACTUAL),""))</f>
        <v/>
      </c>
      <c r="I27" s="219" t="str">
        <f t="shared" si="3"/>
        <v/>
      </c>
      <c r="J27" s="223" t="str">
        <f>IF(OR(D27="",E27="",F27=""),"",IF(AND(I27&gt;0,I27&lt;=Experiencia1),Puntajes!$D$4,IF(AND(I27&gt;Experiencia1,I27&lt;=Experiencia2),Puntajes!$D$5,IF(AND(I27&gt;Experiencia2,I27&lt;=Experiencia3),Puntajes!$D$6,IF(I27&gt;Experiencia3,Puntajes!$D$7,0)))))</f>
        <v/>
      </c>
    </row>
    <row r="28" spans="3:10" hidden="1" x14ac:dyDescent="0.2">
      <c r="C28" s="103" t="str">
        <f>+'Capacidad Financiera'!B31</f>
        <v/>
      </c>
      <c r="D28" s="143">
        <f>IF(ISERROR(VLOOKUP(C28,'Capacidad Financiera'!$B$12:$AD$59206,2,0)),"",VLOOKUP(C28,'Capacidad Financiera'!$B$12:$AD$59206,2,0))</f>
        <v>0</v>
      </c>
      <c r="E28" s="206">
        <f>IF(ISERROR(VLOOKUP(C28,'Capacidad Financiera'!$B$12:$AD$59206,3,0)),"",VLOOKUP(C28,'Capacidad Financiera'!$B$12:$AD$59206,3,0))</f>
        <v>0</v>
      </c>
      <c r="F28" s="186"/>
      <c r="G28" s="186" t="str">
        <f t="shared" si="2"/>
        <v/>
      </c>
      <c r="H28" s="186" t="str">
        <f>IF(OR(D28="",E28="",F28=""),"",IF(C28&lt;&gt;"",IF(ISERROR(VLOOKUP($A$10,POA!$A$2:$D$16,2,0)),"",VLOOKUP($A$10,POA!$A$2:$D$16,2,0)/SALACTUAL),""))</f>
        <v/>
      </c>
      <c r="I28" s="219" t="str">
        <f t="shared" si="3"/>
        <v/>
      </c>
      <c r="J28" s="223" t="str">
        <f>IF(OR(D28="",E28="",F28=""),"",IF(AND(I28&gt;0,I28&lt;=Experiencia1),Puntajes!$D$4,IF(AND(I28&gt;Experiencia1,I28&lt;=Experiencia2),Puntajes!$D$5,IF(AND(I28&gt;Experiencia2,I28&lt;=Experiencia3),Puntajes!$D$6,IF(I28&gt;Experiencia3,Puntajes!$D$7,0)))))</f>
        <v/>
      </c>
    </row>
    <row r="29" spans="3:10" hidden="1" x14ac:dyDescent="0.2">
      <c r="C29" s="103" t="str">
        <f>+'Capacidad Financiera'!B32</f>
        <v/>
      </c>
      <c r="D29" s="143">
        <f>IF(ISERROR(VLOOKUP(C29,'Capacidad Financiera'!$B$12:$AD$59206,2,0)),"",VLOOKUP(C29,'Capacidad Financiera'!$B$12:$AD$59206,2,0))</f>
        <v>0</v>
      </c>
      <c r="E29" s="206">
        <f>IF(ISERROR(VLOOKUP(C29,'Capacidad Financiera'!$B$12:$AD$59206,3,0)),"",VLOOKUP(C29,'Capacidad Financiera'!$B$12:$AD$59206,3,0))</f>
        <v>0</v>
      </c>
      <c r="F29" s="186"/>
      <c r="G29" s="186" t="str">
        <f t="shared" si="2"/>
        <v/>
      </c>
      <c r="H29" s="186" t="str">
        <f>IF(OR(D29="",E29="",F29=""),"",IF(C29&lt;&gt;"",IF(ISERROR(VLOOKUP($A$10,POA!$A$2:$D$16,2,0)),"",VLOOKUP($A$10,POA!$A$2:$D$16,2,0)/SALACTUAL),""))</f>
        <v/>
      </c>
      <c r="I29" s="219" t="str">
        <f t="shared" si="3"/>
        <v/>
      </c>
      <c r="J29" s="223" t="str">
        <f>IF(OR(D29="",E29="",F29=""),"",IF(AND(I29&gt;0,I29&lt;=Experiencia1),Puntajes!$D$4,IF(AND(I29&gt;Experiencia1,I29&lt;=Experiencia2),Puntajes!$D$5,IF(AND(I29&gt;Experiencia2,I29&lt;=Experiencia3),Puntajes!$D$6,IF(I29&gt;Experiencia3,Puntajes!$D$7,0)))))</f>
        <v/>
      </c>
    </row>
    <row r="30" spans="3:10" ht="13.5" hidden="1" thickBot="1" x14ac:dyDescent="0.25">
      <c r="C30" s="104" t="str">
        <f>+'Capacidad Financiera'!B33</f>
        <v/>
      </c>
      <c r="D30" s="105">
        <f>IF(ISERROR(VLOOKUP(C30,'Capacidad Financiera'!$B$12:$AD$59206,2,0)),"",VLOOKUP(C30,'Capacidad Financiera'!$B$12:$AD$59206,2,0))</f>
        <v>0</v>
      </c>
      <c r="E30" s="106">
        <f>IF(ISERROR(VLOOKUP(C30,'Capacidad Financiera'!$B$12:$AD$59206,3,0)),"",VLOOKUP(C30,'Capacidad Financiera'!$B$12:$AD$59206,3,0))</f>
        <v>0</v>
      </c>
      <c r="F30" s="187"/>
      <c r="G30" s="187" t="str">
        <f t="shared" si="2"/>
        <v/>
      </c>
      <c r="H30" s="187" t="str">
        <f>IF(OR(D30="",E30="",F30=""),"",IF(C30&lt;&gt;"",IF(ISERROR(VLOOKUP($A$10,POA!$A$2:$D$16,2,0)),"",VLOOKUP($A$10,POA!$A$2:$D$16,2,0)/SALACTUAL),""))</f>
        <v/>
      </c>
      <c r="I30" s="220" t="str">
        <f t="shared" si="3"/>
        <v/>
      </c>
      <c r="J30" s="224" t="str">
        <f>IF(OR(D30="",E30="",F30=""),"",IF(AND(I30&gt;0,I30&lt;=Experiencia1),Puntajes!$D$4,IF(AND(I30&gt;Experiencia1,I30&lt;=Experiencia2),Puntajes!$D$5,IF(AND(I30&gt;Experiencia2,I30&lt;=Experiencia3),Puntajes!$D$6,IF(I30&gt;Experiencia3,Puntajes!$D$7,0)))))</f>
        <v/>
      </c>
    </row>
  </sheetData>
  <sheetProtection formatCells="0" formatColumns="0" formatRows="0" insertColumns="0" insertRows="0" insertHyperlinks="0" deleteColumns="0" deleteRows="0" sort="0" autoFilter="0" pivotTables="0"/>
  <mergeCells count="11">
    <mergeCell ref="I7:J7"/>
    <mergeCell ref="C2:J2"/>
    <mergeCell ref="C3:J3"/>
    <mergeCell ref="C4:J4"/>
    <mergeCell ref="C5:J5"/>
    <mergeCell ref="C7:C8"/>
    <mergeCell ref="D7:D8"/>
    <mergeCell ref="E7:E8"/>
    <mergeCell ref="F7:F8"/>
    <mergeCell ref="H7:H8"/>
    <mergeCell ref="G7:G8"/>
  </mergeCells>
  <conditionalFormatting sqref="E6:H6">
    <cfRule type="expression" dxfId="97" priority="1106" stopIfTrue="1">
      <formula>IF($B6-INT($B6)&gt;0,TRUE,FALSE)</formula>
    </cfRule>
  </conditionalFormatting>
  <conditionalFormatting sqref="D9:D19 D6 I6:J6">
    <cfRule type="cellIs" dxfId="96" priority="1107" stopIfTrue="1" operator="equal">
      <formula>"NO ADMISIBLE"</formula>
    </cfRule>
  </conditionalFormatting>
  <conditionalFormatting sqref="E15:E19 J15:J19">
    <cfRule type="expression" dxfId="95" priority="1105" stopIfTrue="1">
      <formula>IF($B8-INT($B8)&gt;0,TRUE,FALSE)</formula>
    </cfRule>
  </conditionalFormatting>
  <conditionalFormatting sqref="E10 I10:J10 I11:I19">
    <cfRule type="expression" dxfId="94" priority="1101" stopIfTrue="1">
      <formula>IF($B2-INT($B2)&gt;0,TRUE,FALSE)</formula>
    </cfRule>
  </conditionalFormatting>
  <conditionalFormatting sqref="E9 H9:J9">
    <cfRule type="expression" dxfId="93" priority="1108" stopIfTrue="1">
      <formula>IF(#REF!-INT(#REF!)&gt;0,TRUE,FALSE)</formula>
    </cfRule>
  </conditionalFormatting>
  <conditionalFormatting sqref="H10:H19">
    <cfRule type="expression" dxfId="92" priority="1100" stopIfTrue="1">
      <formula>IF(#REF!-INT(#REF!)&gt;0,TRUE,FALSE)</formula>
    </cfRule>
  </conditionalFormatting>
  <conditionalFormatting sqref="E11:E13 J11:J13">
    <cfRule type="expression" dxfId="91" priority="3608" stopIfTrue="1">
      <formula>IF($B5-INT($B5)&gt;0,TRUE,FALSE)</formula>
    </cfRule>
  </conditionalFormatting>
  <conditionalFormatting sqref="E14 J14">
    <cfRule type="expression" dxfId="90" priority="3610" stopIfTrue="1">
      <formula>IF(#REF!-INT(#REF!)&gt;0,TRUE,FALSE)</formula>
    </cfRule>
  </conditionalFormatting>
  <conditionalFormatting sqref="F9:G9">
    <cfRule type="expression" dxfId="89" priority="1097" stopIfTrue="1">
      <formula>IF(#REF!-INT(#REF!)&gt;0,TRUE,FALSE)</formula>
    </cfRule>
  </conditionalFormatting>
  <conditionalFormatting sqref="F10:G19">
    <cfRule type="expression" dxfId="88" priority="1096" stopIfTrue="1">
      <formula>IF(#REF!-INT(#REF!)&gt;0,TRUE,FALSE)</formula>
    </cfRule>
  </conditionalFormatting>
  <conditionalFormatting sqref="D20:D30">
    <cfRule type="cellIs" dxfId="87" priority="6" stopIfTrue="1" operator="equal">
      <formula>"NO ADMISIBLE"</formula>
    </cfRule>
  </conditionalFormatting>
  <conditionalFormatting sqref="E26:E30 J26:J30">
    <cfRule type="expression" dxfId="86" priority="5" stopIfTrue="1">
      <formula>IF($B19-INT($B19)&gt;0,TRUE,FALSE)</formula>
    </cfRule>
  </conditionalFormatting>
  <conditionalFormatting sqref="E21 I21:J21 I22:I30">
    <cfRule type="expression" dxfId="85" priority="4" stopIfTrue="1">
      <formula>IF($B13-INT($B13)&gt;0,TRUE,FALSE)</formula>
    </cfRule>
  </conditionalFormatting>
  <conditionalFormatting sqref="E20 H20:J20">
    <cfRule type="expression" dxfId="84" priority="7" stopIfTrue="1">
      <formula>IF(#REF!-INT(#REF!)&gt;0,TRUE,FALSE)</formula>
    </cfRule>
  </conditionalFormatting>
  <conditionalFormatting sqref="H21:H30">
    <cfRule type="expression" dxfId="83" priority="3" stopIfTrue="1">
      <formula>IF(#REF!-INT(#REF!)&gt;0,TRUE,FALSE)</formula>
    </cfRule>
  </conditionalFormatting>
  <conditionalFormatting sqref="E22:E24 J22:J24">
    <cfRule type="expression" dxfId="82" priority="8" stopIfTrue="1">
      <formula>IF($B16-INT($B16)&gt;0,TRUE,FALSE)</formula>
    </cfRule>
  </conditionalFormatting>
  <conditionalFormatting sqref="E25 J25">
    <cfRule type="expression" dxfId="81" priority="9" stopIfTrue="1">
      <formula>IF(#REF!-INT(#REF!)&gt;0,TRUE,FALSE)</formula>
    </cfRule>
  </conditionalFormatting>
  <conditionalFormatting sqref="F20:G20">
    <cfRule type="expression" dxfId="80" priority="2" stopIfTrue="1">
      <formula>IF(#REF!-INT(#REF!)&gt;0,TRUE,FALSE)</formula>
    </cfRule>
  </conditionalFormatting>
  <conditionalFormatting sqref="F21:G30">
    <cfRule type="expression" dxfId="79" priority="1" stopIfTrue="1">
      <formula>IF(#REF!-INT(#REF!)&gt;0,TRUE,FALSE)</formula>
    </cfRule>
  </conditionalFormatting>
  <dataValidations count="1">
    <dataValidation type="list" allowBlank="1" showInputMessage="1" showErrorMessage="1" sqref="D9:D30 D6" xr:uid="{00000000-0002-0000-0600-000000000000}">
      <formula1>prueba</formula1>
    </dataValidation>
  </dataValidations>
  <pageMargins left="0.74803149606299213" right="0.74803149606299213" top="0.98425196850393704" bottom="0.98425196850393704" header="0" footer="0"/>
  <pageSetup paperSize="9" scale="70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4" name="Button 1">
              <controlPr defaultSize="0" print="0" autoFill="0" autoPict="0" macro="[0]!MacroExp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13"/>
  <dimension ref="C2:K30"/>
  <sheetViews>
    <sheetView workbookViewId="0">
      <selection activeCell="D9" sqref="D9"/>
    </sheetView>
  </sheetViews>
  <sheetFormatPr baseColWidth="10" defaultRowHeight="12.75" x14ac:dyDescent="0.2"/>
  <cols>
    <col min="1" max="1" width="11.42578125" style="163" customWidth="1"/>
    <col min="2" max="2" width="11.28515625" style="163" customWidth="1"/>
    <col min="3" max="3" width="3.85546875" style="163" customWidth="1"/>
    <col min="4" max="4" width="29.42578125" style="163" customWidth="1"/>
    <col min="5" max="5" width="35" style="162" customWidth="1"/>
    <col min="6" max="6" width="35" style="201" customWidth="1"/>
    <col min="7" max="7" width="11.42578125" style="163"/>
    <col min="8" max="8" width="13.85546875" style="175" customWidth="1"/>
    <col min="9" max="9" width="9.7109375" style="176" customWidth="1"/>
    <col min="10" max="10" width="12.5703125" style="163" customWidth="1"/>
    <col min="11" max="11" width="12.7109375" style="163" customWidth="1"/>
    <col min="12" max="16384" width="11.42578125" style="163"/>
  </cols>
  <sheetData>
    <row r="2" spans="3:11" s="165" customFormat="1" ht="20.25" customHeight="1" x14ac:dyDescent="0.2">
      <c r="C2" s="400" t="s">
        <v>265</v>
      </c>
      <c r="D2" s="400"/>
      <c r="E2" s="400"/>
      <c r="F2" s="400"/>
      <c r="H2" s="166"/>
      <c r="I2" s="167"/>
    </row>
    <row r="3" spans="3:11" s="165" customFormat="1" ht="18" customHeight="1" x14ac:dyDescent="0.2">
      <c r="C3" s="401" t="s">
        <v>279</v>
      </c>
      <c r="D3" s="401"/>
      <c r="E3" s="401"/>
      <c r="F3" s="401"/>
      <c r="H3" s="166"/>
      <c r="I3" s="167"/>
    </row>
    <row r="4" spans="3:11" s="165" customFormat="1" ht="13.5" customHeight="1" x14ac:dyDescent="0.2">
      <c r="C4" s="402" t="str">
        <f>'Capacidad Financiera'!B4</f>
        <v>DIRECCIÓN TERRITORIAL SUCRE</v>
      </c>
      <c r="D4" s="402"/>
      <c r="E4" s="402"/>
      <c r="F4" s="402"/>
      <c r="H4" s="166"/>
      <c r="I4" s="167"/>
    </row>
    <row r="5" spans="3:11" s="165" customFormat="1" ht="13.5" customHeight="1" x14ac:dyDescent="0.2">
      <c r="C5" s="402" t="s">
        <v>278</v>
      </c>
      <c r="D5" s="402"/>
      <c r="E5" s="402"/>
      <c r="F5" s="402"/>
      <c r="H5" s="166"/>
      <c r="I5" s="167"/>
    </row>
    <row r="6" spans="3:11" s="165" customFormat="1" ht="14.25" thickBot="1" x14ac:dyDescent="0.25">
      <c r="C6" s="168"/>
      <c r="D6" s="169"/>
      <c r="E6" s="172"/>
      <c r="F6" s="173"/>
      <c r="H6" s="166"/>
      <c r="I6" s="167"/>
    </row>
    <row r="7" spans="3:11" ht="19.5" customHeight="1" x14ac:dyDescent="0.2">
      <c r="C7" s="403" t="s">
        <v>164</v>
      </c>
      <c r="D7" s="405" t="s">
        <v>163</v>
      </c>
      <c r="E7" s="212" t="s">
        <v>268</v>
      </c>
      <c r="F7" s="213" t="s">
        <v>278</v>
      </c>
    </row>
    <row r="8" spans="3:11" ht="67.5" customHeight="1" thickBot="1" x14ac:dyDescent="0.25">
      <c r="C8" s="404"/>
      <c r="D8" s="406"/>
      <c r="E8" s="214" t="s">
        <v>269</v>
      </c>
      <c r="F8" s="215" t="s">
        <v>280</v>
      </c>
    </row>
    <row r="9" spans="3:11" x14ac:dyDescent="0.2">
      <c r="C9" s="98">
        <f>+'Capacidad Financiera'!B12</f>
        <v>1</v>
      </c>
      <c r="D9" s="99">
        <f>IF(ISERROR(VLOOKUP(C9,'Capacidad Financiera'!$B$12:$AD$59206,2,0)),"",VLOOKUP(C9,'Capacidad Financiera'!$B$12:$AD$59206,2,0))</f>
        <v>0</v>
      </c>
      <c r="E9" s="202"/>
      <c r="F9" s="203" t="str">
        <f>IF(C10="",IF(E9="","",IF(AND(E9&gt;0,E9&lt;=CapTecnica1),Puntajes!$H$4,IF(AND(E9&gt;CapTecnica1,E9&lt;=CapTecnica2),Puntajes!$H$5,IF(E9&gt;CapTecnica2,Puntajes!$H$6,0)))),"")</f>
        <v/>
      </c>
      <c r="H9" s="177"/>
      <c r="I9" s="178"/>
      <c r="J9" s="164"/>
      <c r="K9" s="179"/>
    </row>
    <row r="10" spans="3:11" ht="26.25" thickBot="1" x14ac:dyDescent="0.25">
      <c r="C10" s="103">
        <f>+'Capacidad Financiera'!B13</f>
        <v>1.1000000000000001</v>
      </c>
      <c r="D10" s="143" t="str">
        <f>IF(ISERROR(VLOOKUP(C10,'Capacidad Financiera'!$B$12:$AD$59206,2,0)),"",VLOOKUP(C10,'Capacidad Financiera'!$B$12:$AD$59206,2,0))</f>
        <v>EMPRESA DE MANTENIMIENTO VIAL LA MOJANA S.A.S.</v>
      </c>
      <c r="E10" s="204">
        <v>10</v>
      </c>
      <c r="F10" s="223">
        <f>IF(OR(D10="",E10=""),"",IF(AND(E10&gt;0,E10&lt;=CapTecnica1),Puntajes!$H$4,IF(AND(E10&gt;CapTecnica1,E10&lt;=CapTecnica2),Puntajes!$H$5,IF(E10&gt;CapTecnica2,Puntajes!$H$6,0))))</f>
        <v>30</v>
      </c>
    </row>
    <row r="11" spans="3:11" hidden="1" x14ac:dyDescent="0.2">
      <c r="C11" s="103" t="str">
        <f>+'Capacidad Financiera'!B14</f>
        <v/>
      </c>
      <c r="D11" s="143">
        <f>IF(ISERROR(VLOOKUP(C11,'Capacidad Financiera'!$B$12:$AD$59206,2,0)),"",VLOOKUP(C11,'Capacidad Financiera'!$B$12:$AD$59206,2,0))</f>
        <v>0</v>
      </c>
      <c r="E11" s="204"/>
      <c r="F11" s="223" t="str">
        <f>IF(OR(D11="",E11=""),"",IF(AND(E11&gt;0,E11&lt;=CapTecnica1),Puntajes!$H$4,IF(AND(E11&gt;CapTecnica1,E11&lt;=CapTecnica2),Puntajes!$H$5,IF(E11&gt;CapTecnica2,Puntajes!$H$6,0))))</f>
        <v/>
      </c>
    </row>
    <row r="12" spans="3:11" hidden="1" x14ac:dyDescent="0.2">
      <c r="C12" s="103" t="str">
        <f>+'Capacidad Financiera'!B15</f>
        <v/>
      </c>
      <c r="D12" s="143">
        <f>IF(ISERROR(VLOOKUP(C12,'Capacidad Financiera'!$B$12:$AD$59206,2,0)),"",VLOOKUP(C12,'Capacidad Financiera'!$B$12:$AD$59206,2,0))</f>
        <v>0</v>
      </c>
      <c r="E12" s="204"/>
      <c r="F12" s="223" t="str">
        <f>IF(OR(D12="",E12=""),"",IF(AND(E12&gt;0,E12&lt;=CapTecnica1),Puntajes!$H$4,IF(AND(E12&gt;CapTecnica1,E12&lt;=CapTecnica2),Puntajes!$H$5,IF(E12&gt;CapTecnica2,Puntajes!$H$6,0))))</f>
        <v/>
      </c>
    </row>
    <row r="13" spans="3:11" hidden="1" x14ac:dyDescent="0.2">
      <c r="C13" s="103" t="str">
        <f>+'Capacidad Financiera'!B16</f>
        <v/>
      </c>
      <c r="D13" s="143">
        <f>IF(ISERROR(VLOOKUP(C13,'Capacidad Financiera'!$B$12:$AD$59206,2,0)),"",VLOOKUP(C13,'Capacidad Financiera'!$B$12:$AD$59206,2,0))</f>
        <v>0</v>
      </c>
      <c r="E13" s="204"/>
      <c r="F13" s="223" t="str">
        <f>IF(OR(D13="",E13=""),"",IF(AND(E13&gt;0,E13&lt;=CapTecnica1),Puntajes!$H$4,IF(AND(E13&gt;CapTecnica1,E13&lt;=CapTecnica2),Puntajes!$H$5,IF(E13&gt;CapTecnica2,Puntajes!$H$6,0))))</f>
        <v/>
      </c>
    </row>
    <row r="14" spans="3:11" hidden="1" x14ac:dyDescent="0.2">
      <c r="C14" s="103" t="str">
        <f>+'Capacidad Financiera'!B17</f>
        <v/>
      </c>
      <c r="D14" s="143">
        <f>IF(ISERROR(VLOOKUP(C14,'Capacidad Financiera'!$B$12:$AD$59206,2,0)),"",VLOOKUP(C14,'Capacidad Financiera'!$B$12:$AD$59206,2,0))</f>
        <v>0</v>
      </c>
      <c r="E14" s="204"/>
      <c r="F14" s="223" t="str">
        <f>IF(OR(D14="",E14=""),"",IF(AND(E14&gt;0,E14&lt;=CapTecnica1),Puntajes!$H$4,IF(AND(E14&gt;CapTecnica1,E14&lt;=CapTecnica2),Puntajes!$H$5,IF(E14&gt;CapTecnica2,Puntajes!$H$6,0))))</f>
        <v/>
      </c>
    </row>
    <row r="15" spans="3:11" hidden="1" x14ac:dyDescent="0.2">
      <c r="C15" s="103" t="str">
        <f>+'Capacidad Financiera'!B18</f>
        <v/>
      </c>
      <c r="D15" s="143">
        <f>IF(ISERROR(VLOOKUP(C15,'Capacidad Financiera'!$B$12:$AD$59206,2,0)),"",VLOOKUP(C15,'Capacidad Financiera'!$B$12:$AD$59206,2,0))</f>
        <v>0</v>
      </c>
      <c r="E15" s="204"/>
      <c r="F15" s="223" t="str">
        <f>IF(OR(D15="",E15=""),"",IF(AND(E15&gt;0,E15&lt;=CapTecnica1),Puntajes!$H$4,IF(AND(E15&gt;CapTecnica1,E15&lt;=CapTecnica2),Puntajes!$H$5,IF(E15&gt;CapTecnica2,Puntajes!$H$6,0))))</f>
        <v/>
      </c>
    </row>
    <row r="16" spans="3:11" hidden="1" x14ac:dyDescent="0.2">
      <c r="C16" s="103" t="str">
        <f>+'Capacidad Financiera'!B19</f>
        <v/>
      </c>
      <c r="D16" s="143">
        <f>IF(ISERROR(VLOOKUP(C16,'Capacidad Financiera'!$B$12:$AD$59206,2,0)),"",VLOOKUP(C16,'Capacidad Financiera'!$B$12:$AD$59206,2,0))</f>
        <v>0</v>
      </c>
      <c r="E16" s="204"/>
      <c r="F16" s="223" t="str">
        <f>IF(OR(D16="",E16=""),"",IF(AND(E16&gt;0,E16&lt;=CapTecnica1),Puntajes!$H$4,IF(AND(E16&gt;CapTecnica1,E16&lt;=CapTecnica2),Puntajes!$H$5,IF(E16&gt;CapTecnica2,Puntajes!$H$6,0))))</f>
        <v/>
      </c>
    </row>
    <row r="17" spans="3:6" hidden="1" x14ac:dyDescent="0.2">
      <c r="C17" s="103" t="str">
        <f>+'Capacidad Financiera'!B20</f>
        <v/>
      </c>
      <c r="D17" s="143">
        <f>IF(ISERROR(VLOOKUP(C17,'Capacidad Financiera'!$B$12:$AD$59206,2,0)),"",VLOOKUP(C17,'Capacidad Financiera'!$B$12:$AD$59206,2,0))</f>
        <v>0</v>
      </c>
      <c r="E17" s="204"/>
      <c r="F17" s="223" t="str">
        <f>IF(OR(D17="",E17=""),"",IF(AND(E17&gt;0,E17&lt;=CapTecnica1),Puntajes!$H$4,IF(AND(E17&gt;CapTecnica1,E17&lt;=CapTecnica2),Puntajes!$H$5,IF(E17&gt;CapTecnica2,Puntajes!$H$6,0))))</f>
        <v/>
      </c>
    </row>
    <row r="18" spans="3:6" hidden="1" x14ac:dyDescent="0.2">
      <c r="C18" s="103" t="str">
        <f>+'Capacidad Financiera'!B21</f>
        <v/>
      </c>
      <c r="D18" s="143">
        <f>IF(ISERROR(VLOOKUP(C18,'Capacidad Financiera'!$B$12:$AD$59206,2,0)),"",VLOOKUP(C18,'Capacidad Financiera'!$B$12:$AD$59206,2,0))</f>
        <v>0</v>
      </c>
      <c r="E18" s="204"/>
      <c r="F18" s="223" t="str">
        <f>IF(OR(D18="",E18=""),"",IF(AND(E18&gt;0,E18&lt;=CapTecnica1),Puntajes!$H$4,IF(AND(E18&gt;CapTecnica1,E18&lt;=CapTecnica2),Puntajes!$H$5,IF(E18&gt;CapTecnica2,Puntajes!$H$6,0))))</f>
        <v/>
      </c>
    </row>
    <row r="19" spans="3:6" ht="13.5" hidden="1" thickBot="1" x14ac:dyDescent="0.25">
      <c r="C19" s="104" t="str">
        <f>+'Capacidad Financiera'!B22</f>
        <v/>
      </c>
      <c r="D19" s="105">
        <f>IF(ISERROR(VLOOKUP(C19,'Capacidad Financiera'!$B$12:$AD$59206,2,0)),"",VLOOKUP(C19,'Capacidad Financiera'!$B$12:$AD$59206,2,0))</f>
        <v>0</v>
      </c>
      <c r="E19" s="205"/>
      <c r="F19" s="224" t="str">
        <f>IF(OR(D19="",E19=""),"",IF(AND(E19&gt;0,E19&lt;=CapTecnica1),Puntajes!$H$4,IF(AND(E19&gt;CapTecnica1,E19&lt;=CapTecnica2),Puntajes!$H$5,IF(E19&gt;CapTecnica2,Puntajes!$H$6,0))))</f>
        <v/>
      </c>
    </row>
    <row r="20" spans="3:6" x14ac:dyDescent="0.2">
      <c r="C20" s="98">
        <v>2</v>
      </c>
      <c r="D20" s="99">
        <f>IF(ISERROR(VLOOKUP(C20,'Capacidad Financiera'!$B$12:$AD$59206,2,0)),"",VLOOKUP(C20,'Capacidad Financiera'!$B$12:$AD$59206,2,0))</f>
        <v>0</v>
      </c>
      <c r="E20" s="202"/>
      <c r="F20" s="203" t="str">
        <f>IF(C21="",IF(E20="","",IF(AND(E20&gt;0,E20&lt;=CapTecnica1),Puntajes!$H$4,IF(AND(E20&gt;CapTecnica1,E20&lt;=CapTecnica2),Puntajes!$H$5,IF(E20&gt;CapTecnica2,Puntajes!$H$6,0)))),"")</f>
        <v/>
      </c>
    </row>
    <row r="21" spans="3:6" ht="25.5" x14ac:dyDescent="0.2">
      <c r="C21" s="103">
        <f>+'Capacidad Financiera'!B24</f>
        <v>2.1</v>
      </c>
      <c r="D21" s="143" t="str">
        <f>IF(ISERROR(VLOOKUP(C21,'Capacidad Financiera'!$B$12:$AD$59206,2,0)),"",VLOOKUP(C21,'Capacidad Financiera'!$B$12:$AD$59206,2,0))</f>
        <v>EMPRESA DE TRABAJADORES DE SAN MARCOS ETASAMAR S.A.S.</v>
      </c>
      <c r="E21" s="204">
        <v>10</v>
      </c>
      <c r="F21" s="223">
        <f>IF(OR(D21="",E21=""),"",IF(AND(E21&gt;0,E21&lt;=CapTecnica1),Puntajes!$H$4,IF(AND(E21&gt;CapTecnica1,E21&lt;=CapTecnica2),Puntajes!$H$5,IF(E21&gt;CapTecnica2,Puntajes!$H$6,0))))</f>
        <v>30</v>
      </c>
    </row>
    <row r="22" spans="3:6" hidden="1" x14ac:dyDescent="0.2">
      <c r="C22" s="103" t="str">
        <f>+'Capacidad Financiera'!B25</f>
        <v/>
      </c>
      <c r="D22" s="143">
        <f>IF(ISERROR(VLOOKUP(C22,'Capacidad Financiera'!$B$12:$AD$59206,2,0)),"",VLOOKUP(C22,'Capacidad Financiera'!$B$12:$AD$59206,2,0))</f>
        <v>0</v>
      </c>
      <c r="E22" s="204"/>
      <c r="F22" s="223" t="str">
        <f>IF(OR(D22="",E22=""),"",IF(AND(E22&gt;0,E22&lt;=CapTecnica1),Puntajes!$H$4,IF(AND(E22&gt;CapTecnica1,E22&lt;=CapTecnica2),Puntajes!$H$5,IF(E22&gt;CapTecnica2,Puntajes!$H$6,0))))</f>
        <v/>
      </c>
    </row>
    <row r="23" spans="3:6" hidden="1" x14ac:dyDescent="0.2">
      <c r="C23" s="103" t="str">
        <f>+'Capacidad Financiera'!B26</f>
        <v/>
      </c>
      <c r="D23" s="143">
        <f>IF(ISERROR(VLOOKUP(C23,'Capacidad Financiera'!$B$12:$AD$59206,2,0)),"",VLOOKUP(C23,'Capacidad Financiera'!$B$12:$AD$59206,2,0))</f>
        <v>0</v>
      </c>
      <c r="E23" s="204"/>
      <c r="F23" s="223" t="str">
        <f>IF(OR(D23="",E23=""),"",IF(AND(E23&gt;0,E23&lt;=CapTecnica1),Puntajes!$H$4,IF(AND(E23&gt;CapTecnica1,E23&lt;=CapTecnica2),Puntajes!$H$5,IF(E23&gt;CapTecnica2,Puntajes!$H$6,0))))</f>
        <v/>
      </c>
    </row>
    <row r="24" spans="3:6" hidden="1" x14ac:dyDescent="0.2">
      <c r="C24" s="103" t="str">
        <f>+'Capacidad Financiera'!B27</f>
        <v/>
      </c>
      <c r="D24" s="143">
        <f>IF(ISERROR(VLOOKUP(C24,'Capacidad Financiera'!$B$12:$AD$59206,2,0)),"",VLOOKUP(C24,'Capacidad Financiera'!$B$12:$AD$59206,2,0))</f>
        <v>0</v>
      </c>
      <c r="E24" s="204"/>
      <c r="F24" s="223" t="str">
        <f>IF(OR(D24="",E24=""),"",IF(AND(E24&gt;0,E24&lt;=CapTecnica1),Puntajes!$H$4,IF(AND(E24&gt;CapTecnica1,E24&lt;=CapTecnica2),Puntajes!$H$5,IF(E24&gt;CapTecnica2,Puntajes!$H$6,0))))</f>
        <v/>
      </c>
    </row>
    <row r="25" spans="3:6" hidden="1" x14ac:dyDescent="0.2">
      <c r="C25" s="103" t="str">
        <f>+'Capacidad Financiera'!B28</f>
        <v/>
      </c>
      <c r="D25" s="143">
        <f>IF(ISERROR(VLOOKUP(C25,'Capacidad Financiera'!$B$12:$AD$59206,2,0)),"",VLOOKUP(C25,'Capacidad Financiera'!$B$12:$AD$59206,2,0))</f>
        <v>0</v>
      </c>
      <c r="E25" s="204"/>
      <c r="F25" s="223" t="str">
        <f>IF(OR(D25="",E25=""),"",IF(AND(E25&gt;0,E25&lt;=CapTecnica1),Puntajes!$H$4,IF(AND(E25&gt;CapTecnica1,E25&lt;=CapTecnica2),Puntajes!$H$5,IF(E25&gt;CapTecnica2,Puntajes!$H$6,0))))</f>
        <v/>
      </c>
    </row>
    <row r="26" spans="3:6" hidden="1" x14ac:dyDescent="0.2">
      <c r="C26" s="103" t="str">
        <f>+'Capacidad Financiera'!B29</f>
        <v/>
      </c>
      <c r="D26" s="143">
        <f>IF(ISERROR(VLOOKUP(C26,'Capacidad Financiera'!$B$12:$AD$59206,2,0)),"",VLOOKUP(C26,'Capacidad Financiera'!$B$12:$AD$59206,2,0))</f>
        <v>0</v>
      </c>
      <c r="E26" s="204"/>
      <c r="F26" s="223" t="str">
        <f>IF(OR(D26="",E26=""),"",IF(AND(E26&gt;0,E26&lt;=CapTecnica1),Puntajes!$H$4,IF(AND(E26&gt;CapTecnica1,E26&lt;=CapTecnica2),Puntajes!$H$5,IF(E26&gt;CapTecnica2,Puntajes!$H$6,0))))</f>
        <v/>
      </c>
    </row>
    <row r="27" spans="3:6" hidden="1" x14ac:dyDescent="0.2">
      <c r="C27" s="103" t="str">
        <f>+'Capacidad Financiera'!B30</f>
        <v/>
      </c>
      <c r="D27" s="143">
        <f>IF(ISERROR(VLOOKUP(C27,'Capacidad Financiera'!$B$12:$AD$59206,2,0)),"",VLOOKUP(C27,'Capacidad Financiera'!$B$12:$AD$59206,2,0))</f>
        <v>0</v>
      </c>
      <c r="E27" s="204"/>
      <c r="F27" s="223" t="str">
        <f>IF(OR(D27="",E27=""),"",IF(AND(E27&gt;0,E27&lt;=CapTecnica1),Puntajes!$H$4,IF(AND(E27&gt;CapTecnica1,E27&lt;=CapTecnica2),Puntajes!$H$5,IF(E27&gt;CapTecnica2,Puntajes!$H$6,0))))</f>
        <v/>
      </c>
    </row>
    <row r="28" spans="3:6" hidden="1" x14ac:dyDescent="0.2">
      <c r="C28" s="103" t="str">
        <f>+'Capacidad Financiera'!B31</f>
        <v/>
      </c>
      <c r="D28" s="143">
        <f>IF(ISERROR(VLOOKUP(C28,'Capacidad Financiera'!$B$12:$AD$59206,2,0)),"",VLOOKUP(C28,'Capacidad Financiera'!$B$12:$AD$59206,2,0))</f>
        <v>0</v>
      </c>
      <c r="E28" s="204"/>
      <c r="F28" s="223" t="str">
        <f>IF(OR(D28="",E28=""),"",IF(AND(E28&gt;0,E28&lt;=CapTecnica1),Puntajes!$H$4,IF(AND(E28&gt;CapTecnica1,E28&lt;=CapTecnica2),Puntajes!$H$5,IF(E28&gt;CapTecnica2,Puntajes!$H$6,0))))</f>
        <v/>
      </c>
    </row>
    <row r="29" spans="3:6" hidden="1" x14ac:dyDescent="0.2">
      <c r="C29" s="103" t="str">
        <f>+'Capacidad Financiera'!B32</f>
        <v/>
      </c>
      <c r="D29" s="143">
        <f>IF(ISERROR(VLOOKUP(C29,'Capacidad Financiera'!$B$12:$AD$59206,2,0)),"",VLOOKUP(C29,'Capacidad Financiera'!$B$12:$AD$59206,2,0))</f>
        <v>0</v>
      </c>
      <c r="E29" s="204"/>
      <c r="F29" s="223" t="str">
        <f>IF(OR(D29="",E29=""),"",IF(AND(E29&gt;0,E29&lt;=CapTecnica1),Puntajes!$H$4,IF(AND(E29&gt;CapTecnica1,E29&lt;=CapTecnica2),Puntajes!$H$5,IF(E29&gt;CapTecnica2,Puntajes!$H$6,0))))</f>
        <v/>
      </c>
    </row>
    <row r="30" spans="3:6" ht="13.5" hidden="1" thickBot="1" x14ac:dyDescent="0.25">
      <c r="C30" s="104" t="str">
        <f>+'Capacidad Financiera'!B33</f>
        <v/>
      </c>
      <c r="D30" s="105">
        <f>IF(ISERROR(VLOOKUP(C30,'Capacidad Financiera'!$B$12:$AD$59206,2,0)),"",VLOOKUP(C30,'Capacidad Financiera'!$B$12:$AD$59206,2,0))</f>
        <v>0</v>
      </c>
      <c r="E30" s="205"/>
      <c r="F30" s="224" t="str">
        <f>IF(OR(D30="",E30=""),"",IF(AND(E30&gt;0,E30&lt;=CapTecnica1),Puntajes!$H$4,IF(AND(E30&gt;CapTecnica1,E30&lt;=CapTecnica2),Puntajes!$H$5,IF(E30&gt;CapTecnica2,Puntajes!$H$6,0))))</f>
        <v/>
      </c>
    </row>
  </sheetData>
  <sheetProtection formatCells="0" formatColumns="0" formatRows="0" insertColumns="0" insertRows="0" insertHyperlinks="0" deleteColumns="0" deleteRows="0" sort="0" autoFilter="0" pivotTables="0"/>
  <mergeCells count="6">
    <mergeCell ref="C2:F2"/>
    <mergeCell ref="C3:F3"/>
    <mergeCell ref="C4:F4"/>
    <mergeCell ref="C5:F5"/>
    <mergeCell ref="C7:C8"/>
    <mergeCell ref="D7:D8"/>
  </mergeCells>
  <conditionalFormatting sqref="E6">
    <cfRule type="expression" dxfId="78" priority="252" stopIfTrue="1">
      <formula>IF($B6-INT($B6)&gt;0,TRUE,FALSE)</formula>
    </cfRule>
  </conditionalFormatting>
  <conditionalFormatting sqref="D9:D19 D6 F6">
    <cfRule type="cellIs" dxfId="77" priority="253" stopIfTrue="1" operator="equal">
      <formula>"NO ADMISIBLE"</formula>
    </cfRule>
  </conditionalFormatting>
  <conditionalFormatting sqref="F10:F19">
    <cfRule type="expression" dxfId="76" priority="247" stopIfTrue="1">
      <formula>IF($B2-INT($B2)&gt;0,TRUE,FALSE)</formula>
    </cfRule>
  </conditionalFormatting>
  <conditionalFormatting sqref="E10:E19 E9:F9">
    <cfRule type="expression" dxfId="75" priority="254" stopIfTrue="1">
      <formula>IF(#REF!-INT(#REF!)&gt;0,TRUE,FALSE)</formula>
    </cfRule>
  </conditionalFormatting>
  <conditionalFormatting sqref="D20:D30">
    <cfRule type="cellIs" dxfId="74" priority="2" stopIfTrue="1" operator="equal">
      <formula>"NO ADMISIBLE"</formula>
    </cfRule>
  </conditionalFormatting>
  <conditionalFormatting sqref="F21:F30">
    <cfRule type="expression" dxfId="73" priority="1" stopIfTrue="1">
      <formula>IF($B13-INT($B13)&gt;0,TRUE,FALSE)</formula>
    </cfRule>
  </conditionalFormatting>
  <conditionalFormatting sqref="E21:E30 E20:F20">
    <cfRule type="expression" dxfId="72" priority="3" stopIfTrue="1">
      <formula>IF(#REF!-INT(#REF!)&gt;0,TRUE,FALSE)</formula>
    </cfRule>
  </conditionalFormatting>
  <dataValidations count="1">
    <dataValidation type="list" allowBlank="1" showInputMessage="1" showErrorMessage="1" sqref="D9:D30 D6" xr:uid="{00000000-0002-0000-0700-000000000000}">
      <formula1>prueba</formula1>
    </dataValidation>
  </dataValidations>
  <pageMargins left="0.74803149606299213" right="0.74803149606299213" top="0.98425196850393704" bottom="0.98425196850393704" header="0" footer="0"/>
  <pageSetup paperSize="9" scale="90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MacroCT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10"/>
  <dimension ref="C2:M30"/>
  <sheetViews>
    <sheetView workbookViewId="0">
      <selection activeCell="A22" sqref="A22:XFD30"/>
    </sheetView>
  </sheetViews>
  <sheetFormatPr baseColWidth="10" defaultRowHeight="12.75" x14ac:dyDescent="0.2"/>
  <cols>
    <col min="1" max="1" width="11.42578125" style="163" customWidth="1"/>
    <col min="2" max="2" width="11.28515625" style="163" customWidth="1"/>
    <col min="3" max="3" width="3.85546875" style="163" customWidth="1"/>
    <col min="4" max="4" width="29.42578125" style="163" customWidth="1"/>
    <col min="5" max="6" width="18.7109375" style="151" customWidth="1"/>
    <col min="7" max="7" width="14.7109375" style="151" bestFit="1" customWidth="1"/>
    <col min="8" max="8" width="42.42578125" style="151" customWidth="1"/>
    <col min="9" max="9" width="11.42578125" style="163"/>
    <col min="10" max="10" width="13.85546875" style="175" customWidth="1"/>
    <col min="11" max="11" width="9.7109375" style="176" customWidth="1"/>
    <col min="12" max="12" width="12.5703125" style="163" customWidth="1"/>
    <col min="13" max="13" width="12.7109375" style="163" customWidth="1"/>
    <col min="14" max="16384" width="11.42578125" style="163"/>
  </cols>
  <sheetData>
    <row r="2" spans="3:13" s="165" customFormat="1" ht="20.25" customHeight="1" x14ac:dyDescent="0.2">
      <c r="C2" s="400" t="s">
        <v>265</v>
      </c>
      <c r="D2" s="400"/>
      <c r="E2" s="400"/>
      <c r="F2" s="400"/>
      <c r="G2" s="400"/>
      <c r="H2" s="400"/>
      <c r="J2" s="166"/>
      <c r="K2" s="167"/>
    </row>
    <row r="3" spans="3:13" s="165" customFormat="1" ht="18" customHeight="1" x14ac:dyDescent="0.2">
      <c r="C3" s="401" t="s">
        <v>279</v>
      </c>
      <c r="D3" s="401"/>
      <c r="E3" s="401"/>
      <c r="F3" s="401"/>
      <c r="G3" s="401"/>
      <c r="H3" s="401"/>
      <c r="J3" s="166"/>
      <c r="K3" s="167"/>
    </row>
    <row r="4" spans="3:13" s="165" customFormat="1" ht="13.5" customHeight="1" x14ac:dyDescent="0.2">
      <c r="C4" s="402" t="str">
        <f>'Capacidad Financiera'!B4</f>
        <v>DIRECCIÓN TERRITORIAL SUCRE</v>
      </c>
      <c r="D4" s="402"/>
      <c r="E4" s="402"/>
      <c r="F4" s="402"/>
      <c r="G4" s="402"/>
      <c r="H4" s="402"/>
      <c r="J4" s="166"/>
      <c r="K4" s="167"/>
    </row>
    <row r="5" spans="3:13" s="165" customFormat="1" ht="13.5" customHeight="1" x14ac:dyDescent="0.2">
      <c r="C5" s="402" t="s">
        <v>286</v>
      </c>
      <c r="D5" s="402"/>
      <c r="E5" s="402"/>
      <c r="F5" s="402"/>
      <c r="G5" s="402"/>
      <c r="H5" s="402"/>
      <c r="J5" s="166"/>
      <c r="K5" s="167"/>
    </row>
    <row r="6" spans="3:13" s="165" customFormat="1" ht="14.25" thickBot="1" x14ac:dyDescent="0.25">
      <c r="C6" s="168"/>
      <c r="D6" s="169"/>
      <c r="E6" s="173"/>
      <c r="F6" s="173"/>
      <c r="G6" s="173"/>
      <c r="H6" s="173"/>
      <c r="J6" s="166"/>
      <c r="K6" s="167"/>
    </row>
    <row r="7" spans="3:13" ht="43.5" customHeight="1" x14ac:dyDescent="0.2">
      <c r="C7" s="403" t="s">
        <v>164</v>
      </c>
      <c r="D7" s="405" t="s">
        <v>163</v>
      </c>
      <c r="E7" s="407" t="s">
        <v>287</v>
      </c>
      <c r="F7" s="409" t="s">
        <v>288</v>
      </c>
      <c r="G7" s="409" t="s">
        <v>289</v>
      </c>
      <c r="H7" s="213" t="s">
        <v>286</v>
      </c>
    </row>
    <row r="8" spans="3:13" ht="84.75" customHeight="1" thickBot="1" x14ac:dyDescent="0.25">
      <c r="C8" s="404"/>
      <c r="D8" s="406"/>
      <c r="E8" s="408"/>
      <c r="F8" s="410"/>
      <c r="G8" s="410"/>
      <c r="H8" s="215" t="s">
        <v>290</v>
      </c>
    </row>
    <row r="9" spans="3:13" x14ac:dyDescent="0.2">
      <c r="C9" s="98">
        <f>+'Capacidad Financiera'!B12</f>
        <v>1</v>
      </c>
      <c r="D9" s="99">
        <f>IF(ISERROR(VLOOKUP(C9,'Capacidad Financiera'!$B$12:$AD$59206,2,0)),"",VLOOKUP(C9,'Capacidad Financiera'!$B$12:$AD$59206,2,0))</f>
        <v>0</v>
      </c>
      <c r="E9" s="216" t="str">
        <f>IF(C10="",IF(C9&lt;&gt;"",IF(ISERROR(VLOOKUP(D9,'Capacidad Financiera'!$C$12:$H$22,3,0)),"",VLOOKUP(D9,'Capacidad Financiera'!$C$12:$H$22,3,0))),"")</f>
        <v/>
      </c>
      <c r="F9" s="216" t="str">
        <f>IF(C10="",IF(C9&lt;&gt;"",IF(ISERROR(VLOOKUP(D9,'Capacidad Financiera'!$C$12:$H$22,5,0)),"",VLOOKUP(D9,'Capacidad Financiera'!$C$12:$H$22,5,0))),"")</f>
        <v/>
      </c>
      <c r="G9" s="140" t="str">
        <f>IF(OR(D9="",E9="",F9=""),"",IF(OR(E9=0,F9=0),0,E9/F9))</f>
        <v/>
      </c>
      <c r="H9" s="207" t="str">
        <f>IF(C10="",IF(AND(E9="",F9=""),"",IF(AND(G9&gt;0,G9&lt;=CapFinanciera1),Puntajes!$D$12,IF(AND(G9&gt;CapFinanciera1,G9&lt;=CapFinanciera2),Puntajes!$D$13,IF(AND(G9&gt;CapFinanciera2,G9&lt;=CapFinanciera3),Puntajes!$D$14,IF(AND(G9&gt;CapFinanciera3,G9&lt;=CapFinanciera4),Puntajes!$D$15,IF(G9&gt;CapFinanciera4,Puntajes!$D$16,0)))))),"")</f>
        <v/>
      </c>
      <c r="J9" s="177"/>
      <c r="K9" s="178"/>
      <c r="L9" s="164"/>
      <c r="M9" s="179"/>
    </row>
    <row r="10" spans="3:13" ht="26.25" thickBot="1" x14ac:dyDescent="0.25">
      <c r="C10" s="103">
        <f>+'Capacidad Financiera'!B13</f>
        <v>1.1000000000000001</v>
      </c>
      <c r="D10" s="143" t="str">
        <f>IF(ISERROR(VLOOKUP(C10,'Capacidad Financiera'!$B$12:$AD$59206,2,0)),"",VLOOKUP(C10,'Capacidad Financiera'!$B$12:$AD$59206,2,0))</f>
        <v>EMPRESA DE MANTENIMIENTO VIAL LA MOJANA S.A.S.</v>
      </c>
      <c r="E10" s="217">
        <f>IF(OR(C10="",D10=""),"",IF(ISERROR(VLOOKUP(D10,'Capacidad Financiera'!$C$13:$AD$59206,3,0)),"",VLOOKUP(D10,'Capacidad Financiera'!$C$13:$AD$59206,3,0)))</f>
        <v>49500000</v>
      </c>
      <c r="F10" s="217">
        <f>IF(OR(C10="",D10=""),"",IF(ISERROR(VLOOKUP(D10,'Capacidad Financiera'!$C$13:$AD$59206,5,0)),"",VLOOKUP(D10,'Capacidad Financiera'!$C$13:$AD$59206,5,0)))</f>
        <v>2000000</v>
      </c>
      <c r="G10" s="219">
        <f t="shared" ref="G10:G19" si="0">IF(OR(D10="",E10="",F10=""),"",IF(OR(E10=0,F10=0),0,E10/F10))</f>
        <v>24.75</v>
      </c>
      <c r="H10" s="223">
        <f>IF(OR(D10="",E10="",F10=""),"",IF(AND(G10&gt;0,G10&lt;=CapFinanciera1),Puntajes!$D$12,IF(AND(G10&gt;CapFinanciera1,G10&lt;=CapFinanciera2),Puntajes!$D$13,IF(AND(G10&gt;CapFinanciera2,G10&lt;=CapFinanciera3),Puntajes!$D$14,IF(AND(G10&gt;CapFinanciera3,G10&lt;=CapFinanciera4),Puntajes!$D$15,IF(G10&gt;CapFinanciera4,Puntajes!$D$16,0))))))</f>
        <v>40</v>
      </c>
    </row>
    <row r="11" spans="3:13" hidden="1" x14ac:dyDescent="0.2">
      <c r="C11" s="103" t="str">
        <f>+'Capacidad Financiera'!B14</f>
        <v/>
      </c>
      <c r="D11" s="143">
        <f>IF(ISERROR(VLOOKUP(C11,'Capacidad Financiera'!$B$12:$AD$59206,2,0)),"",VLOOKUP(C11,'Capacidad Financiera'!$B$12:$AD$59206,2,0))</f>
        <v>0</v>
      </c>
      <c r="E11" s="217" t="str">
        <f>IF(OR(C11="",D11=""),"",IF(ISERROR(VLOOKUP(D11,'Capacidad Financiera'!$C$13:$AD$59206,3,0)),"",VLOOKUP(D11,'Capacidad Financiera'!$C$13:$AD$59206,3,0)))</f>
        <v/>
      </c>
      <c r="F11" s="217" t="str">
        <f>IF(OR(C11="",D11=""),"",IF(ISERROR(VLOOKUP(D11,'Capacidad Financiera'!$C$13:$AD$59206,5,0)),"",VLOOKUP(D11,'Capacidad Financiera'!$C$13:$AD$59206,5,0)))</f>
        <v/>
      </c>
      <c r="G11" s="219" t="str">
        <f t="shared" si="0"/>
        <v/>
      </c>
      <c r="H11" s="223" t="str">
        <f>IF(OR(D11="",E11="",F11=""),"",IF(AND(G11&gt;0,G11&lt;=CapFinanciera1),Puntajes!$D$12,IF(AND(G11&gt;CapFinanciera1,G11&lt;=CapFinanciera2),Puntajes!$D$13,IF(AND(G11&gt;CapFinanciera2,G11&lt;=CapFinanciera3),Puntajes!$D$14,IF(AND(G11&gt;CapFinanciera3,G11&lt;=CapFinanciera4),Puntajes!$D$15,IF(G11&gt;CapFinanciera4,Puntajes!$D$16,0))))))</f>
        <v/>
      </c>
    </row>
    <row r="12" spans="3:13" hidden="1" x14ac:dyDescent="0.2">
      <c r="C12" s="103" t="str">
        <f>+'Capacidad Financiera'!B15</f>
        <v/>
      </c>
      <c r="D12" s="143">
        <f>IF(ISERROR(VLOOKUP(C12,'Capacidad Financiera'!$B$12:$AD$59206,2,0)),"",VLOOKUP(C12,'Capacidad Financiera'!$B$12:$AD$59206,2,0))</f>
        <v>0</v>
      </c>
      <c r="E12" s="217" t="str">
        <f>IF(OR(C12="",D12=""),"",IF(ISERROR(VLOOKUP(D12,'Capacidad Financiera'!$C$13:$AD$59206,3,0)),"",VLOOKUP(D12,'Capacidad Financiera'!$C$13:$AD$59206,3,0)))</f>
        <v/>
      </c>
      <c r="F12" s="217" t="str">
        <f>IF(OR(C12="",D12=""),"",IF(ISERROR(VLOOKUP(D12,'Capacidad Financiera'!$C$13:$AD$59206,5,0)),"",VLOOKUP(D12,'Capacidad Financiera'!$C$13:$AD$59206,5,0)))</f>
        <v/>
      </c>
      <c r="G12" s="219" t="str">
        <f t="shared" si="0"/>
        <v/>
      </c>
      <c r="H12" s="223" t="str">
        <f>IF(OR(D12="",E12="",F12=""),"",IF(AND(G12&gt;0,G12&lt;=CapFinanciera1),Puntajes!$D$12,IF(AND(G12&gt;CapFinanciera1,G12&lt;=CapFinanciera2),Puntajes!$D$13,IF(AND(G12&gt;CapFinanciera2,G12&lt;=CapFinanciera3),Puntajes!$D$14,IF(AND(G12&gt;CapFinanciera3,G12&lt;=CapFinanciera4),Puntajes!$D$15,IF(G12&gt;CapFinanciera4,Puntajes!$D$16,0))))))</f>
        <v/>
      </c>
    </row>
    <row r="13" spans="3:13" hidden="1" x14ac:dyDescent="0.2">
      <c r="C13" s="103" t="str">
        <f>+'Capacidad Financiera'!B16</f>
        <v/>
      </c>
      <c r="D13" s="143">
        <f>IF(ISERROR(VLOOKUP(C13,'Capacidad Financiera'!$B$12:$AD$59206,2,0)),"",VLOOKUP(C13,'Capacidad Financiera'!$B$12:$AD$59206,2,0))</f>
        <v>0</v>
      </c>
      <c r="E13" s="217" t="str">
        <f>IF(OR(C13="",D13=""),"",IF(ISERROR(VLOOKUP(D13,'Capacidad Financiera'!$C$13:$AD$59206,3,0)),"",VLOOKUP(D13,'Capacidad Financiera'!$C$13:$AD$59206,3,0)))</f>
        <v/>
      </c>
      <c r="F13" s="217" t="str">
        <f>IF(OR(C13="",D13=""),"",IF(ISERROR(VLOOKUP(D13,'Capacidad Financiera'!$C$13:$AD$59206,5,0)),"",VLOOKUP(D13,'Capacidad Financiera'!$C$13:$AD$59206,5,0)))</f>
        <v/>
      </c>
      <c r="G13" s="219" t="str">
        <f t="shared" si="0"/>
        <v/>
      </c>
      <c r="H13" s="223" t="str">
        <f>IF(OR(D13="",E13="",F13=""),"",IF(AND(G13&gt;0,G13&lt;=CapFinanciera1),Puntajes!$D$12,IF(AND(G13&gt;CapFinanciera1,G13&lt;=CapFinanciera2),Puntajes!$D$13,IF(AND(G13&gt;CapFinanciera2,G13&lt;=CapFinanciera3),Puntajes!$D$14,IF(AND(G13&gt;CapFinanciera3,G13&lt;=CapFinanciera4),Puntajes!$D$15,IF(G13&gt;CapFinanciera4,Puntajes!$D$16,0))))))</f>
        <v/>
      </c>
    </row>
    <row r="14" spans="3:13" hidden="1" x14ac:dyDescent="0.2">
      <c r="C14" s="103" t="str">
        <f>+'Capacidad Financiera'!B17</f>
        <v/>
      </c>
      <c r="D14" s="143">
        <f>IF(ISERROR(VLOOKUP(C14,'Capacidad Financiera'!$B$12:$AD$59206,2,0)),"",VLOOKUP(C14,'Capacidad Financiera'!$B$12:$AD$59206,2,0))</f>
        <v>0</v>
      </c>
      <c r="E14" s="217" t="str">
        <f>IF(OR(C14="",D14=""),"",IF(ISERROR(VLOOKUP(D14,'Capacidad Financiera'!$C$13:$AD$59206,3,0)),"",VLOOKUP(D14,'Capacidad Financiera'!$C$13:$AD$59206,3,0)))</f>
        <v/>
      </c>
      <c r="F14" s="217" t="str">
        <f>IF(OR(C14="",D14=""),"",IF(ISERROR(VLOOKUP(D14,'Capacidad Financiera'!$C$13:$AD$59206,5,0)),"",VLOOKUP(D14,'Capacidad Financiera'!$C$13:$AD$59206,5,0)))</f>
        <v/>
      </c>
      <c r="G14" s="219" t="str">
        <f t="shared" si="0"/>
        <v/>
      </c>
      <c r="H14" s="223" t="str">
        <f>IF(OR(D14="",E14="",F14=""),"",IF(AND(G14&gt;0,G14&lt;=CapFinanciera1),Puntajes!$D$12,IF(AND(G14&gt;CapFinanciera1,G14&lt;=CapFinanciera2),Puntajes!$D$13,IF(AND(G14&gt;CapFinanciera2,G14&lt;=CapFinanciera3),Puntajes!$D$14,IF(AND(G14&gt;CapFinanciera3,G14&lt;=CapFinanciera4),Puntajes!$D$15,IF(G14&gt;CapFinanciera4,Puntajes!$D$16,0))))))</f>
        <v/>
      </c>
    </row>
    <row r="15" spans="3:13" hidden="1" x14ac:dyDescent="0.2">
      <c r="C15" s="103" t="str">
        <f>+'Capacidad Financiera'!B18</f>
        <v/>
      </c>
      <c r="D15" s="143">
        <f>IF(ISERROR(VLOOKUP(C15,'Capacidad Financiera'!$B$12:$AD$59206,2,0)),"",VLOOKUP(C15,'Capacidad Financiera'!$B$12:$AD$59206,2,0))</f>
        <v>0</v>
      </c>
      <c r="E15" s="217" t="str">
        <f>IF(OR(C15="",D15=""),"",IF(ISERROR(VLOOKUP(D15,'Capacidad Financiera'!$C$13:$AD$59206,3,0)),"",VLOOKUP(D15,'Capacidad Financiera'!$C$13:$AD$59206,3,0)))</f>
        <v/>
      </c>
      <c r="F15" s="217" t="str">
        <f>IF(OR(C15="",D15=""),"",IF(ISERROR(VLOOKUP(D15,'Capacidad Financiera'!$C$13:$AD$59206,5,0)),"",VLOOKUP(D15,'Capacidad Financiera'!$C$13:$AD$59206,5,0)))</f>
        <v/>
      </c>
      <c r="G15" s="219" t="str">
        <f t="shared" si="0"/>
        <v/>
      </c>
      <c r="H15" s="223" t="str">
        <f>IF(OR(D15="",E15="",F15=""),"",IF(AND(G15&gt;0,G15&lt;=CapFinanciera1),Puntajes!$D$12,IF(AND(G15&gt;CapFinanciera1,G15&lt;=CapFinanciera2),Puntajes!$D$13,IF(AND(G15&gt;CapFinanciera2,G15&lt;=CapFinanciera3),Puntajes!$D$14,IF(AND(G15&gt;CapFinanciera3,G15&lt;=CapFinanciera4),Puntajes!$D$15,IF(G15&gt;CapFinanciera4,Puntajes!$D$16,0))))))</f>
        <v/>
      </c>
    </row>
    <row r="16" spans="3:13" hidden="1" x14ac:dyDescent="0.2">
      <c r="C16" s="103" t="str">
        <f>+'Capacidad Financiera'!B19</f>
        <v/>
      </c>
      <c r="D16" s="143">
        <f>IF(ISERROR(VLOOKUP(C16,'Capacidad Financiera'!$B$12:$AD$59206,2,0)),"",VLOOKUP(C16,'Capacidad Financiera'!$B$12:$AD$59206,2,0))</f>
        <v>0</v>
      </c>
      <c r="E16" s="217" t="str">
        <f>IF(OR(C16="",D16=""),"",IF(ISERROR(VLOOKUP(D16,'Capacidad Financiera'!$C$13:$AD$59206,3,0)),"",VLOOKUP(D16,'Capacidad Financiera'!$C$13:$AD$59206,3,0)))</f>
        <v/>
      </c>
      <c r="F16" s="217" t="str">
        <f>IF(OR(C16="",D16=""),"",IF(ISERROR(VLOOKUP(D16,'Capacidad Financiera'!$C$13:$AD$59206,5,0)),"",VLOOKUP(D16,'Capacidad Financiera'!$C$13:$AD$59206,5,0)))</f>
        <v/>
      </c>
      <c r="G16" s="219" t="str">
        <f t="shared" si="0"/>
        <v/>
      </c>
      <c r="H16" s="223" t="str">
        <f>IF(OR(D16="",E16="",F16=""),"",IF(AND(G16&gt;0,G16&lt;=CapFinanciera1),Puntajes!$D$12,IF(AND(G16&gt;CapFinanciera1,G16&lt;=CapFinanciera2),Puntajes!$D$13,IF(AND(G16&gt;CapFinanciera2,G16&lt;=CapFinanciera3),Puntajes!$D$14,IF(AND(G16&gt;CapFinanciera3,G16&lt;=CapFinanciera4),Puntajes!$D$15,IF(G16&gt;CapFinanciera4,Puntajes!$D$16,0))))))</f>
        <v/>
      </c>
    </row>
    <row r="17" spans="3:8" hidden="1" x14ac:dyDescent="0.2">
      <c r="C17" s="103" t="str">
        <f>+'Capacidad Financiera'!B20</f>
        <v/>
      </c>
      <c r="D17" s="143">
        <f>IF(ISERROR(VLOOKUP(C17,'Capacidad Financiera'!$B$12:$AD$59206,2,0)),"",VLOOKUP(C17,'Capacidad Financiera'!$B$12:$AD$59206,2,0))</f>
        <v>0</v>
      </c>
      <c r="E17" s="217" t="str">
        <f>IF(OR(C17="",D17=""),"",IF(ISERROR(VLOOKUP(D17,'Capacidad Financiera'!$C$13:$AD$59206,3,0)),"",VLOOKUP(D17,'Capacidad Financiera'!$C$13:$AD$59206,3,0)))</f>
        <v/>
      </c>
      <c r="F17" s="217" t="str">
        <f>IF(OR(C17="",D17=""),"",IF(ISERROR(VLOOKUP(D17,'Capacidad Financiera'!$C$13:$AD$59206,5,0)),"",VLOOKUP(D17,'Capacidad Financiera'!$C$13:$AD$59206,5,0)))</f>
        <v/>
      </c>
      <c r="G17" s="219" t="str">
        <f t="shared" si="0"/>
        <v/>
      </c>
      <c r="H17" s="223" t="str">
        <f>IF(OR(D17="",E17="",F17=""),"",IF(AND(G17&gt;0,G17&lt;=CapFinanciera1),Puntajes!$D$12,IF(AND(G17&gt;CapFinanciera1,G17&lt;=CapFinanciera2),Puntajes!$D$13,IF(AND(G17&gt;CapFinanciera2,G17&lt;=CapFinanciera3),Puntajes!$D$14,IF(AND(G17&gt;CapFinanciera3,G17&lt;=CapFinanciera4),Puntajes!$D$15,IF(G17&gt;CapFinanciera4,Puntajes!$D$16,0))))))</f>
        <v/>
      </c>
    </row>
    <row r="18" spans="3:8" hidden="1" x14ac:dyDescent="0.2">
      <c r="C18" s="103" t="str">
        <f>+'Capacidad Financiera'!B21</f>
        <v/>
      </c>
      <c r="D18" s="143">
        <f>IF(ISERROR(VLOOKUP(C18,'Capacidad Financiera'!$B$12:$AD$59206,2,0)),"",VLOOKUP(C18,'Capacidad Financiera'!$B$12:$AD$59206,2,0))</f>
        <v>0</v>
      </c>
      <c r="E18" s="217" t="str">
        <f>IF(OR(C18="",D18=""),"",IF(ISERROR(VLOOKUP(D18,'Capacidad Financiera'!$C$13:$AD$59206,3,0)),"",VLOOKUP(D18,'Capacidad Financiera'!$C$13:$AD$59206,3,0)))</f>
        <v/>
      </c>
      <c r="F18" s="217" t="str">
        <f>IF(OR(C18="",D18=""),"",IF(ISERROR(VLOOKUP(D18,'Capacidad Financiera'!$C$13:$AD$59206,5,0)),"",VLOOKUP(D18,'Capacidad Financiera'!$C$13:$AD$59206,5,0)))</f>
        <v/>
      </c>
      <c r="G18" s="219" t="str">
        <f t="shared" si="0"/>
        <v/>
      </c>
      <c r="H18" s="223" t="str">
        <f>IF(OR(D18="",E18="",F18=""),"",IF(AND(G18&gt;0,G18&lt;=CapFinanciera1),Puntajes!$D$12,IF(AND(G18&gt;CapFinanciera1,G18&lt;=CapFinanciera2),Puntajes!$D$13,IF(AND(G18&gt;CapFinanciera2,G18&lt;=CapFinanciera3),Puntajes!$D$14,IF(AND(G18&gt;CapFinanciera3,G18&lt;=CapFinanciera4),Puntajes!$D$15,IF(G18&gt;CapFinanciera4,Puntajes!$D$16,0))))))</f>
        <v/>
      </c>
    </row>
    <row r="19" spans="3:8" ht="13.5" hidden="1" thickBot="1" x14ac:dyDescent="0.25">
      <c r="C19" s="104" t="str">
        <f>+'Capacidad Financiera'!B22</f>
        <v/>
      </c>
      <c r="D19" s="105">
        <f>IF(ISERROR(VLOOKUP(C19,'Capacidad Financiera'!$B$12:$AD$59206,2,0)),"",VLOOKUP(C19,'Capacidad Financiera'!$B$12:$AD$59206,2,0))</f>
        <v>0</v>
      </c>
      <c r="E19" s="218" t="str">
        <f>IF(OR(C19="",D19=""),"",IF(ISERROR(VLOOKUP(D19,'Capacidad Financiera'!$C$13:$AD$59206,3,0)),"",VLOOKUP(D19,'Capacidad Financiera'!$C$13:$AD$59206,3,0)))</f>
        <v/>
      </c>
      <c r="F19" s="218" t="str">
        <f>IF(OR(C19="",D19=""),"",IF(ISERROR(VLOOKUP(D19,'Capacidad Financiera'!$C$13:$AD$59206,5,0)),"",VLOOKUP(D19,'Capacidad Financiera'!$C$13:$AD$59206,5,0)))</f>
        <v/>
      </c>
      <c r="G19" s="220" t="str">
        <f t="shared" si="0"/>
        <v/>
      </c>
      <c r="H19" s="224" t="str">
        <f>IF(OR(D19="",E19="",F19=""),"",IF(AND(G19&gt;0,G19&lt;=CapFinanciera1),Puntajes!$D$12,IF(AND(G19&gt;CapFinanciera1,G19&lt;=CapFinanciera2),Puntajes!$D$13,IF(AND(G19&gt;CapFinanciera2,G19&lt;=CapFinanciera3),Puntajes!$D$14,IF(AND(G19&gt;CapFinanciera3,G19&lt;=CapFinanciera4),Puntajes!$D$15,IF(G19&gt;CapFinanciera4,Puntajes!$D$16,0))))))</f>
        <v/>
      </c>
    </row>
    <row r="20" spans="3:8" x14ac:dyDescent="0.2">
      <c r="C20" s="98">
        <v>2</v>
      </c>
      <c r="D20" s="99">
        <f>IF(ISERROR(VLOOKUP(C20,'Capacidad Financiera'!$B$12:$AD$59206,2,0)),"",VLOOKUP(C20,'Capacidad Financiera'!$B$12:$AD$59206,2,0))</f>
        <v>0</v>
      </c>
      <c r="E20" s="216" t="str">
        <f>IF(C21="",IF(C20&lt;&gt;"",IF(ISERROR(VLOOKUP(D20,'Capacidad Financiera'!$C$12:$H$22,3,0)),"",VLOOKUP(D20,'Capacidad Financiera'!$C$12:$H$22,3,0))),"")</f>
        <v/>
      </c>
      <c r="F20" s="216" t="str">
        <f>IF(C21="",IF(C20&lt;&gt;"",IF(ISERROR(VLOOKUP(D20,'Capacidad Financiera'!$C$12:$H$22,5,0)),"",VLOOKUP(D20,'Capacidad Financiera'!$C$12:$H$22,5,0))),"")</f>
        <v/>
      </c>
      <c r="G20" s="140" t="str">
        <f>IF(OR(D20="",E20="",F20=""),"",IF(OR(E20=0,F20=0),0,E20/F20))</f>
        <v/>
      </c>
      <c r="H20" s="207" t="str">
        <f>IF(C21="",IF(AND(E20="",F20=""),"",IF(AND(G20&gt;0,G20&lt;=CapFinanciera1),Puntajes!$D$12,IF(AND(G20&gt;CapFinanciera1,G20&lt;=CapFinanciera2),Puntajes!$D$13,IF(AND(G20&gt;CapFinanciera2,G20&lt;=CapFinanciera3),Puntajes!$D$14,IF(AND(G20&gt;CapFinanciera3,G20&lt;=CapFinanciera4),Puntajes!$D$15,IF(G20&gt;CapFinanciera4,Puntajes!$D$16,0)))))),"")</f>
        <v/>
      </c>
    </row>
    <row r="21" spans="3:8" ht="25.5" x14ac:dyDescent="0.2">
      <c r="C21" s="103">
        <f>+'Capacidad Financiera'!B24</f>
        <v>2.1</v>
      </c>
      <c r="D21" s="143" t="str">
        <f>IF(ISERROR(VLOOKUP(C21,'Capacidad Financiera'!$B$12:$AD$59206,2,0)),"",VLOOKUP(C21,'Capacidad Financiera'!$B$12:$AD$59206,2,0))</f>
        <v>EMPRESA DE TRABAJADORES DE SAN MARCOS ETASAMAR S.A.S.</v>
      </c>
      <c r="E21" s="217">
        <f>IF(OR(C21="",D21=""),"",IF(ISERROR(VLOOKUP(D21,'Capacidad Financiera'!$C$13:$AD$59206,3,0)),"",VLOOKUP(D21,'Capacidad Financiera'!$C$13:$AD$59206,3,0)))</f>
        <v>70000000</v>
      </c>
      <c r="F21" s="217">
        <f>IF(OR(C21="",D21=""),"",IF(ISERROR(VLOOKUP(D21,'Capacidad Financiera'!$C$13:$AD$59206,5,0)),"",VLOOKUP(D21,'Capacidad Financiera'!$C$13:$AD$59206,5,0)))</f>
        <v>1000000</v>
      </c>
      <c r="G21" s="219">
        <f t="shared" ref="G21:G30" si="1">IF(OR(D21="",E21="",F21=""),"",IF(OR(E21=0,F21=0),0,E21/F21))</f>
        <v>70</v>
      </c>
      <c r="H21" s="223">
        <f>IF(OR(D21="",E21="",F21=""),"",IF(AND(G21&gt;0,G21&lt;=CapFinanciera1),Puntajes!$D$12,IF(AND(G21&gt;CapFinanciera1,G21&lt;=CapFinanciera2),Puntajes!$D$13,IF(AND(G21&gt;CapFinanciera2,G21&lt;=CapFinanciera3),Puntajes!$D$14,IF(AND(G21&gt;CapFinanciera3,G21&lt;=CapFinanciera4),Puntajes!$D$15,IF(G21&gt;CapFinanciera4,Puntajes!$D$16,0))))))</f>
        <v>40</v>
      </c>
    </row>
    <row r="22" spans="3:8" hidden="1" x14ac:dyDescent="0.2">
      <c r="C22" s="103" t="str">
        <f>+'Capacidad Financiera'!B25</f>
        <v/>
      </c>
      <c r="D22" s="143">
        <f>IF(ISERROR(VLOOKUP(C22,'Capacidad Financiera'!$B$12:$AD$59206,2,0)),"",VLOOKUP(C22,'Capacidad Financiera'!$B$12:$AD$59206,2,0))</f>
        <v>0</v>
      </c>
      <c r="E22" s="217" t="str">
        <f>IF(OR(C22="",D22=""),"",IF(ISERROR(VLOOKUP(D22,'Capacidad Financiera'!$C$13:$AD$59206,3,0)),"",VLOOKUP(D22,'Capacidad Financiera'!$C$13:$AD$59206,3,0)))</f>
        <v/>
      </c>
      <c r="F22" s="217" t="str">
        <f>IF(OR(C22="",D22=""),"",IF(ISERROR(VLOOKUP(D22,'Capacidad Financiera'!$C$13:$AD$59206,5,0)),"",VLOOKUP(D22,'Capacidad Financiera'!$C$13:$AD$59206,5,0)))</f>
        <v/>
      </c>
      <c r="G22" s="219" t="str">
        <f t="shared" si="1"/>
        <v/>
      </c>
      <c r="H22" s="223" t="str">
        <f>IF(OR(D22="",E22="",F22=""),"",IF(AND(G22&gt;0,G22&lt;=CapFinanciera1),Puntajes!$D$12,IF(AND(G22&gt;CapFinanciera1,G22&lt;=CapFinanciera2),Puntajes!$D$13,IF(AND(G22&gt;CapFinanciera2,G22&lt;=CapFinanciera3),Puntajes!$D$14,IF(AND(G22&gt;CapFinanciera3,G22&lt;=CapFinanciera4),Puntajes!$D$15,IF(G22&gt;CapFinanciera4,Puntajes!$D$16,0))))))</f>
        <v/>
      </c>
    </row>
    <row r="23" spans="3:8" hidden="1" x14ac:dyDescent="0.2">
      <c r="C23" s="103" t="str">
        <f>+'Capacidad Financiera'!B26</f>
        <v/>
      </c>
      <c r="D23" s="143">
        <f>IF(ISERROR(VLOOKUP(C23,'Capacidad Financiera'!$B$12:$AD$59206,2,0)),"",VLOOKUP(C23,'Capacidad Financiera'!$B$12:$AD$59206,2,0))</f>
        <v>0</v>
      </c>
      <c r="E23" s="217" t="str">
        <f>IF(OR(C23="",D23=""),"",IF(ISERROR(VLOOKUP(D23,'Capacidad Financiera'!$C$13:$AD$59206,3,0)),"",VLOOKUP(D23,'Capacidad Financiera'!$C$13:$AD$59206,3,0)))</f>
        <v/>
      </c>
      <c r="F23" s="217" t="str">
        <f>IF(OR(C23="",D23=""),"",IF(ISERROR(VLOOKUP(D23,'Capacidad Financiera'!$C$13:$AD$59206,5,0)),"",VLOOKUP(D23,'Capacidad Financiera'!$C$13:$AD$59206,5,0)))</f>
        <v/>
      </c>
      <c r="G23" s="219" t="str">
        <f t="shared" si="1"/>
        <v/>
      </c>
      <c r="H23" s="223" t="str">
        <f>IF(OR(D23="",E23="",F23=""),"",IF(AND(G23&gt;0,G23&lt;=CapFinanciera1),Puntajes!$D$12,IF(AND(G23&gt;CapFinanciera1,G23&lt;=CapFinanciera2),Puntajes!$D$13,IF(AND(G23&gt;CapFinanciera2,G23&lt;=CapFinanciera3),Puntajes!$D$14,IF(AND(G23&gt;CapFinanciera3,G23&lt;=CapFinanciera4),Puntajes!$D$15,IF(G23&gt;CapFinanciera4,Puntajes!$D$16,0))))))</f>
        <v/>
      </c>
    </row>
    <row r="24" spans="3:8" hidden="1" x14ac:dyDescent="0.2">
      <c r="C24" s="103" t="str">
        <f>+'Capacidad Financiera'!B27</f>
        <v/>
      </c>
      <c r="D24" s="143">
        <f>IF(ISERROR(VLOOKUP(C24,'Capacidad Financiera'!$B$12:$AD$59206,2,0)),"",VLOOKUP(C24,'Capacidad Financiera'!$B$12:$AD$59206,2,0))</f>
        <v>0</v>
      </c>
      <c r="E24" s="217" t="str">
        <f>IF(OR(C24="",D24=""),"",IF(ISERROR(VLOOKUP(D24,'Capacidad Financiera'!$C$13:$AD$59206,3,0)),"",VLOOKUP(D24,'Capacidad Financiera'!$C$13:$AD$59206,3,0)))</f>
        <v/>
      </c>
      <c r="F24" s="217" t="str">
        <f>IF(OR(C24="",D24=""),"",IF(ISERROR(VLOOKUP(D24,'Capacidad Financiera'!$C$13:$AD$59206,5,0)),"",VLOOKUP(D24,'Capacidad Financiera'!$C$13:$AD$59206,5,0)))</f>
        <v/>
      </c>
      <c r="G24" s="219" t="str">
        <f t="shared" si="1"/>
        <v/>
      </c>
      <c r="H24" s="223" t="str">
        <f>IF(OR(D24="",E24="",F24=""),"",IF(AND(G24&gt;0,G24&lt;=CapFinanciera1),Puntajes!$D$12,IF(AND(G24&gt;CapFinanciera1,G24&lt;=CapFinanciera2),Puntajes!$D$13,IF(AND(G24&gt;CapFinanciera2,G24&lt;=CapFinanciera3),Puntajes!$D$14,IF(AND(G24&gt;CapFinanciera3,G24&lt;=CapFinanciera4),Puntajes!$D$15,IF(G24&gt;CapFinanciera4,Puntajes!$D$16,0))))))</f>
        <v/>
      </c>
    </row>
    <row r="25" spans="3:8" hidden="1" x14ac:dyDescent="0.2">
      <c r="C25" s="103" t="str">
        <f>+'Capacidad Financiera'!B28</f>
        <v/>
      </c>
      <c r="D25" s="143">
        <f>IF(ISERROR(VLOOKUP(C25,'Capacidad Financiera'!$B$12:$AD$59206,2,0)),"",VLOOKUP(C25,'Capacidad Financiera'!$B$12:$AD$59206,2,0))</f>
        <v>0</v>
      </c>
      <c r="E25" s="217" t="str">
        <f>IF(OR(C25="",D25=""),"",IF(ISERROR(VLOOKUP(D25,'Capacidad Financiera'!$C$13:$AD$59206,3,0)),"",VLOOKUP(D25,'Capacidad Financiera'!$C$13:$AD$59206,3,0)))</f>
        <v/>
      </c>
      <c r="F25" s="217" t="str">
        <f>IF(OR(C25="",D25=""),"",IF(ISERROR(VLOOKUP(D25,'Capacidad Financiera'!$C$13:$AD$59206,5,0)),"",VLOOKUP(D25,'Capacidad Financiera'!$C$13:$AD$59206,5,0)))</f>
        <v/>
      </c>
      <c r="G25" s="219" t="str">
        <f t="shared" si="1"/>
        <v/>
      </c>
      <c r="H25" s="223" t="str">
        <f>IF(OR(D25="",E25="",F25=""),"",IF(AND(G25&gt;0,G25&lt;=CapFinanciera1),Puntajes!$D$12,IF(AND(G25&gt;CapFinanciera1,G25&lt;=CapFinanciera2),Puntajes!$D$13,IF(AND(G25&gt;CapFinanciera2,G25&lt;=CapFinanciera3),Puntajes!$D$14,IF(AND(G25&gt;CapFinanciera3,G25&lt;=CapFinanciera4),Puntajes!$D$15,IF(G25&gt;CapFinanciera4,Puntajes!$D$16,0))))))</f>
        <v/>
      </c>
    </row>
    <row r="26" spans="3:8" hidden="1" x14ac:dyDescent="0.2">
      <c r="C26" s="103" t="str">
        <f>+'Capacidad Financiera'!B29</f>
        <v/>
      </c>
      <c r="D26" s="143">
        <f>IF(ISERROR(VLOOKUP(C26,'Capacidad Financiera'!$B$12:$AD$59206,2,0)),"",VLOOKUP(C26,'Capacidad Financiera'!$B$12:$AD$59206,2,0))</f>
        <v>0</v>
      </c>
      <c r="E26" s="217" t="str">
        <f>IF(OR(C26="",D26=""),"",IF(ISERROR(VLOOKUP(D26,'Capacidad Financiera'!$C$13:$AD$59206,3,0)),"",VLOOKUP(D26,'Capacidad Financiera'!$C$13:$AD$59206,3,0)))</f>
        <v/>
      </c>
      <c r="F26" s="217" t="str">
        <f>IF(OR(C26="",D26=""),"",IF(ISERROR(VLOOKUP(D26,'Capacidad Financiera'!$C$13:$AD$59206,5,0)),"",VLOOKUP(D26,'Capacidad Financiera'!$C$13:$AD$59206,5,0)))</f>
        <v/>
      </c>
      <c r="G26" s="219" t="str">
        <f t="shared" si="1"/>
        <v/>
      </c>
      <c r="H26" s="223" t="str">
        <f>IF(OR(D26="",E26="",F26=""),"",IF(AND(G26&gt;0,G26&lt;=CapFinanciera1),Puntajes!$D$12,IF(AND(G26&gt;CapFinanciera1,G26&lt;=CapFinanciera2),Puntajes!$D$13,IF(AND(G26&gt;CapFinanciera2,G26&lt;=CapFinanciera3),Puntajes!$D$14,IF(AND(G26&gt;CapFinanciera3,G26&lt;=CapFinanciera4),Puntajes!$D$15,IF(G26&gt;CapFinanciera4,Puntajes!$D$16,0))))))</f>
        <v/>
      </c>
    </row>
    <row r="27" spans="3:8" hidden="1" x14ac:dyDescent="0.2">
      <c r="C27" s="103" t="str">
        <f>+'Capacidad Financiera'!B30</f>
        <v/>
      </c>
      <c r="D27" s="143">
        <f>IF(ISERROR(VLOOKUP(C27,'Capacidad Financiera'!$B$12:$AD$59206,2,0)),"",VLOOKUP(C27,'Capacidad Financiera'!$B$12:$AD$59206,2,0))</f>
        <v>0</v>
      </c>
      <c r="E27" s="217" t="str">
        <f>IF(OR(C27="",D27=""),"",IF(ISERROR(VLOOKUP(D27,'Capacidad Financiera'!$C$13:$AD$59206,3,0)),"",VLOOKUP(D27,'Capacidad Financiera'!$C$13:$AD$59206,3,0)))</f>
        <v/>
      </c>
      <c r="F27" s="217" t="str">
        <f>IF(OR(C27="",D27=""),"",IF(ISERROR(VLOOKUP(D27,'Capacidad Financiera'!$C$13:$AD$59206,5,0)),"",VLOOKUP(D27,'Capacidad Financiera'!$C$13:$AD$59206,5,0)))</f>
        <v/>
      </c>
      <c r="G27" s="219" t="str">
        <f t="shared" si="1"/>
        <v/>
      </c>
      <c r="H27" s="223" t="str">
        <f>IF(OR(D27="",E27="",F27=""),"",IF(AND(G27&gt;0,G27&lt;=CapFinanciera1),Puntajes!$D$12,IF(AND(G27&gt;CapFinanciera1,G27&lt;=CapFinanciera2),Puntajes!$D$13,IF(AND(G27&gt;CapFinanciera2,G27&lt;=CapFinanciera3),Puntajes!$D$14,IF(AND(G27&gt;CapFinanciera3,G27&lt;=CapFinanciera4),Puntajes!$D$15,IF(G27&gt;CapFinanciera4,Puntajes!$D$16,0))))))</f>
        <v/>
      </c>
    </row>
    <row r="28" spans="3:8" hidden="1" x14ac:dyDescent="0.2">
      <c r="C28" s="103" t="str">
        <f>+'Capacidad Financiera'!B31</f>
        <v/>
      </c>
      <c r="D28" s="143">
        <f>IF(ISERROR(VLOOKUP(C28,'Capacidad Financiera'!$B$12:$AD$59206,2,0)),"",VLOOKUP(C28,'Capacidad Financiera'!$B$12:$AD$59206,2,0))</f>
        <v>0</v>
      </c>
      <c r="E28" s="217" t="str">
        <f>IF(OR(C28="",D28=""),"",IF(ISERROR(VLOOKUP(D28,'Capacidad Financiera'!$C$13:$AD$59206,3,0)),"",VLOOKUP(D28,'Capacidad Financiera'!$C$13:$AD$59206,3,0)))</f>
        <v/>
      </c>
      <c r="F28" s="217" t="str">
        <f>IF(OR(C28="",D28=""),"",IF(ISERROR(VLOOKUP(D28,'Capacidad Financiera'!$C$13:$AD$59206,5,0)),"",VLOOKUP(D28,'Capacidad Financiera'!$C$13:$AD$59206,5,0)))</f>
        <v/>
      </c>
      <c r="G28" s="219" t="str">
        <f t="shared" si="1"/>
        <v/>
      </c>
      <c r="H28" s="223" t="str">
        <f>IF(OR(D28="",E28="",F28=""),"",IF(AND(G28&gt;0,G28&lt;=CapFinanciera1),Puntajes!$D$12,IF(AND(G28&gt;CapFinanciera1,G28&lt;=CapFinanciera2),Puntajes!$D$13,IF(AND(G28&gt;CapFinanciera2,G28&lt;=CapFinanciera3),Puntajes!$D$14,IF(AND(G28&gt;CapFinanciera3,G28&lt;=CapFinanciera4),Puntajes!$D$15,IF(G28&gt;CapFinanciera4,Puntajes!$D$16,0))))))</f>
        <v/>
      </c>
    </row>
    <row r="29" spans="3:8" hidden="1" x14ac:dyDescent="0.2">
      <c r="C29" s="103" t="str">
        <f>+'Capacidad Financiera'!B32</f>
        <v/>
      </c>
      <c r="D29" s="143">
        <f>IF(ISERROR(VLOOKUP(C29,'Capacidad Financiera'!$B$12:$AD$59206,2,0)),"",VLOOKUP(C29,'Capacidad Financiera'!$B$12:$AD$59206,2,0))</f>
        <v>0</v>
      </c>
      <c r="E29" s="217" t="str">
        <f>IF(OR(C29="",D29=""),"",IF(ISERROR(VLOOKUP(D29,'Capacidad Financiera'!$C$13:$AD$59206,3,0)),"",VLOOKUP(D29,'Capacidad Financiera'!$C$13:$AD$59206,3,0)))</f>
        <v/>
      </c>
      <c r="F29" s="217" t="str">
        <f>IF(OR(C29="",D29=""),"",IF(ISERROR(VLOOKUP(D29,'Capacidad Financiera'!$C$13:$AD$59206,5,0)),"",VLOOKUP(D29,'Capacidad Financiera'!$C$13:$AD$59206,5,0)))</f>
        <v/>
      </c>
      <c r="G29" s="219" t="str">
        <f t="shared" si="1"/>
        <v/>
      </c>
      <c r="H29" s="223" t="str">
        <f>IF(OR(D29="",E29="",F29=""),"",IF(AND(G29&gt;0,G29&lt;=CapFinanciera1),Puntajes!$D$12,IF(AND(G29&gt;CapFinanciera1,G29&lt;=CapFinanciera2),Puntajes!$D$13,IF(AND(G29&gt;CapFinanciera2,G29&lt;=CapFinanciera3),Puntajes!$D$14,IF(AND(G29&gt;CapFinanciera3,G29&lt;=CapFinanciera4),Puntajes!$D$15,IF(G29&gt;CapFinanciera4,Puntajes!$D$16,0))))))</f>
        <v/>
      </c>
    </row>
    <row r="30" spans="3:8" ht="13.5" hidden="1" thickBot="1" x14ac:dyDescent="0.25">
      <c r="C30" s="104" t="str">
        <f>+'Capacidad Financiera'!B33</f>
        <v/>
      </c>
      <c r="D30" s="105">
        <f>IF(ISERROR(VLOOKUP(C30,'Capacidad Financiera'!$B$12:$AD$59206,2,0)),"",VLOOKUP(C30,'Capacidad Financiera'!$B$12:$AD$59206,2,0))</f>
        <v>0</v>
      </c>
      <c r="E30" s="218" t="str">
        <f>IF(OR(C30="",D30=""),"",IF(ISERROR(VLOOKUP(D30,'Capacidad Financiera'!$C$13:$AD$59206,3,0)),"",VLOOKUP(D30,'Capacidad Financiera'!$C$13:$AD$59206,3,0)))</f>
        <v/>
      </c>
      <c r="F30" s="218" t="str">
        <f>IF(OR(C30="",D30=""),"",IF(ISERROR(VLOOKUP(D30,'Capacidad Financiera'!$C$13:$AD$59206,5,0)),"",VLOOKUP(D30,'Capacidad Financiera'!$C$13:$AD$59206,5,0)))</f>
        <v/>
      </c>
      <c r="G30" s="220" t="str">
        <f t="shared" si="1"/>
        <v/>
      </c>
      <c r="H30" s="224" t="str">
        <f>IF(OR(D30="",E30="",F30=""),"",IF(AND(G30&gt;0,G30&lt;=CapFinanciera1),Puntajes!$D$12,IF(AND(G30&gt;CapFinanciera1,G30&lt;=CapFinanciera2),Puntajes!$D$13,IF(AND(G30&gt;CapFinanciera2,G30&lt;=CapFinanciera3),Puntajes!$D$14,IF(AND(G30&gt;CapFinanciera3,G30&lt;=CapFinanciera4),Puntajes!$D$15,IF(G30&gt;CapFinanciera4,Puntajes!$D$16,0))))))</f>
        <v/>
      </c>
    </row>
  </sheetData>
  <sheetProtection formatCells="0" formatColumns="0" formatRows="0" insertColumns="0" insertRows="0" insertHyperlinks="0" deleteColumns="0" deleteRows="0" sort="0" autoFilter="0" pivotTables="0"/>
  <mergeCells count="9">
    <mergeCell ref="E7:E8"/>
    <mergeCell ref="F7:F8"/>
    <mergeCell ref="G7:G8"/>
    <mergeCell ref="C2:H2"/>
    <mergeCell ref="C3:H3"/>
    <mergeCell ref="C4:H4"/>
    <mergeCell ref="C5:H5"/>
    <mergeCell ref="C7:C8"/>
    <mergeCell ref="D7:D8"/>
  </mergeCells>
  <conditionalFormatting sqref="D9:D19 D6:H6">
    <cfRule type="cellIs" dxfId="71" priority="496" stopIfTrue="1" operator="equal">
      <formula>"NO ADMISIBLE"</formula>
    </cfRule>
  </conditionalFormatting>
  <conditionalFormatting sqref="E15:H19">
    <cfRule type="expression" dxfId="70" priority="494" stopIfTrue="1">
      <formula>IF($B8-INT($B8)&gt;0,TRUE,FALSE)</formula>
    </cfRule>
  </conditionalFormatting>
  <conditionalFormatting sqref="E10:H10">
    <cfRule type="expression" dxfId="69" priority="490" stopIfTrue="1">
      <formula>IF($B2-INT($B2)&gt;0,TRUE,FALSE)</formula>
    </cfRule>
  </conditionalFormatting>
  <conditionalFormatting sqref="E9:H9">
    <cfRule type="expression" dxfId="68" priority="497" stopIfTrue="1">
      <formula>IF(#REF!-INT(#REF!)&gt;0,TRUE,FALSE)</formula>
    </cfRule>
  </conditionalFormatting>
  <conditionalFormatting sqref="E11:H13">
    <cfRule type="expression" dxfId="67" priority="3002" stopIfTrue="1">
      <formula>IF($B5-INT($B5)&gt;0,TRUE,FALSE)</formula>
    </cfRule>
  </conditionalFormatting>
  <conditionalFormatting sqref="E14:H14">
    <cfRule type="expression" dxfId="66" priority="3004" stopIfTrue="1">
      <formula>IF(#REF!-INT(#REF!)&gt;0,TRUE,FALSE)</formula>
    </cfRule>
  </conditionalFormatting>
  <conditionalFormatting sqref="D20:D30">
    <cfRule type="cellIs" dxfId="65" priority="3" stopIfTrue="1" operator="equal">
      <formula>"NO ADMISIBLE"</formula>
    </cfRule>
  </conditionalFormatting>
  <conditionalFormatting sqref="E26:H30">
    <cfRule type="expression" dxfId="64" priority="2" stopIfTrue="1">
      <formula>IF($B19-INT($B19)&gt;0,TRUE,FALSE)</formula>
    </cfRule>
  </conditionalFormatting>
  <conditionalFormatting sqref="E21:H21">
    <cfRule type="expression" dxfId="63" priority="1" stopIfTrue="1">
      <formula>IF($B13-INT($B13)&gt;0,TRUE,FALSE)</formula>
    </cfRule>
  </conditionalFormatting>
  <conditionalFormatting sqref="E20:H20">
    <cfRule type="expression" dxfId="62" priority="4" stopIfTrue="1">
      <formula>IF(#REF!-INT(#REF!)&gt;0,TRUE,FALSE)</formula>
    </cfRule>
  </conditionalFormatting>
  <conditionalFormatting sqref="E22:H24">
    <cfRule type="expression" dxfId="61" priority="5" stopIfTrue="1">
      <formula>IF($B16-INT($B16)&gt;0,TRUE,FALSE)</formula>
    </cfRule>
  </conditionalFormatting>
  <conditionalFormatting sqref="E25:H25">
    <cfRule type="expression" dxfId="60" priority="6" stopIfTrue="1">
      <formula>IF(#REF!-INT(#REF!)&gt;0,TRUE,FALSE)</formula>
    </cfRule>
  </conditionalFormatting>
  <dataValidations disablePrompts="1" count="1">
    <dataValidation type="list" allowBlank="1" showInputMessage="1" showErrorMessage="1" sqref="D9:D30 D6" xr:uid="{00000000-0002-0000-0800-000000000000}">
      <formula1>prueba</formula1>
    </dataValidation>
  </dataValidations>
  <pageMargins left="0.74803149606299213" right="0.74803149606299213" top="0.98425196850393704" bottom="0.98425196850393704" header="0" footer="0"/>
  <pageSetup paperSize="9" scale="85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1" r:id="rId4" name="Button 1">
              <controlPr defaultSize="0" print="0" autoFill="0" autoPict="0" macro="[0]!MacroCF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12"/>
  <dimension ref="C2:J30"/>
  <sheetViews>
    <sheetView workbookViewId="0">
      <selection activeCell="A22" sqref="A22:XFD30"/>
    </sheetView>
  </sheetViews>
  <sheetFormatPr baseColWidth="10" defaultRowHeight="12.75" x14ac:dyDescent="0.2"/>
  <cols>
    <col min="1" max="1" width="11.42578125" style="163" customWidth="1"/>
    <col min="2" max="2" width="11.28515625" style="163" customWidth="1"/>
    <col min="3" max="3" width="3.85546875" style="163" customWidth="1"/>
    <col min="4" max="4" width="34.140625" style="163" customWidth="1"/>
    <col min="5" max="5" width="42" style="151" customWidth="1"/>
    <col min="6" max="6" width="11.42578125" style="163"/>
    <col min="7" max="7" width="13.85546875" style="175" customWidth="1"/>
    <col min="8" max="8" width="9.7109375" style="176" customWidth="1"/>
    <col min="9" max="9" width="12.5703125" style="163" customWidth="1"/>
    <col min="10" max="10" width="12.7109375" style="163" customWidth="1"/>
    <col min="11" max="16384" width="11.42578125" style="163"/>
  </cols>
  <sheetData>
    <row r="2" spans="3:10" s="165" customFormat="1" ht="20.25" customHeight="1" x14ac:dyDescent="0.2">
      <c r="C2" s="400" t="s">
        <v>265</v>
      </c>
      <c r="D2" s="400"/>
      <c r="E2" s="400"/>
      <c r="G2" s="166"/>
      <c r="H2" s="167"/>
    </row>
    <row r="3" spans="3:10" s="165" customFormat="1" ht="18" customHeight="1" x14ac:dyDescent="0.2">
      <c r="C3" s="401" t="s">
        <v>279</v>
      </c>
      <c r="D3" s="401"/>
      <c r="E3" s="401"/>
      <c r="G3" s="166"/>
      <c r="H3" s="167"/>
    </row>
    <row r="4" spans="3:10" s="165" customFormat="1" ht="13.5" customHeight="1" x14ac:dyDescent="0.2">
      <c r="C4" s="402" t="str">
        <f>'Capacidad Financiera'!B4</f>
        <v>DIRECCIÓN TERRITORIAL SUCRE</v>
      </c>
      <c r="D4" s="402"/>
      <c r="E4" s="402"/>
      <c r="G4" s="166"/>
      <c r="H4" s="167"/>
    </row>
    <row r="5" spans="3:10" s="165" customFormat="1" ht="13.5" customHeight="1" x14ac:dyDescent="0.2">
      <c r="C5" s="402" t="s">
        <v>291</v>
      </c>
      <c r="D5" s="402"/>
      <c r="E5" s="402"/>
      <c r="G5" s="166"/>
      <c r="H5" s="167"/>
    </row>
    <row r="6" spans="3:10" s="165" customFormat="1" ht="14.25" thickBot="1" x14ac:dyDescent="0.25">
      <c r="C6" s="168"/>
      <c r="D6" s="169"/>
      <c r="E6" s="173"/>
      <c r="G6" s="166"/>
      <c r="H6" s="167"/>
    </row>
    <row r="7" spans="3:10" ht="36" customHeight="1" x14ac:dyDescent="0.2">
      <c r="C7" s="403" t="s">
        <v>164</v>
      </c>
      <c r="D7" s="405" t="s">
        <v>163</v>
      </c>
      <c r="E7" s="411" t="s">
        <v>292</v>
      </c>
    </row>
    <row r="8" spans="3:10" ht="36" customHeight="1" thickBot="1" x14ac:dyDescent="0.25">
      <c r="C8" s="404"/>
      <c r="D8" s="406"/>
      <c r="E8" s="412"/>
    </row>
    <row r="9" spans="3:10" x14ac:dyDescent="0.2">
      <c r="C9" s="98">
        <f>+'Capacidad Financiera'!B12</f>
        <v>1</v>
      </c>
      <c r="D9" s="99">
        <f>IF(ISERROR(VLOOKUP(C9,'Capacidad Financiera'!$B$12:$AD$59206,2,0)),"",VLOOKUP(C9,'Capacidad Financiera'!$B$12:$AD$59206,2,0))</f>
        <v>0</v>
      </c>
      <c r="E9" s="207"/>
      <c r="G9" s="177"/>
      <c r="H9" s="178"/>
      <c r="I9" s="164"/>
      <c r="J9" s="179"/>
    </row>
    <row r="10" spans="3:10" ht="26.25" thickBot="1" x14ac:dyDescent="0.25">
      <c r="C10" s="103">
        <f>+'Capacidad Financiera'!B13</f>
        <v>1.1000000000000001</v>
      </c>
      <c r="D10" s="143" t="str">
        <f>IF(ISERROR(VLOOKUP(C10,'Capacidad Financiera'!$B$12:$AD$59206,2,0)),"",VLOOKUP(C10,'Capacidad Financiera'!$B$12:$AD$59206,2,0))</f>
        <v>EMPRESA DE MANTENIMIENTO VIAL LA MOJANA S.A.S.</v>
      </c>
      <c r="E10" s="208">
        <v>0</v>
      </c>
    </row>
    <row r="11" spans="3:10" hidden="1" x14ac:dyDescent="0.2">
      <c r="C11" s="103" t="str">
        <f>+'Capacidad Financiera'!B14</f>
        <v/>
      </c>
      <c r="D11" s="143">
        <f>IF(ISERROR(VLOOKUP(C11,'Capacidad Financiera'!$B$12:$AD$59206,2,0)),"",VLOOKUP(C11,'Capacidad Financiera'!$B$12:$AD$59206,2,0))</f>
        <v>0</v>
      </c>
      <c r="E11" s="208"/>
    </row>
    <row r="12" spans="3:10" hidden="1" x14ac:dyDescent="0.2">
      <c r="C12" s="103" t="str">
        <f>+'Capacidad Financiera'!B15</f>
        <v/>
      </c>
      <c r="D12" s="143">
        <f>IF(ISERROR(VLOOKUP(C12,'Capacidad Financiera'!$B$12:$AD$59206,2,0)),"",VLOOKUP(C12,'Capacidad Financiera'!$B$12:$AD$59206,2,0))</f>
        <v>0</v>
      </c>
      <c r="E12" s="208"/>
    </row>
    <row r="13" spans="3:10" hidden="1" x14ac:dyDescent="0.2">
      <c r="C13" s="103" t="str">
        <f>+'Capacidad Financiera'!B16</f>
        <v/>
      </c>
      <c r="D13" s="143">
        <f>IF(ISERROR(VLOOKUP(C13,'Capacidad Financiera'!$B$12:$AD$59206,2,0)),"",VLOOKUP(C13,'Capacidad Financiera'!$B$12:$AD$59206,2,0))</f>
        <v>0</v>
      </c>
      <c r="E13" s="208"/>
    </row>
    <row r="14" spans="3:10" hidden="1" x14ac:dyDescent="0.2">
      <c r="C14" s="103" t="str">
        <f>+'Capacidad Financiera'!B17</f>
        <v/>
      </c>
      <c r="D14" s="143">
        <f>IF(ISERROR(VLOOKUP(C14,'Capacidad Financiera'!$B$12:$AD$59206,2,0)),"",VLOOKUP(C14,'Capacidad Financiera'!$B$12:$AD$59206,2,0))</f>
        <v>0</v>
      </c>
      <c r="E14" s="208"/>
    </row>
    <row r="15" spans="3:10" hidden="1" x14ac:dyDescent="0.2">
      <c r="C15" s="103" t="str">
        <f>+'Capacidad Financiera'!B18</f>
        <v/>
      </c>
      <c r="D15" s="143">
        <f>IF(ISERROR(VLOOKUP(C15,'Capacidad Financiera'!$B$12:$AD$59206,2,0)),"",VLOOKUP(C15,'Capacidad Financiera'!$B$12:$AD$59206,2,0))</f>
        <v>0</v>
      </c>
      <c r="E15" s="208"/>
    </row>
    <row r="16" spans="3:10" hidden="1" x14ac:dyDescent="0.2">
      <c r="C16" s="103" t="str">
        <f>+'Capacidad Financiera'!B19</f>
        <v/>
      </c>
      <c r="D16" s="143">
        <f>IF(ISERROR(VLOOKUP(C16,'Capacidad Financiera'!$B$12:$AD$59206,2,0)),"",VLOOKUP(C16,'Capacidad Financiera'!$B$12:$AD$59206,2,0))</f>
        <v>0</v>
      </c>
      <c r="E16" s="208"/>
    </row>
    <row r="17" spans="3:5" hidden="1" x14ac:dyDescent="0.2">
      <c r="C17" s="103" t="str">
        <f>+'Capacidad Financiera'!B20</f>
        <v/>
      </c>
      <c r="D17" s="143">
        <f>IF(ISERROR(VLOOKUP(C17,'Capacidad Financiera'!$B$12:$AD$59206,2,0)),"",VLOOKUP(C17,'Capacidad Financiera'!$B$12:$AD$59206,2,0))</f>
        <v>0</v>
      </c>
      <c r="E17" s="208"/>
    </row>
    <row r="18" spans="3:5" hidden="1" x14ac:dyDescent="0.2">
      <c r="C18" s="103" t="str">
        <f>+'Capacidad Financiera'!B21</f>
        <v/>
      </c>
      <c r="D18" s="143">
        <f>IF(ISERROR(VLOOKUP(C18,'Capacidad Financiera'!$B$12:$AD$59206,2,0)),"",VLOOKUP(C18,'Capacidad Financiera'!$B$12:$AD$59206,2,0))</f>
        <v>0</v>
      </c>
      <c r="E18" s="208"/>
    </row>
    <row r="19" spans="3:5" ht="13.5" hidden="1" thickBot="1" x14ac:dyDescent="0.25">
      <c r="C19" s="104" t="str">
        <f>+'Capacidad Financiera'!B22</f>
        <v/>
      </c>
      <c r="D19" s="105">
        <f>IF(ISERROR(VLOOKUP(C19,'Capacidad Financiera'!$B$12:$AD$59206,2,0)),"",VLOOKUP(C19,'Capacidad Financiera'!$B$12:$AD$59206,2,0))</f>
        <v>0</v>
      </c>
      <c r="E19" s="209"/>
    </row>
    <row r="20" spans="3:5" x14ac:dyDescent="0.2">
      <c r="C20" s="98">
        <v>2</v>
      </c>
      <c r="D20" s="99">
        <f>IF(ISERROR(VLOOKUP(C20,'Capacidad Financiera'!$B$12:$AD$59206,2,0)),"",VLOOKUP(C20,'Capacidad Financiera'!$B$12:$AD$59206,2,0))</f>
        <v>0</v>
      </c>
      <c r="E20" s="207"/>
    </row>
    <row r="21" spans="3:5" ht="25.5" x14ac:dyDescent="0.2">
      <c r="C21" s="103">
        <f>+'Capacidad Financiera'!B24</f>
        <v>2.1</v>
      </c>
      <c r="D21" s="143" t="str">
        <f>IF(ISERROR(VLOOKUP(C21,'Capacidad Financiera'!$B$12:$AD$59206,2,0)),"",VLOOKUP(C21,'Capacidad Financiera'!$B$12:$AD$59206,2,0))</f>
        <v>EMPRESA DE TRABAJADORES DE SAN MARCOS ETASAMAR S.A.S.</v>
      </c>
      <c r="E21" s="208">
        <v>0</v>
      </c>
    </row>
    <row r="22" spans="3:5" hidden="1" x14ac:dyDescent="0.2">
      <c r="C22" s="103" t="str">
        <f>+'Capacidad Financiera'!B25</f>
        <v/>
      </c>
      <c r="D22" s="143">
        <f>IF(ISERROR(VLOOKUP(C22,'Capacidad Financiera'!$B$12:$AD$59206,2,0)),"",VLOOKUP(C22,'Capacidad Financiera'!$B$12:$AD$59206,2,0))</f>
        <v>0</v>
      </c>
      <c r="E22" s="208"/>
    </row>
    <row r="23" spans="3:5" hidden="1" x14ac:dyDescent="0.2">
      <c r="C23" s="103" t="str">
        <f>+'Capacidad Financiera'!B26</f>
        <v/>
      </c>
      <c r="D23" s="143">
        <f>IF(ISERROR(VLOOKUP(C23,'Capacidad Financiera'!$B$12:$AD$59206,2,0)),"",VLOOKUP(C23,'Capacidad Financiera'!$B$12:$AD$59206,2,0))</f>
        <v>0</v>
      </c>
      <c r="E23" s="208"/>
    </row>
    <row r="24" spans="3:5" hidden="1" x14ac:dyDescent="0.2">
      <c r="C24" s="103" t="str">
        <f>+'Capacidad Financiera'!B27</f>
        <v/>
      </c>
      <c r="D24" s="143">
        <f>IF(ISERROR(VLOOKUP(C24,'Capacidad Financiera'!$B$12:$AD$59206,2,0)),"",VLOOKUP(C24,'Capacidad Financiera'!$B$12:$AD$59206,2,0))</f>
        <v>0</v>
      </c>
      <c r="E24" s="208"/>
    </row>
    <row r="25" spans="3:5" hidden="1" x14ac:dyDescent="0.2">
      <c r="C25" s="103" t="str">
        <f>+'Capacidad Financiera'!B28</f>
        <v/>
      </c>
      <c r="D25" s="143">
        <f>IF(ISERROR(VLOOKUP(C25,'Capacidad Financiera'!$B$12:$AD$59206,2,0)),"",VLOOKUP(C25,'Capacidad Financiera'!$B$12:$AD$59206,2,0))</f>
        <v>0</v>
      </c>
      <c r="E25" s="208"/>
    </row>
    <row r="26" spans="3:5" hidden="1" x14ac:dyDescent="0.2">
      <c r="C26" s="103" t="str">
        <f>+'Capacidad Financiera'!B29</f>
        <v/>
      </c>
      <c r="D26" s="143">
        <f>IF(ISERROR(VLOOKUP(C26,'Capacidad Financiera'!$B$12:$AD$59206,2,0)),"",VLOOKUP(C26,'Capacidad Financiera'!$B$12:$AD$59206,2,0))</f>
        <v>0</v>
      </c>
      <c r="E26" s="208"/>
    </row>
    <row r="27" spans="3:5" hidden="1" x14ac:dyDescent="0.2">
      <c r="C27" s="103" t="str">
        <f>+'Capacidad Financiera'!B30</f>
        <v/>
      </c>
      <c r="D27" s="143">
        <f>IF(ISERROR(VLOOKUP(C27,'Capacidad Financiera'!$B$12:$AD$59206,2,0)),"",VLOOKUP(C27,'Capacidad Financiera'!$B$12:$AD$59206,2,0))</f>
        <v>0</v>
      </c>
      <c r="E27" s="208"/>
    </row>
    <row r="28" spans="3:5" hidden="1" x14ac:dyDescent="0.2">
      <c r="C28" s="103" t="str">
        <f>+'Capacidad Financiera'!B31</f>
        <v/>
      </c>
      <c r="D28" s="143">
        <f>IF(ISERROR(VLOOKUP(C28,'Capacidad Financiera'!$B$12:$AD$59206,2,0)),"",VLOOKUP(C28,'Capacidad Financiera'!$B$12:$AD$59206,2,0))</f>
        <v>0</v>
      </c>
      <c r="E28" s="208"/>
    </row>
    <row r="29" spans="3:5" hidden="1" x14ac:dyDescent="0.2">
      <c r="C29" s="103" t="str">
        <f>+'Capacidad Financiera'!B32</f>
        <v/>
      </c>
      <c r="D29" s="143">
        <f>IF(ISERROR(VLOOKUP(C29,'Capacidad Financiera'!$B$12:$AD$59206,2,0)),"",VLOOKUP(C29,'Capacidad Financiera'!$B$12:$AD$59206,2,0))</f>
        <v>0</v>
      </c>
      <c r="E29" s="208"/>
    </row>
    <row r="30" spans="3:5" ht="13.5" hidden="1" thickBot="1" x14ac:dyDescent="0.25">
      <c r="C30" s="104" t="str">
        <f>+'Capacidad Financiera'!B33</f>
        <v/>
      </c>
      <c r="D30" s="105">
        <f>IF(ISERROR(VLOOKUP(C30,'Capacidad Financiera'!$B$12:$AD$59206,2,0)),"",VLOOKUP(C30,'Capacidad Financiera'!$B$12:$AD$59206,2,0))</f>
        <v>0</v>
      </c>
      <c r="E30" s="209"/>
    </row>
  </sheetData>
  <sheetProtection formatCells="0" formatColumns="0" formatRows="0" insertColumns="0" insertRows="0" insertHyperlinks="0" deleteColumns="0" deleteRows="0" sort="0" autoFilter="0" pivotTables="0"/>
  <mergeCells count="7">
    <mergeCell ref="E7:E8"/>
    <mergeCell ref="C2:E2"/>
    <mergeCell ref="C3:E3"/>
    <mergeCell ref="C4:E4"/>
    <mergeCell ref="C5:E5"/>
    <mergeCell ref="C7:C8"/>
    <mergeCell ref="D7:D8"/>
  </mergeCells>
  <conditionalFormatting sqref="D9:D19 D6:E6">
    <cfRule type="cellIs" dxfId="59" priority="500" stopIfTrue="1" operator="equal">
      <formula>"NO ADMISIBLE"</formula>
    </cfRule>
  </conditionalFormatting>
  <conditionalFormatting sqref="E15:E19">
    <cfRule type="expression" dxfId="58" priority="498" stopIfTrue="1">
      <formula>IF($B8-INT($B8)&gt;0,TRUE,FALSE)</formula>
    </cfRule>
  </conditionalFormatting>
  <conditionalFormatting sqref="E10">
    <cfRule type="expression" dxfId="57" priority="494" stopIfTrue="1">
      <formula>IF($B2-INT($B2)&gt;0,TRUE,FALSE)</formula>
    </cfRule>
  </conditionalFormatting>
  <conditionalFormatting sqref="E9">
    <cfRule type="expression" dxfId="56" priority="501" stopIfTrue="1">
      <formula>IF(#REF!-INT(#REF!)&gt;0,TRUE,FALSE)</formula>
    </cfRule>
  </conditionalFormatting>
  <conditionalFormatting sqref="E11:E13">
    <cfRule type="expression" dxfId="55" priority="3009" stopIfTrue="1">
      <formula>IF($B5-INT($B5)&gt;0,TRUE,FALSE)</formula>
    </cfRule>
  </conditionalFormatting>
  <conditionalFormatting sqref="E14">
    <cfRule type="expression" dxfId="54" priority="3011" stopIfTrue="1">
      <formula>IF(#REF!-INT(#REF!)&gt;0,TRUE,FALSE)</formula>
    </cfRule>
  </conditionalFormatting>
  <conditionalFormatting sqref="D20:D30">
    <cfRule type="cellIs" dxfId="53" priority="3" stopIfTrue="1" operator="equal">
      <formula>"NO ADMISIBLE"</formula>
    </cfRule>
  </conditionalFormatting>
  <conditionalFormatting sqref="E26:E30">
    <cfRule type="expression" dxfId="52" priority="2" stopIfTrue="1">
      <formula>IF($B19-INT($B19)&gt;0,TRUE,FALSE)</formula>
    </cfRule>
  </conditionalFormatting>
  <conditionalFormatting sqref="E21">
    <cfRule type="expression" dxfId="51" priority="1" stopIfTrue="1">
      <formula>IF($B13-INT($B13)&gt;0,TRUE,FALSE)</formula>
    </cfRule>
  </conditionalFormatting>
  <conditionalFormatting sqref="E20">
    <cfRule type="expression" dxfId="50" priority="4" stopIfTrue="1">
      <formula>IF(#REF!-INT(#REF!)&gt;0,TRUE,FALSE)</formula>
    </cfRule>
  </conditionalFormatting>
  <conditionalFormatting sqref="E22:E24">
    <cfRule type="expression" dxfId="49" priority="5" stopIfTrue="1">
      <formula>IF($B16-INT($B16)&gt;0,TRUE,FALSE)</formula>
    </cfRule>
  </conditionalFormatting>
  <conditionalFormatting sqref="E25">
    <cfRule type="expression" dxfId="48" priority="6" stopIfTrue="1">
      <formula>IF(#REF!-INT(#REF!)&gt;0,TRUE,FALSE)</formula>
    </cfRule>
  </conditionalFormatting>
  <dataValidations count="1">
    <dataValidation type="list" allowBlank="1" showInputMessage="1" showErrorMessage="1" sqref="D9:D30 D6" xr:uid="{00000000-0002-0000-0900-000000000000}">
      <formula1>prueba</formula1>
    </dataValidation>
  </dataValidations>
  <pageMargins left="0.74803149606299213" right="0.74803149606299213" top="0.98425196850393704" bottom="0.98425196850393704" header="0" footer="0"/>
  <pageSetup paperSize="9" scale="95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69" r:id="rId4" name="Button 1">
              <controlPr defaultSize="0" print="0" autoFill="0" autoPict="0" macro="[0]!MacroSaldoContratos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8"/>
  <dimension ref="C2:J34"/>
  <sheetViews>
    <sheetView workbookViewId="0">
      <selection activeCell="E20" sqref="E20"/>
    </sheetView>
  </sheetViews>
  <sheetFormatPr baseColWidth="10" defaultRowHeight="12.75" x14ac:dyDescent="0.2"/>
  <cols>
    <col min="1" max="1" width="11.42578125" style="163" customWidth="1"/>
    <col min="2" max="2" width="11.28515625" style="163" customWidth="1"/>
    <col min="3" max="3" width="3.85546875" style="163" customWidth="1"/>
    <col min="4" max="4" width="35.140625" style="163" customWidth="1"/>
    <col min="5" max="5" width="68.140625" style="151" customWidth="1"/>
    <col min="6" max="6" width="11.42578125" style="163"/>
    <col min="7" max="7" width="13.85546875" style="175" customWidth="1"/>
    <col min="8" max="8" width="9.7109375" style="176" customWidth="1"/>
    <col min="9" max="9" width="12.5703125" style="163" customWidth="1"/>
    <col min="10" max="10" width="12.7109375" style="163" customWidth="1"/>
    <col min="11" max="16384" width="11.42578125" style="163"/>
  </cols>
  <sheetData>
    <row r="2" spans="3:10" s="165" customFormat="1" ht="20.25" customHeight="1" x14ac:dyDescent="0.2">
      <c r="C2" s="400" t="s">
        <v>265</v>
      </c>
      <c r="D2" s="400"/>
      <c r="E2" s="400"/>
      <c r="G2" s="166"/>
      <c r="H2" s="167"/>
    </row>
    <row r="3" spans="3:10" s="165" customFormat="1" ht="18" customHeight="1" x14ac:dyDescent="0.2">
      <c r="C3" s="401" t="s">
        <v>279</v>
      </c>
      <c r="D3" s="401"/>
      <c r="E3" s="401"/>
      <c r="G3" s="166"/>
      <c r="H3" s="167"/>
    </row>
    <row r="4" spans="3:10" s="165" customFormat="1" ht="13.5" customHeight="1" x14ac:dyDescent="0.2">
      <c r="C4" s="402" t="str">
        <f>'Capacidad Financiera'!B4</f>
        <v>DIRECCIÓN TERRITORIAL SUCRE</v>
      </c>
      <c r="D4" s="402"/>
      <c r="E4" s="402"/>
      <c r="G4" s="166"/>
      <c r="H4" s="167"/>
    </row>
    <row r="5" spans="3:10" s="165" customFormat="1" ht="13.5" customHeight="1" x14ac:dyDescent="0.2">
      <c r="C5" s="402" t="s">
        <v>293</v>
      </c>
      <c r="D5" s="402"/>
      <c r="E5" s="402"/>
      <c r="G5" s="166"/>
      <c r="H5" s="167"/>
    </row>
    <row r="6" spans="3:10" s="165" customFormat="1" ht="14.25" thickBot="1" x14ac:dyDescent="0.25">
      <c r="C6" s="168"/>
      <c r="D6" s="169"/>
      <c r="E6" s="173"/>
      <c r="G6" s="166"/>
      <c r="H6" s="167"/>
    </row>
    <row r="7" spans="3:10" ht="23.25" customHeight="1" x14ac:dyDescent="0.2">
      <c r="C7" s="403" t="s">
        <v>164</v>
      </c>
      <c r="D7" s="405" t="s">
        <v>163</v>
      </c>
      <c r="E7" s="213" t="s">
        <v>294</v>
      </c>
    </row>
    <row r="8" spans="3:10" ht="66" customHeight="1" thickBot="1" x14ac:dyDescent="0.25">
      <c r="C8" s="404"/>
      <c r="D8" s="406"/>
      <c r="E8" s="229" t="s">
        <v>298</v>
      </c>
    </row>
    <row r="9" spans="3:10" x14ac:dyDescent="0.2">
      <c r="C9" s="98">
        <f>+'Capacidad Financiera'!B12</f>
        <v>1</v>
      </c>
      <c r="D9" s="99">
        <f>IF(ISERROR(VLOOKUP(C9,'Capacidad Financiera'!$B$12:$AD$59206,2,0)),"",VLOOKUP(C9,'Capacidad Financiera'!$B$12:$AD$59206,2,0))</f>
        <v>0</v>
      </c>
      <c r="E9" s="207"/>
      <c r="G9" s="177"/>
      <c r="H9" s="178"/>
      <c r="I9" s="164"/>
      <c r="J9" s="179"/>
    </row>
    <row r="10" spans="3:10" ht="26.25" thickBot="1" x14ac:dyDescent="0.25">
      <c r="C10" s="103">
        <f>+'Capacidad Financiera'!B13</f>
        <v>1.1000000000000001</v>
      </c>
      <c r="D10" s="143" t="str">
        <f>IF(ISERROR(VLOOKUP(C10,'Capacidad Financiera'!$B$12:$AD$59206,2,0)),"",VLOOKUP(C10,'Capacidad Financiera'!$B$12:$AD$59206,2,0))</f>
        <v>EMPRESA DE MANTENIMIENTO VIAL LA MOJANA S.A.S.</v>
      </c>
      <c r="E10" s="230" t="s">
        <v>637</v>
      </c>
    </row>
    <row r="11" spans="3:10" hidden="1" x14ac:dyDescent="0.2">
      <c r="C11" s="103" t="str">
        <f>+'Capacidad Financiera'!B14</f>
        <v/>
      </c>
      <c r="D11" s="143">
        <f>IF(ISERROR(VLOOKUP(C11,'Capacidad Financiera'!$B$12:$AD$59206,2,0)),"",VLOOKUP(C11,'Capacidad Financiera'!$B$12:$AD$59206,2,0))</f>
        <v>0</v>
      </c>
      <c r="E11" s="230"/>
    </row>
    <row r="12" spans="3:10" hidden="1" x14ac:dyDescent="0.2">
      <c r="C12" s="103" t="str">
        <f>+'Capacidad Financiera'!B15</f>
        <v/>
      </c>
      <c r="D12" s="143">
        <f>IF(ISERROR(VLOOKUP(C12,'Capacidad Financiera'!$B$12:$AD$59206,2,0)),"",VLOOKUP(C12,'Capacidad Financiera'!$B$12:$AD$59206,2,0))</f>
        <v>0</v>
      </c>
      <c r="E12" s="230"/>
    </row>
    <row r="13" spans="3:10" hidden="1" x14ac:dyDescent="0.2">
      <c r="C13" s="103" t="str">
        <f>+'Capacidad Financiera'!B16</f>
        <v/>
      </c>
      <c r="D13" s="143">
        <f>IF(ISERROR(VLOOKUP(C13,'Capacidad Financiera'!$B$12:$AD$59206,2,0)),"",VLOOKUP(C13,'Capacidad Financiera'!$B$12:$AD$59206,2,0))</f>
        <v>0</v>
      </c>
      <c r="E13" s="230"/>
    </row>
    <row r="14" spans="3:10" hidden="1" x14ac:dyDescent="0.2">
      <c r="C14" s="103" t="str">
        <f>+'Capacidad Financiera'!B17</f>
        <v/>
      </c>
      <c r="D14" s="143">
        <f>IF(ISERROR(VLOOKUP(C14,'Capacidad Financiera'!$B$12:$AD$59206,2,0)),"",VLOOKUP(C14,'Capacidad Financiera'!$B$12:$AD$59206,2,0))</f>
        <v>0</v>
      </c>
      <c r="E14" s="230"/>
    </row>
    <row r="15" spans="3:10" hidden="1" x14ac:dyDescent="0.2">
      <c r="C15" s="103" t="str">
        <f>+'Capacidad Financiera'!B18</f>
        <v/>
      </c>
      <c r="D15" s="143">
        <f>IF(ISERROR(VLOOKUP(C15,'Capacidad Financiera'!$B$12:$AD$59206,2,0)),"",VLOOKUP(C15,'Capacidad Financiera'!$B$12:$AD$59206,2,0))</f>
        <v>0</v>
      </c>
      <c r="E15" s="230"/>
    </row>
    <row r="16" spans="3:10" hidden="1" x14ac:dyDescent="0.2">
      <c r="C16" s="103" t="str">
        <f>+'Capacidad Financiera'!B19</f>
        <v/>
      </c>
      <c r="D16" s="143">
        <f>IF(ISERROR(VLOOKUP(C16,'Capacidad Financiera'!$B$12:$AD$59206,2,0)),"",VLOOKUP(C16,'Capacidad Financiera'!$B$12:$AD$59206,2,0))</f>
        <v>0</v>
      </c>
      <c r="E16" s="230"/>
    </row>
    <row r="17" spans="3:5" hidden="1" x14ac:dyDescent="0.2">
      <c r="C17" s="103" t="str">
        <f>+'Capacidad Financiera'!B20</f>
        <v/>
      </c>
      <c r="D17" s="143">
        <f>IF(ISERROR(VLOOKUP(C17,'Capacidad Financiera'!$B$12:$AD$59206,2,0)),"",VLOOKUP(C17,'Capacidad Financiera'!$B$12:$AD$59206,2,0))</f>
        <v>0</v>
      </c>
      <c r="E17" s="230"/>
    </row>
    <row r="18" spans="3:5" hidden="1" x14ac:dyDescent="0.2">
      <c r="C18" s="103" t="str">
        <f>+'Capacidad Financiera'!B21</f>
        <v/>
      </c>
      <c r="D18" s="143">
        <f>IF(ISERROR(VLOOKUP(C18,'Capacidad Financiera'!$B$12:$AD$59206,2,0)),"",VLOOKUP(C18,'Capacidad Financiera'!$B$12:$AD$59206,2,0))</f>
        <v>0</v>
      </c>
      <c r="E18" s="230"/>
    </row>
    <row r="19" spans="3:5" ht="13.5" hidden="1" thickBot="1" x14ac:dyDescent="0.25">
      <c r="C19" s="104" t="str">
        <f>+'Capacidad Financiera'!B22</f>
        <v/>
      </c>
      <c r="D19" s="105">
        <f>IF(ISERROR(VLOOKUP(C19,'Capacidad Financiera'!$B$12:$AD$59206,2,0)),"",VLOOKUP(C19,'Capacidad Financiera'!$B$12:$AD$59206,2,0))</f>
        <v>0</v>
      </c>
      <c r="E19" s="231"/>
    </row>
    <row r="20" spans="3:5" x14ac:dyDescent="0.2">
      <c r="C20" s="98">
        <v>2</v>
      </c>
      <c r="D20" s="99">
        <f>IF(ISERROR(VLOOKUP(C20,'Capacidad Financiera'!$B$12:$AD$59206,2,0)),"",VLOOKUP(C20,'Capacidad Financiera'!$B$12:$AD$59206,2,0))</f>
        <v>0</v>
      </c>
      <c r="E20" s="207"/>
    </row>
    <row r="21" spans="3:5" ht="25.5" x14ac:dyDescent="0.2">
      <c r="C21" s="103">
        <f>+'Capacidad Financiera'!B24</f>
        <v>2.1</v>
      </c>
      <c r="D21" s="143" t="str">
        <f>IF(ISERROR(VLOOKUP(C21,'Capacidad Financiera'!$B$12:$AD$59206,2,0)),"",VLOOKUP(C21,'Capacidad Financiera'!$B$12:$AD$59206,2,0))</f>
        <v>EMPRESA DE TRABAJADORES DE SAN MARCOS ETASAMAR S.A.S.</v>
      </c>
      <c r="E21" s="230">
        <v>413847000</v>
      </c>
    </row>
    <row r="22" spans="3:5" hidden="1" x14ac:dyDescent="0.2">
      <c r="C22" s="103" t="str">
        <f>+'Capacidad Financiera'!B25</f>
        <v/>
      </c>
      <c r="D22" s="143">
        <f>IF(ISERROR(VLOOKUP(C22,'Capacidad Financiera'!$B$12:$AD$59206,2,0)),"",VLOOKUP(C22,'Capacidad Financiera'!$B$12:$AD$59206,2,0))</f>
        <v>0</v>
      </c>
      <c r="E22" s="230"/>
    </row>
    <row r="23" spans="3:5" hidden="1" x14ac:dyDescent="0.2">
      <c r="C23" s="103" t="str">
        <f>+'Capacidad Financiera'!B26</f>
        <v/>
      </c>
      <c r="D23" s="143">
        <f>IF(ISERROR(VLOOKUP(C23,'Capacidad Financiera'!$B$12:$AD$59206,2,0)),"",VLOOKUP(C23,'Capacidad Financiera'!$B$12:$AD$59206,2,0))</f>
        <v>0</v>
      </c>
      <c r="E23" s="230"/>
    </row>
    <row r="24" spans="3:5" hidden="1" x14ac:dyDescent="0.2">
      <c r="C24" s="103" t="str">
        <f>+'Capacidad Financiera'!B27</f>
        <v/>
      </c>
      <c r="D24" s="143">
        <f>IF(ISERROR(VLOOKUP(C24,'Capacidad Financiera'!$B$12:$AD$59206,2,0)),"",VLOOKUP(C24,'Capacidad Financiera'!$B$12:$AD$59206,2,0))</f>
        <v>0</v>
      </c>
      <c r="E24" s="230"/>
    </row>
    <row r="25" spans="3:5" hidden="1" x14ac:dyDescent="0.2">
      <c r="C25" s="103" t="str">
        <f>+'Capacidad Financiera'!B28</f>
        <v/>
      </c>
      <c r="D25" s="143">
        <f>IF(ISERROR(VLOOKUP(C25,'Capacidad Financiera'!$B$12:$AD$59206,2,0)),"",VLOOKUP(C25,'Capacidad Financiera'!$B$12:$AD$59206,2,0))</f>
        <v>0</v>
      </c>
      <c r="E25" s="230"/>
    </row>
    <row r="26" spans="3:5" hidden="1" x14ac:dyDescent="0.2">
      <c r="C26" s="103" t="str">
        <f>+'Capacidad Financiera'!B29</f>
        <v/>
      </c>
      <c r="D26" s="143">
        <f>IF(ISERROR(VLOOKUP(C26,'Capacidad Financiera'!$B$12:$AD$59206,2,0)),"",VLOOKUP(C26,'Capacidad Financiera'!$B$12:$AD$59206,2,0))</f>
        <v>0</v>
      </c>
      <c r="E26" s="230"/>
    </row>
    <row r="27" spans="3:5" hidden="1" x14ac:dyDescent="0.2">
      <c r="C27" s="103" t="str">
        <f>+'Capacidad Financiera'!B30</f>
        <v/>
      </c>
      <c r="D27" s="143">
        <f>IF(ISERROR(VLOOKUP(C27,'Capacidad Financiera'!$B$12:$AD$59206,2,0)),"",VLOOKUP(C27,'Capacidad Financiera'!$B$12:$AD$59206,2,0))</f>
        <v>0</v>
      </c>
      <c r="E27" s="230"/>
    </row>
    <row r="28" spans="3:5" hidden="1" x14ac:dyDescent="0.2">
      <c r="C28" s="103" t="str">
        <f>+'Capacidad Financiera'!B31</f>
        <v/>
      </c>
      <c r="D28" s="143">
        <f>IF(ISERROR(VLOOKUP(C28,'Capacidad Financiera'!$B$12:$AD$59206,2,0)),"",VLOOKUP(C28,'Capacidad Financiera'!$B$12:$AD$59206,2,0))</f>
        <v>0</v>
      </c>
      <c r="E28" s="230"/>
    </row>
    <row r="29" spans="3:5" hidden="1" x14ac:dyDescent="0.2">
      <c r="C29" s="103" t="str">
        <f>+'Capacidad Financiera'!B32</f>
        <v/>
      </c>
      <c r="D29" s="143">
        <f>IF(ISERROR(VLOOKUP(C29,'Capacidad Financiera'!$B$12:$AD$59206,2,0)),"",VLOOKUP(C29,'Capacidad Financiera'!$B$12:$AD$59206,2,0))</f>
        <v>0</v>
      </c>
      <c r="E29" s="230"/>
    </row>
    <row r="30" spans="3:5" ht="13.5" hidden="1" thickBot="1" x14ac:dyDescent="0.25">
      <c r="C30" s="104" t="str">
        <f>+'Capacidad Financiera'!B33</f>
        <v/>
      </c>
      <c r="D30" s="105">
        <f>IF(ISERROR(VLOOKUP(C30,'Capacidad Financiera'!$B$12:$AD$59206,2,0)),"",VLOOKUP(C30,'Capacidad Financiera'!$B$12:$AD$59206,2,0))</f>
        <v>0</v>
      </c>
      <c r="E30" s="231"/>
    </row>
    <row r="33" spans="3:6" x14ac:dyDescent="0.2">
      <c r="C33" s="413" t="s">
        <v>635</v>
      </c>
      <c r="D33" s="413"/>
      <c r="E33" s="413"/>
      <c r="F33" s="413"/>
    </row>
    <row r="34" spans="3:6" x14ac:dyDescent="0.2">
      <c r="C34" s="413"/>
      <c r="D34" s="413"/>
      <c r="E34" s="413"/>
      <c r="F34" s="413"/>
    </row>
  </sheetData>
  <sheetProtection formatCells="0" formatColumns="0" formatRows="0" insertColumns="0" insertRows="0" insertHyperlinks="0" deleteColumns="0" deleteRows="0" sort="0" autoFilter="0" pivotTables="0"/>
  <mergeCells count="7">
    <mergeCell ref="C33:F34"/>
    <mergeCell ref="C2:E2"/>
    <mergeCell ref="C3:E3"/>
    <mergeCell ref="C4:E4"/>
    <mergeCell ref="C5:E5"/>
    <mergeCell ref="C7:C8"/>
    <mergeCell ref="D7:D8"/>
  </mergeCells>
  <conditionalFormatting sqref="D9:D19 D6:E6">
    <cfRule type="cellIs" dxfId="47" priority="346" stopIfTrue="1" operator="equal">
      <formula>"NO ADMISIBLE"</formula>
    </cfRule>
  </conditionalFormatting>
  <conditionalFormatting sqref="E10">
    <cfRule type="expression" dxfId="46" priority="340" stopIfTrue="1">
      <formula>IF($B2-INT($B2)&gt;0,TRUE,FALSE)</formula>
    </cfRule>
  </conditionalFormatting>
  <conditionalFormatting sqref="E9">
    <cfRule type="expression" dxfId="45" priority="347" stopIfTrue="1">
      <formula>IF(#REF!-INT(#REF!)&gt;0,TRUE,FALSE)</formula>
    </cfRule>
  </conditionalFormatting>
  <conditionalFormatting sqref="E11:E19">
    <cfRule type="expression" dxfId="44" priority="330" stopIfTrue="1">
      <formula>IF($B3-INT($B3)&gt;0,TRUE,FALSE)</formula>
    </cfRule>
  </conditionalFormatting>
  <conditionalFormatting sqref="D20:D30">
    <cfRule type="cellIs" dxfId="43" priority="3" stopIfTrue="1" operator="equal">
      <formula>"NO ADMISIBLE"</formula>
    </cfRule>
  </conditionalFormatting>
  <conditionalFormatting sqref="E21">
    <cfRule type="expression" dxfId="42" priority="2" stopIfTrue="1">
      <formula>IF($B13-INT($B13)&gt;0,TRUE,FALSE)</formula>
    </cfRule>
  </conditionalFormatting>
  <conditionalFormatting sqref="E20">
    <cfRule type="expression" dxfId="41" priority="4" stopIfTrue="1">
      <formula>IF(#REF!-INT(#REF!)&gt;0,TRUE,FALSE)</formula>
    </cfRule>
  </conditionalFormatting>
  <conditionalFormatting sqref="E22:E30">
    <cfRule type="expression" dxfId="40" priority="1" stopIfTrue="1">
      <formula>IF($B14-INT($B14)&gt;0,TRUE,FALSE)</formula>
    </cfRule>
  </conditionalFormatting>
  <dataValidations count="1">
    <dataValidation type="list" allowBlank="1" showInputMessage="1" showErrorMessage="1" sqref="D9:D30 D6" xr:uid="{00000000-0002-0000-0A00-000000000000}">
      <formula1>prueba</formula1>
    </dataValidation>
  </dataValidations>
  <pageMargins left="0.74803149606299213" right="0.74803149606299213" top="0.98425196850393704" bottom="0.98425196850393704" header="0" footer="0"/>
  <pageSetup paperSize="9" scale="95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4817" r:id="rId4" name="Button 1">
              <controlPr defaultSize="0" print="0" autoFill="0" autoPict="0" macro="[0]!MacroCapOrganizacion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7"/>
  <dimension ref="C2:X31"/>
  <sheetViews>
    <sheetView tabSelected="1" topLeftCell="C1" workbookViewId="0">
      <selection activeCell="S10" sqref="S10"/>
    </sheetView>
  </sheetViews>
  <sheetFormatPr baseColWidth="10" defaultRowHeight="12.75" x14ac:dyDescent="0.2"/>
  <cols>
    <col min="1" max="1" width="11.42578125" style="163" customWidth="1"/>
    <col min="2" max="2" width="11.28515625" style="163" customWidth="1"/>
    <col min="3" max="3" width="3.85546875" style="163" customWidth="1"/>
    <col min="4" max="4" width="29.42578125" style="163" customWidth="1"/>
    <col min="5" max="5" width="11.5703125" style="163" customWidth="1"/>
    <col min="6" max="6" width="3.85546875" style="163" customWidth="1"/>
    <col min="7" max="7" width="17" style="163" customWidth="1"/>
    <col min="8" max="8" width="15.5703125" style="163" customWidth="1"/>
    <col min="9" max="9" width="3.7109375" style="163" customWidth="1"/>
    <col min="10" max="10" width="29" style="163" customWidth="1"/>
    <col min="11" max="11" width="16.5703125" style="151" customWidth="1"/>
    <col min="12" max="12" width="14.5703125" style="151" customWidth="1"/>
    <col min="13" max="13" width="8.85546875" style="151" hidden="1" customWidth="1"/>
    <col min="14" max="14" width="14.5703125" style="151" hidden="1" customWidth="1"/>
    <col min="15" max="15" width="13.140625" style="151" customWidth="1"/>
    <col min="16" max="16" width="13.85546875" style="151" bestFit="1" customWidth="1"/>
    <col min="17" max="17" width="20.7109375" style="151" customWidth="1"/>
    <col min="18" max="18" width="26.42578125" style="151" customWidth="1"/>
    <col min="19" max="19" width="29.42578125" style="163" customWidth="1"/>
    <col min="20" max="20" width="11.42578125" style="163"/>
    <col min="21" max="21" width="13.85546875" style="175" customWidth="1"/>
    <col min="22" max="22" width="9.7109375" style="176" customWidth="1"/>
    <col min="23" max="23" width="12.5703125" style="163" customWidth="1"/>
    <col min="24" max="24" width="12.7109375" style="163" customWidth="1"/>
    <col min="25" max="16384" width="11.42578125" style="163"/>
  </cols>
  <sheetData>
    <row r="2" spans="3:24" s="165" customFormat="1" ht="20.25" customHeight="1" x14ac:dyDescent="0.2">
      <c r="C2" s="400" t="s">
        <v>265</v>
      </c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U2" s="166"/>
      <c r="V2" s="167"/>
    </row>
    <row r="3" spans="3:24" s="165" customFormat="1" ht="18" customHeight="1" x14ac:dyDescent="0.2">
      <c r="C3" s="401" t="s">
        <v>279</v>
      </c>
      <c r="D3" s="401"/>
      <c r="E3" s="401"/>
      <c r="F3" s="401"/>
      <c r="G3" s="401"/>
      <c r="H3" s="401"/>
      <c r="I3" s="401"/>
      <c r="J3" s="401"/>
      <c r="K3" s="401"/>
      <c r="L3" s="401"/>
      <c r="M3" s="401"/>
      <c r="N3" s="401"/>
      <c r="O3" s="401"/>
      <c r="P3" s="401"/>
      <c r="Q3" s="401"/>
      <c r="R3" s="401"/>
      <c r="S3" s="401"/>
      <c r="U3" s="166"/>
      <c r="V3" s="167"/>
    </row>
    <row r="4" spans="3:24" s="165" customFormat="1" ht="13.5" customHeight="1" x14ac:dyDescent="0.2">
      <c r="C4" s="402" t="str">
        <f>'Capacidad Financiera'!B4</f>
        <v>DIRECCIÓN TERRITORIAL SUCRE</v>
      </c>
      <c r="D4" s="402"/>
      <c r="E4" s="402"/>
      <c r="F4" s="402"/>
      <c r="G4" s="402"/>
      <c r="H4" s="402"/>
      <c r="I4" s="402"/>
      <c r="J4" s="402"/>
      <c r="K4" s="402"/>
      <c r="L4" s="402"/>
      <c r="M4" s="402"/>
      <c r="N4" s="402"/>
      <c r="O4" s="402"/>
      <c r="P4" s="402"/>
      <c r="Q4" s="402"/>
      <c r="R4" s="402"/>
      <c r="S4" s="402"/>
      <c r="U4" s="166"/>
      <c r="V4" s="167"/>
    </row>
    <row r="5" spans="3:24" s="165" customFormat="1" ht="13.5" customHeight="1" x14ac:dyDescent="0.2">
      <c r="C5" s="402" t="s">
        <v>266</v>
      </c>
      <c r="D5" s="402"/>
      <c r="E5" s="402"/>
      <c r="F5" s="402"/>
      <c r="G5" s="402"/>
      <c r="H5" s="402"/>
      <c r="I5" s="402"/>
      <c r="J5" s="402"/>
      <c r="K5" s="402"/>
      <c r="L5" s="402"/>
      <c r="M5" s="402"/>
      <c r="N5" s="402"/>
      <c r="O5" s="402"/>
      <c r="P5" s="402"/>
      <c r="Q5" s="402"/>
      <c r="R5" s="402"/>
      <c r="S5" s="402"/>
      <c r="U5" s="166"/>
      <c r="V5" s="167"/>
    </row>
    <row r="6" spans="3:24" s="165" customFormat="1" ht="14.25" thickBot="1" x14ac:dyDescent="0.25">
      <c r="C6" s="168"/>
      <c r="D6" s="169"/>
      <c r="E6" s="170"/>
      <c r="F6" s="170"/>
      <c r="G6" s="171"/>
      <c r="H6" s="171"/>
      <c r="I6" s="171"/>
      <c r="J6" s="172"/>
      <c r="L6" s="173"/>
      <c r="M6" s="173"/>
      <c r="N6" s="173"/>
      <c r="O6" s="173"/>
      <c r="P6" s="173"/>
      <c r="Q6" s="173"/>
      <c r="R6" s="173"/>
      <c r="S6" s="174"/>
      <c r="U6" s="166"/>
      <c r="V6" s="167"/>
    </row>
    <row r="7" spans="3:24" ht="54" customHeight="1" x14ac:dyDescent="0.2">
      <c r="C7" s="422" t="s">
        <v>164</v>
      </c>
      <c r="D7" s="425" t="s">
        <v>163</v>
      </c>
      <c r="E7" s="94" t="s">
        <v>270</v>
      </c>
      <c r="F7" s="428" t="s">
        <v>169</v>
      </c>
      <c r="G7" s="94" t="s">
        <v>256</v>
      </c>
      <c r="H7" s="94" t="s">
        <v>257</v>
      </c>
      <c r="I7" s="431" t="s">
        <v>8</v>
      </c>
      <c r="J7" s="138" t="s">
        <v>258</v>
      </c>
      <c r="K7" s="94" t="s">
        <v>259</v>
      </c>
      <c r="L7" s="94" t="s">
        <v>260</v>
      </c>
      <c r="M7" s="372" t="s">
        <v>175</v>
      </c>
      <c r="N7" s="375" t="s">
        <v>176</v>
      </c>
      <c r="O7" s="94" t="s">
        <v>275</v>
      </c>
      <c r="P7" s="95" t="s">
        <v>261</v>
      </c>
      <c r="Q7" s="139" t="s">
        <v>296</v>
      </c>
      <c r="R7" s="142" t="s">
        <v>262</v>
      </c>
      <c r="S7" s="232" t="s">
        <v>297</v>
      </c>
    </row>
    <row r="8" spans="3:24" x14ac:dyDescent="0.2">
      <c r="C8" s="423"/>
      <c r="D8" s="426"/>
      <c r="E8" s="416" t="s">
        <v>9</v>
      </c>
      <c r="F8" s="429"/>
      <c r="G8" s="416" t="s">
        <v>10</v>
      </c>
      <c r="H8" s="416" t="s">
        <v>10</v>
      </c>
      <c r="I8" s="432"/>
      <c r="J8" s="418" t="s">
        <v>264</v>
      </c>
      <c r="K8" s="420" t="s">
        <v>295</v>
      </c>
      <c r="L8" s="420" t="s">
        <v>272</v>
      </c>
      <c r="M8" s="373"/>
      <c r="N8" s="376"/>
      <c r="O8" s="420" t="s">
        <v>272</v>
      </c>
      <c r="P8" s="420" t="s">
        <v>272</v>
      </c>
      <c r="Q8" s="420" t="s">
        <v>295</v>
      </c>
      <c r="R8" s="418" t="s">
        <v>263</v>
      </c>
      <c r="S8" s="414" t="s">
        <v>243</v>
      </c>
    </row>
    <row r="9" spans="3:24" ht="51" customHeight="1" thickBot="1" x14ac:dyDescent="0.25">
      <c r="C9" s="424"/>
      <c r="D9" s="427"/>
      <c r="E9" s="417"/>
      <c r="F9" s="430"/>
      <c r="G9" s="417"/>
      <c r="H9" s="417"/>
      <c r="I9" s="433"/>
      <c r="J9" s="419"/>
      <c r="K9" s="421"/>
      <c r="L9" s="421"/>
      <c r="M9" s="374"/>
      <c r="N9" s="377"/>
      <c r="O9" s="421"/>
      <c r="P9" s="421"/>
      <c r="Q9" s="421"/>
      <c r="R9" s="419"/>
      <c r="S9" s="415"/>
    </row>
    <row r="10" spans="3:24" x14ac:dyDescent="0.2">
      <c r="C10" s="98">
        <f>+'Capacidad Financiera'!B12</f>
        <v>1</v>
      </c>
      <c r="D10" s="99">
        <f>IF(ISERROR(VLOOKUP(C10,'Capacidad Financiera'!$B$12:$AD$59206,2,0)),"",VLOOKUP(C10,'Capacidad Financiera'!$B$12:$AD$59206,2,0))</f>
        <v>0</v>
      </c>
      <c r="E10" s="100">
        <f>IF(ISERROR(VLOOKUP(C10,'Capacidad Financiera'!$B$12:$AD$59206,3,0)),"",VLOOKUP(C10,'Capacidad Financiera'!$B$12:$AD$59206,3,0))</f>
        <v>1</v>
      </c>
      <c r="F10" s="102">
        <f>'Capacidad Financiera'!N12</f>
        <v>1</v>
      </c>
      <c r="G10" s="101">
        <f>IF(ISERROR(VLOOKUP(F10,POA!$A$2:$D$16,2,0)),"",VLOOKUP(F10,POA!$A$2:$D$16,2,0))</f>
        <v>165305025</v>
      </c>
      <c r="H10" s="101">
        <f>IF(ISERROR(VLOOKUP(F10,POA!$A$2:$D$16,3,0)),"",VLOOKUP(F10,POA!$A$2:$D$16,4,0))</f>
        <v>16530502.5</v>
      </c>
      <c r="I10" s="102">
        <f>IF(ISERROR(VLOOKUP(F10,POA!$A$2:$D$2,3,0)),"",VLOOKUP(F10,POA!$A$2:$D$2,3,0))</f>
        <v>5</v>
      </c>
      <c r="J10" s="99">
        <f>IF(I10="","",IF(I10&lt;12,(G10-H10),IF(I10&gt;=12,(((G10-H10)/I10)*12),"")))</f>
        <v>148774522.5</v>
      </c>
      <c r="K10" s="102"/>
      <c r="L10" s="99"/>
      <c r="M10" s="99"/>
      <c r="N10" s="99">
        <f>+SUM(N11:N20)</f>
        <v>0</v>
      </c>
      <c r="O10" s="102" t="str">
        <f>IF(ISERROR(VLOOKUP(K10,POA!$A$2:$C$2,3,0)),"",VLOOKUP(K10,POA!$A$2:$C$2,3,0))</f>
        <v/>
      </c>
      <c r="P10" s="99" t="str">
        <f t="shared" ref="P10" si="0">IF(ISERROR(+L10/O10),"",(L10/O10))</f>
        <v/>
      </c>
      <c r="Q10" s="140"/>
      <c r="R10" s="140">
        <f>SUM(R11:R20)</f>
        <v>0</v>
      </c>
      <c r="S10" s="240" t="s">
        <v>636</v>
      </c>
      <c r="U10" s="177"/>
      <c r="V10" s="178"/>
      <c r="W10" s="164"/>
      <c r="X10" s="179"/>
    </row>
    <row r="11" spans="3:24" ht="26.25" thickBot="1" x14ac:dyDescent="0.25">
      <c r="C11" s="104">
        <f>+'Capacidad Financiera'!B13</f>
        <v>1.1000000000000001</v>
      </c>
      <c r="D11" s="105" t="str">
        <f>IF(ISERROR(VLOOKUP(C11,'Capacidad Financiera'!$B$12:$AD$59206,2,0)),"",VLOOKUP(C11,'Capacidad Financiera'!$B$12:$AD$59206,2,0))</f>
        <v>EMPRESA DE MANTENIMIENTO VIAL LA MOJANA S.A.S.</v>
      </c>
      <c r="E11" s="106">
        <f>IF(ISERROR(VLOOKUP(C11,'Capacidad Financiera'!$B$12:$AD$59206,3,0)),"",VLOOKUP(C11,'Capacidad Financiera'!$B$12:$AD$59206,3,0))</f>
        <v>1</v>
      </c>
      <c r="F11" s="181">
        <f>'Capacidad Financiera'!N13</f>
        <v>0</v>
      </c>
      <c r="G11" s="187" t="str">
        <f>IF(ISERROR(VLOOKUP(F11,POA!$A$2:$D$16,2,0)),"",VLOOKUP(F11,POA!$A$2:$D$16,2,0))</f>
        <v/>
      </c>
      <c r="H11" s="187" t="str">
        <f>IF(ISERROR(VLOOKUP(F11,POA!$A$2:$D$16,3,0)),"",VLOOKUP(F11,POA!$A$2:$D$16,4,0))</f>
        <v/>
      </c>
      <c r="I11" s="181" t="str">
        <f>IF(ISERROR(VLOOKUP(F11,POA!$A$2:$D$2,3,0)),"",VLOOKUP(F11,POA!$A$2:$D$2,3,0))</f>
        <v/>
      </c>
      <c r="J11" s="180" t="str">
        <f>IF(I11="","",IF(I11&lt;12,(G11-H11),IF(I11&gt;=12,(((G11-H11)/I11)*12),"")))</f>
        <v/>
      </c>
      <c r="K11" s="228">
        <v>0</v>
      </c>
      <c r="L11" s="218">
        <f>IF(ISERROR(VLOOKUP(C11,'Puntaje Exp'!$C$10:$J$1048576,8,0)),"",VLOOKUP(C11,'Puntaje Exp'!$C$10:$J$1048576,8,0))</f>
        <v>100</v>
      </c>
      <c r="M11" s="218">
        <f>+'Capacidad Financiera'!P13</f>
        <v>0</v>
      </c>
      <c r="N11" s="218" t="str">
        <f>IF(ISERROR(VLOOKUP(M11,POA!$A$2:$F$16,6,0)),"",VLOOKUP(M11,POA!$A$2:$F$16,6,0))</f>
        <v/>
      </c>
      <c r="O11" s="218">
        <f>IF(ISERROR(VLOOKUP(C11,'Puntaje CT'!$C$10:$I$1048576,4,0)),"",VLOOKUP(C11,'Puntaje CT'!$C$10:$I$1048576,4,0))</f>
        <v>30</v>
      </c>
      <c r="P11" s="218">
        <f>IF(ISERROR(VLOOKUP(C11,'Puntaje CF'!$C$10:$I$1048576,6,0)),"",VLOOKUP(C11,'Puntaje CF'!$C$10:$I$1048576,6,0))</f>
        <v>40</v>
      </c>
      <c r="Q11" s="228">
        <v>0</v>
      </c>
      <c r="R11" s="334">
        <f>IF(OR(K11="",L11="",O11="",P11="",Q11=""),"",(K11*((L11+O11+P11)/100))-Q11)</f>
        <v>0</v>
      </c>
      <c r="S11" s="239"/>
    </row>
    <row r="12" spans="3:24" hidden="1" x14ac:dyDescent="0.2">
      <c r="C12" s="323" t="str">
        <f>+'Capacidad Financiera'!B14</f>
        <v/>
      </c>
      <c r="D12" s="324">
        <f>IF(ISERROR(VLOOKUP(C12,'Capacidad Financiera'!$B$12:$AD$59206,2,0)),"",VLOOKUP(C12,'Capacidad Financiera'!$B$12:$AD$59206,2,0))</f>
        <v>0</v>
      </c>
      <c r="E12" s="325">
        <f>IF(ISERROR(VLOOKUP(C12,'Capacidad Financiera'!$B$12:$AD$59206,3,0)),"",VLOOKUP(C12,'Capacidad Financiera'!$B$12:$AD$59206,3,0))</f>
        <v>0</v>
      </c>
      <c r="F12" s="326">
        <f>'Capacidad Financiera'!N14</f>
        <v>0</v>
      </c>
      <c r="G12" s="327" t="str">
        <f>IF(ISERROR(VLOOKUP(F12,POA!$A$2:$D$16,2,0)),"",VLOOKUP(F12,POA!$A$2:$D$16,2,0))</f>
        <v/>
      </c>
      <c r="H12" s="327" t="str">
        <f>IF(ISERROR(VLOOKUP(F12,POA!$A$2:$D$16,3,0)),"",VLOOKUP(F12,POA!$A$2:$D$16,4,0))</f>
        <v/>
      </c>
      <c r="I12" s="326" t="str">
        <f>IF(ISERROR(VLOOKUP(F12,POA!$A$2:$D$2,3,0)),"",VLOOKUP(F12,POA!$A$2:$D$2,3,0))</f>
        <v/>
      </c>
      <c r="J12" s="328" t="str">
        <f>IF(I12="","",IF(I12&lt;12,(G12-H12),IF(I12&gt;=12,(((G12-H12)/I12)*12),"")))</f>
        <v/>
      </c>
      <c r="K12" s="329" t="str">
        <f>IF(IF(ISERROR(VLOOKUP(C12,'Cap Organización'!$C$10:$I$1048576,3,0)),"",VLOOKUP(C12,'Cap Organización'!$C$10:$I$1048576,3,0))=0,"",IF(ISERROR(VLOOKUP(C12,'Cap Organización'!$C$10:$I$1048576,3,0)),"",VLOOKUP(C12,'Cap Organización'!$C$10:$I$1048576,3,0)))</f>
        <v/>
      </c>
      <c r="L12" s="330" t="str">
        <f>IF(ISERROR(VLOOKUP(C12,'Puntaje Exp'!$C$10:$J$1048576,8,0)),"",VLOOKUP(C12,'Puntaje Exp'!$C$10:$J$1048576,8,0))</f>
        <v/>
      </c>
      <c r="M12" s="331">
        <f>+'Capacidad Financiera'!P14</f>
        <v>0</v>
      </c>
      <c r="N12" s="331" t="str">
        <f>IF(ISERROR(VLOOKUP(M12,POA!$A$2:$F$16,6,0)),"",VLOOKUP(M12,POA!$A$2:$F$16,6,0))</f>
        <v/>
      </c>
      <c r="O12" s="330" t="str">
        <f>IF(ISERROR(VLOOKUP(C12,'Puntaje CT'!$C$10:$I$1048576,4,0)),"",VLOOKUP(C12,'Puntaje CT'!$C$10:$I$1048576,4,0))</f>
        <v/>
      </c>
      <c r="P12" s="330" t="str">
        <f>IF(ISERROR(VLOOKUP(C12,'Puntaje CF'!$C$10:$I$1048576,6,0)),"",VLOOKUP(C12,'Puntaje CF'!$C$10:$I$1048576,6,0))</f>
        <v/>
      </c>
      <c r="Q12" s="329" t="str">
        <f>IF(IF(ISERROR(VLOOKUP(C12,'Saldo CtosEjecución'!$C$10:$I$1048576,3,0)),"",VLOOKUP(C12,'Saldo CtosEjecución'!$C$10:$I$1048576,3,0))=0,"",IF(ISERROR(VLOOKUP(C12,'Saldo CtosEjecución'!$C$10:$I$1048576,3,0)),"",VLOOKUP(C12,'Saldo CtosEjecución'!$C$10:$I$1048576,3,0)))</f>
        <v/>
      </c>
      <c r="R12" s="332" t="str">
        <f>IF(OR(K12="",L12="",O12="",P12="",Q12=""),"",(K12*((L12+O12+P12)/100))-Q12)</f>
        <v/>
      </c>
      <c r="S12" s="333"/>
    </row>
    <row r="13" spans="3:24" hidden="1" x14ac:dyDescent="0.2">
      <c r="C13" s="103" t="str">
        <f>+'Capacidad Financiera'!B15</f>
        <v/>
      </c>
      <c r="D13" s="97">
        <f>IF(ISERROR(VLOOKUP(C13,'Capacidad Financiera'!$B$12:$AD$59206,2,0)),"",VLOOKUP(C13,'Capacidad Financiera'!$B$12:$AD$59206,2,0))</f>
        <v>0</v>
      </c>
      <c r="E13" s="96">
        <f>IF(ISERROR(VLOOKUP(C13,'Capacidad Financiera'!$B$12:$AD$59206,3,0)),"",VLOOKUP(C13,'Capacidad Financiera'!$B$12:$AD$59206,3,0))</f>
        <v>0</v>
      </c>
      <c r="F13" s="145">
        <f>'Capacidad Financiera'!N15</f>
        <v>0</v>
      </c>
      <c r="G13" s="186" t="str">
        <f>IF(ISERROR(VLOOKUP(F13,POA!$A$2:$D$16,2,0)),"",VLOOKUP(F13,POA!$A$2:$D$16,2,0))</f>
        <v/>
      </c>
      <c r="H13" s="186" t="str">
        <f>IF(ISERROR(VLOOKUP(F13,POA!$A$2:$D$16,3,0)),"",VLOOKUP(F13,POA!$A$2:$D$16,4,0))</f>
        <v/>
      </c>
      <c r="I13" s="145" t="str">
        <f>IF(ISERROR(VLOOKUP(F13,POA!$A$2:$D$2,3,0)),"",VLOOKUP(F13,POA!$A$2:$D$2,3,0))</f>
        <v/>
      </c>
      <c r="J13" s="144" t="str">
        <f>IF(I13="","",IF(I13&lt;12,(G13-H13),IF(I13&gt;=12,(((G13-H13)/I13)*12),"")))</f>
        <v/>
      </c>
      <c r="K13" s="233" t="str">
        <f>IF(IF(ISERROR(VLOOKUP(C13,'Cap Organización'!$C$10:$I$1048576,3,0)),"",VLOOKUP(C13,'Cap Organización'!$C$10:$I$1048576,3,0))=0,"",IF(ISERROR(VLOOKUP(C13,'Cap Organización'!$C$10:$I$1048576,3,0)),"",VLOOKUP(C13,'Cap Organización'!$C$10:$I$1048576,3,0)))</f>
        <v/>
      </c>
      <c r="L13" s="225" t="str">
        <f>IF(ISERROR(VLOOKUP(C13,'Puntaje Exp'!$C$10:$J$1048576,8,0)),"",VLOOKUP(C13,'Puntaje Exp'!$C$10:$J$1048576,8,0))</f>
        <v/>
      </c>
      <c r="M13" s="221">
        <f>+'Capacidad Financiera'!P15</f>
        <v>0</v>
      </c>
      <c r="N13" s="221" t="str">
        <f>IF(ISERROR(VLOOKUP(M13,POA!$A$2:$F$16,6,0)),"",VLOOKUP(M13,POA!$A$2:$F$16,6,0))</f>
        <v/>
      </c>
      <c r="O13" s="225" t="str">
        <f>IF(ISERROR(VLOOKUP(C13,'Puntaje CT'!$C$10:$I$1048576,4,0)),"",VLOOKUP(C13,'Puntaje CT'!$C$10:$I$1048576,4,0))</f>
        <v/>
      </c>
      <c r="P13" s="225" t="str">
        <f>IF(ISERROR(VLOOKUP(C13,'Puntaje CF'!$C$10:$I$1048576,6,0)),"",VLOOKUP(C13,'Puntaje CF'!$C$10:$I$1048576,6,0))</f>
        <v/>
      </c>
      <c r="Q13" s="227" t="str">
        <f>IF(IF(ISERROR(VLOOKUP(C13,'Saldo CtosEjecución'!$C$10:$I$1048576,3,0)),"",VLOOKUP(C13,'Saldo CtosEjecución'!$C$10:$I$1048576,3,0))=0,"",IF(ISERROR(VLOOKUP(C13,'Saldo CtosEjecución'!$C$10:$I$1048576,3,0)),"",VLOOKUP(C13,'Saldo CtosEjecución'!$C$10:$I$1048576,3,0)))</f>
        <v/>
      </c>
      <c r="R13" s="141" t="str">
        <f t="shared" ref="R13:R20" si="1">IF(OR(K13="",L13="",O13="",P13="",Q13=""),"",(K13*((L13+O13+P13)/100))-Q13)</f>
        <v/>
      </c>
      <c r="S13" s="238"/>
    </row>
    <row r="14" spans="3:24" hidden="1" x14ac:dyDescent="0.2">
      <c r="C14" s="103" t="str">
        <f>+'Capacidad Financiera'!B16</f>
        <v/>
      </c>
      <c r="D14" s="97">
        <f>IF(ISERROR(VLOOKUP(C14,'Capacidad Financiera'!$B$12:$AD$59206,2,0)),"",VLOOKUP(C14,'Capacidad Financiera'!$B$12:$AD$59206,2,0))</f>
        <v>0</v>
      </c>
      <c r="E14" s="96">
        <f>IF(ISERROR(VLOOKUP(C14,'Capacidad Financiera'!$B$12:$AD$59206,3,0)),"",VLOOKUP(C14,'Capacidad Financiera'!$B$12:$AD$59206,3,0))</f>
        <v>0</v>
      </c>
      <c r="F14" s="145">
        <f>'Capacidad Financiera'!N16</f>
        <v>0</v>
      </c>
      <c r="G14" s="186" t="str">
        <f>IF(ISERROR(VLOOKUP(F14,POA!$A$2:$D$16,2,0)),"",VLOOKUP(F14,POA!$A$2:$D$16,2,0))</f>
        <v/>
      </c>
      <c r="H14" s="186" t="str">
        <f>IF(ISERROR(VLOOKUP(F14,POA!$A$2:$D$16,3,0)),"",VLOOKUP(F14,POA!$A$2:$D$16,4,0))</f>
        <v/>
      </c>
      <c r="I14" s="145" t="str">
        <f>IF(ISERROR(VLOOKUP(F14,POA!$A$2:$D$2,3,0)),"",VLOOKUP(F14,POA!$A$2:$D$2,3,0))</f>
        <v/>
      </c>
      <c r="J14" s="144" t="str">
        <f t="shared" ref="J14:J20" si="2">IF(I14="","",IF(I14&lt;12,(G14-H14),IF(I14&gt;=12,(((G14-H14)/I14)*12),"")))</f>
        <v/>
      </c>
      <c r="K14" s="233" t="str">
        <f>IF(IF(ISERROR(VLOOKUP(C14,'Cap Organización'!$C$10:$I$1048576,3,0)),"",VLOOKUP(C14,'Cap Organización'!$C$10:$I$1048576,3,0))=0,"",IF(ISERROR(VLOOKUP(C14,'Cap Organización'!$C$10:$I$1048576,3,0)),"",VLOOKUP(C14,'Cap Organización'!$C$10:$I$1048576,3,0)))</f>
        <v/>
      </c>
      <c r="L14" s="225" t="str">
        <f>IF(ISERROR(VLOOKUP(C14,'Puntaje Exp'!$C$10:$J$1048576,8,0)),"",VLOOKUP(C14,'Puntaje Exp'!$C$10:$J$1048576,8,0))</f>
        <v/>
      </c>
      <c r="M14" s="221">
        <f>+'Capacidad Financiera'!P16</f>
        <v>0</v>
      </c>
      <c r="N14" s="221" t="str">
        <f>IF(ISERROR(VLOOKUP(M14,POA!$A$2:$F$16,6,0)),"",VLOOKUP(M14,POA!$A$2:$F$16,6,0))</f>
        <v/>
      </c>
      <c r="O14" s="225" t="str">
        <f>IF(ISERROR(VLOOKUP(C14,'Puntaje CT'!$C$10:$I$1048576,4,0)),"",VLOOKUP(C14,'Puntaje CT'!$C$10:$I$1048576,4,0))</f>
        <v/>
      </c>
      <c r="P14" s="225" t="str">
        <f>IF(ISERROR(VLOOKUP(C14,'Puntaje CF'!$C$10:$I$1048576,6,0)),"",VLOOKUP(C14,'Puntaje CF'!$C$10:$I$1048576,6,0))</f>
        <v/>
      </c>
      <c r="Q14" s="227" t="str">
        <f>IF(IF(ISERROR(VLOOKUP(C14,'Saldo CtosEjecución'!$C$10:$I$1048576,3,0)),"",VLOOKUP(C14,'Saldo CtosEjecución'!$C$10:$I$1048576,3,0))=0,"",IF(ISERROR(VLOOKUP(C14,'Saldo CtosEjecución'!$C$10:$I$1048576,3,0)),"",VLOOKUP(C14,'Saldo CtosEjecución'!$C$10:$I$1048576,3,0)))</f>
        <v/>
      </c>
      <c r="R14" s="141" t="str">
        <f t="shared" si="1"/>
        <v/>
      </c>
      <c r="S14" s="238"/>
    </row>
    <row r="15" spans="3:24" hidden="1" x14ac:dyDescent="0.2">
      <c r="C15" s="103" t="str">
        <f>+'Capacidad Financiera'!B17</f>
        <v/>
      </c>
      <c r="D15" s="97">
        <f>IF(ISERROR(VLOOKUP(C15,'Capacidad Financiera'!$B$12:$AD$59206,2,0)),"",VLOOKUP(C15,'Capacidad Financiera'!$B$12:$AD$59206,2,0))</f>
        <v>0</v>
      </c>
      <c r="E15" s="96">
        <f>IF(ISERROR(VLOOKUP(C15,'Capacidad Financiera'!$B$12:$AD$59206,3,0)),"",VLOOKUP(C15,'Capacidad Financiera'!$B$12:$AD$59206,3,0))</f>
        <v>0</v>
      </c>
      <c r="F15" s="145">
        <f>'Capacidad Financiera'!N17</f>
        <v>0</v>
      </c>
      <c r="G15" s="186" t="str">
        <f>IF(ISERROR(VLOOKUP(F15,POA!$A$2:$D$16,2,0)),"",VLOOKUP(F15,POA!$A$2:$D$16,2,0))</f>
        <v/>
      </c>
      <c r="H15" s="186" t="str">
        <f>IF(ISERROR(VLOOKUP(F15,POA!$A$2:$D$16,3,0)),"",VLOOKUP(F15,POA!$A$2:$D$16,4,0))</f>
        <v/>
      </c>
      <c r="I15" s="145" t="str">
        <f>IF(ISERROR(VLOOKUP(F15,POA!$A$2:$D$2,3,0)),"",VLOOKUP(F15,POA!$A$2:$D$2,3,0))</f>
        <v/>
      </c>
      <c r="J15" s="144" t="str">
        <f t="shared" si="2"/>
        <v/>
      </c>
      <c r="K15" s="233" t="str">
        <f>IF(IF(ISERROR(VLOOKUP(C15,'Cap Organización'!$C$10:$I$1048576,3,0)),"",VLOOKUP(C15,'Cap Organización'!$C$10:$I$1048576,3,0))=0,"",IF(ISERROR(VLOOKUP(C15,'Cap Organización'!$C$10:$I$1048576,3,0)),"",VLOOKUP(C15,'Cap Organización'!$C$10:$I$1048576,3,0)))</f>
        <v/>
      </c>
      <c r="L15" s="225" t="str">
        <f>IF(ISERROR(VLOOKUP(C15,'Puntaje Exp'!$C$10:$J$1048576,8,0)),"",VLOOKUP(C15,'Puntaje Exp'!$C$10:$J$1048576,8,0))</f>
        <v/>
      </c>
      <c r="M15" s="221">
        <f>+'Capacidad Financiera'!P17</f>
        <v>0</v>
      </c>
      <c r="N15" s="221" t="str">
        <f>IF(ISERROR(VLOOKUP(M15,POA!$A$2:$F$16,6,0)),"",VLOOKUP(M15,POA!$A$2:$F$16,6,0))</f>
        <v/>
      </c>
      <c r="O15" s="225" t="str">
        <f>IF(ISERROR(VLOOKUP(C15,'Puntaje CT'!$C$10:$I$1048576,4,0)),"",VLOOKUP(C15,'Puntaje CT'!$C$10:$I$1048576,4,0))</f>
        <v/>
      </c>
      <c r="P15" s="225" t="str">
        <f>IF(ISERROR(VLOOKUP(C15,'Puntaje CF'!$C$10:$I$1048576,6,0)),"",VLOOKUP(C15,'Puntaje CF'!$C$10:$I$1048576,6,0))</f>
        <v/>
      </c>
      <c r="Q15" s="227" t="str">
        <f>IF(IF(ISERROR(VLOOKUP(C15,'Saldo CtosEjecución'!$C$10:$I$1048576,3,0)),"",VLOOKUP(C15,'Saldo CtosEjecución'!$C$10:$I$1048576,3,0))=0,"",IF(ISERROR(VLOOKUP(C15,'Saldo CtosEjecución'!$C$10:$I$1048576,3,0)),"",VLOOKUP(C15,'Saldo CtosEjecución'!$C$10:$I$1048576,3,0)))</f>
        <v/>
      </c>
      <c r="R15" s="141" t="str">
        <f t="shared" si="1"/>
        <v/>
      </c>
      <c r="S15" s="238"/>
    </row>
    <row r="16" spans="3:24" hidden="1" x14ac:dyDescent="0.2">
      <c r="C16" s="103" t="str">
        <f>+'Capacidad Financiera'!B18</f>
        <v/>
      </c>
      <c r="D16" s="97">
        <f>IF(ISERROR(VLOOKUP(C16,'Capacidad Financiera'!$B$12:$AD$59206,2,0)),"",VLOOKUP(C16,'Capacidad Financiera'!$B$12:$AD$59206,2,0))</f>
        <v>0</v>
      </c>
      <c r="E16" s="96">
        <f>IF(ISERROR(VLOOKUP(C16,'Capacidad Financiera'!$B$12:$AD$59206,3,0)),"",VLOOKUP(C16,'Capacidad Financiera'!$B$12:$AD$59206,3,0))</f>
        <v>0</v>
      </c>
      <c r="F16" s="145">
        <f>'Capacidad Financiera'!N18</f>
        <v>0</v>
      </c>
      <c r="G16" s="186" t="str">
        <f>IF(ISERROR(VLOOKUP(F16,POA!$A$2:$D$16,2,0)),"",VLOOKUP(F16,POA!$A$2:$D$16,2,0))</f>
        <v/>
      </c>
      <c r="H16" s="186" t="str">
        <f>IF(ISERROR(VLOOKUP(F16,POA!$A$2:$D$16,3,0)),"",VLOOKUP(F16,POA!$A$2:$D$16,4,0))</f>
        <v/>
      </c>
      <c r="I16" s="145" t="str">
        <f>IF(ISERROR(VLOOKUP(F16,POA!$A$2:$D$2,3,0)),"",VLOOKUP(F16,POA!$A$2:$D$2,3,0))</f>
        <v/>
      </c>
      <c r="J16" s="144" t="str">
        <f t="shared" si="2"/>
        <v/>
      </c>
      <c r="K16" s="233" t="str">
        <f>IF(IF(ISERROR(VLOOKUP(C16,'Cap Organización'!$C$10:$I$1048576,3,0)),"",VLOOKUP(C16,'Cap Organización'!$C$10:$I$1048576,3,0))=0,"",IF(ISERROR(VLOOKUP(C16,'Cap Organización'!$C$10:$I$1048576,3,0)),"",VLOOKUP(C16,'Cap Organización'!$C$10:$I$1048576,3,0)))</f>
        <v/>
      </c>
      <c r="L16" s="225" t="str">
        <f>IF(ISERROR(VLOOKUP(C16,'Puntaje Exp'!$C$10:$J$1048576,8,0)),"",VLOOKUP(C16,'Puntaje Exp'!$C$10:$J$1048576,8,0))</f>
        <v/>
      </c>
      <c r="M16" s="221">
        <f>+'Capacidad Financiera'!P18</f>
        <v>0</v>
      </c>
      <c r="N16" s="221" t="str">
        <f>IF(ISERROR(VLOOKUP(M16,POA!$A$2:$F$16,6,0)),"",VLOOKUP(M16,POA!$A$2:$F$16,6,0))</f>
        <v/>
      </c>
      <c r="O16" s="225" t="str">
        <f>IF(ISERROR(VLOOKUP(C16,'Puntaje CT'!$C$10:$I$1048576,4,0)),"",VLOOKUP(C16,'Puntaje CT'!$C$10:$I$1048576,4,0))</f>
        <v/>
      </c>
      <c r="P16" s="225" t="str">
        <f>IF(ISERROR(VLOOKUP(C16,'Puntaje CF'!$C$10:$I$1048576,6,0)),"",VLOOKUP(C16,'Puntaje CF'!$C$10:$I$1048576,6,0))</f>
        <v/>
      </c>
      <c r="Q16" s="227" t="str">
        <f>IF(IF(ISERROR(VLOOKUP(C16,'Saldo CtosEjecución'!$C$10:$I$1048576,3,0)),"",VLOOKUP(C16,'Saldo CtosEjecución'!$C$10:$I$1048576,3,0))=0,"",IF(ISERROR(VLOOKUP(C16,'Saldo CtosEjecución'!$C$10:$I$1048576,3,0)),"",VLOOKUP(C16,'Saldo CtosEjecución'!$C$10:$I$1048576,3,0)))</f>
        <v/>
      </c>
      <c r="R16" s="141" t="str">
        <f t="shared" si="1"/>
        <v/>
      </c>
      <c r="S16" s="238"/>
    </row>
    <row r="17" spans="3:19" hidden="1" x14ac:dyDescent="0.2">
      <c r="C17" s="103" t="str">
        <f>+'Capacidad Financiera'!B19</f>
        <v/>
      </c>
      <c r="D17" s="97">
        <f>IF(ISERROR(VLOOKUP(C17,'Capacidad Financiera'!$B$12:$AD$59206,2,0)),"",VLOOKUP(C17,'Capacidad Financiera'!$B$12:$AD$59206,2,0))</f>
        <v>0</v>
      </c>
      <c r="E17" s="96">
        <f>IF(ISERROR(VLOOKUP(C17,'Capacidad Financiera'!$B$12:$AD$59206,3,0)),"",VLOOKUP(C17,'Capacidad Financiera'!$B$12:$AD$59206,3,0))</f>
        <v>0</v>
      </c>
      <c r="F17" s="145">
        <f>'Capacidad Financiera'!N19</f>
        <v>0</v>
      </c>
      <c r="G17" s="186" t="str">
        <f>IF(ISERROR(VLOOKUP(F17,POA!$A$2:$D$16,2,0)),"",VLOOKUP(F17,POA!$A$2:$D$16,2,0))</f>
        <v/>
      </c>
      <c r="H17" s="186" t="str">
        <f>IF(ISERROR(VLOOKUP(F17,POA!$A$2:$D$16,3,0)),"",VLOOKUP(F17,POA!$A$2:$D$16,4,0))</f>
        <v/>
      </c>
      <c r="I17" s="145" t="str">
        <f>IF(ISERROR(VLOOKUP(F17,POA!$A$2:$D$2,3,0)),"",VLOOKUP(F17,POA!$A$2:$D$2,3,0))</f>
        <v/>
      </c>
      <c r="J17" s="144" t="str">
        <f t="shared" si="2"/>
        <v/>
      </c>
      <c r="K17" s="233" t="str">
        <f>IF(IF(ISERROR(VLOOKUP(C17,'Cap Organización'!$C$10:$I$1048576,3,0)),"",VLOOKUP(C17,'Cap Organización'!$C$10:$I$1048576,3,0))=0,"",IF(ISERROR(VLOOKUP(C17,'Cap Organización'!$C$10:$I$1048576,3,0)),"",VLOOKUP(C17,'Cap Organización'!$C$10:$I$1048576,3,0)))</f>
        <v/>
      </c>
      <c r="L17" s="225" t="str">
        <f>IF(ISERROR(VLOOKUP(C17,'Puntaje Exp'!$C$10:$J$1048576,8,0)),"",VLOOKUP(C17,'Puntaje Exp'!$C$10:$J$1048576,8,0))</f>
        <v/>
      </c>
      <c r="M17" s="221">
        <f>+'Capacidad Financiera'!P19</f>
        <v>0</v>
      </c>
      <c r="N17" s="221" t="str">
        <f>IF(ISERROR(VLOOKUP(M17,POA!$A$2:$F$16,6,0)),"",VLOOKUP(M17,POA!$A$2:$F$16,6,0))</f>
        <v/>
      </c>
      <c r="O17" s="225" t="str">
        <f>IF(ISERROR(VLOOKUP(C17,'Puntaje CT'!$C$10:$I$1048576,4,0)),"",VLOOKUP(C17,'Puntaje CT'!$C$10:$I$1048576,4,0))</f>
        <v/>
      </c>
      <c r="P17" s="225" t="str">
        <f>IF(ISERROR(VLOOKUP(C17,'Puntaje CF'!$C$10:$I$1048576,6,0)),"",VLOOKUP(C17,'Puntaje CF'!$C$10:$I$1048576,6,0))</f>
        <v/>
      </c>
      <c r="Q17" s="227" t="str">
        <f>IF(IF(ISERROR(VLOOKUP(C17,'Saldo CtosEjecución'!$C$10:$I$1048576,3,0)),"",VLOOKUP(C17,'Saldo CtosEjecución'!$C$10:$I$1048576,3,0))=0,"",IF(ISERROR(VLOOKUP(C17,'Saldo CtosEjecución'!$C$10:$I$1048576,3,0)),"",VLOOKUP(C17,'Saldo CtosEjecución'!$C$10:$I$1048576,3,0)))</f>
        <v/>
      </c>
      <c r="R17" s="141" t="str">
        <f t="shared" si="1"/>
        <v/>
      </c>
      <c r="S17" s="238"/>
    </row>
    <row r="18" spans="3:19" hidden="1" x14ac:dyDescent="0.2">
      <c r="C18" s="103" t="str">
        <f>+'Capacidad Financiera'!B20</f>
        <v/>
      </c>
      <c r="D18" s="97">
        <f>IF(ISERROR(VLOOKUP(C18,'Capacidad Financiera'!$B$12:$AD$59206,2,0)),"",VLOOKUP(C18,'Capacidad Financiera'!$B$12:$AD$59206,2,0))</f>
        <v>0</v>
      </c>
      <c r="E18" s="96">
        <f>IF(ISERROR(VLOOKUP(C18,'Capacidad Financiera'!$B$12:$AD$59206,3,0)),"",VLOOKUP(C18,'Capacidad Financiera'!$B$12:$AD$59206,3,0))</f>
        <v>0</v>
      </c>
      <c r="F18" s="145">
        <f>'Capacidad Financiera'!N20</f>
        <v>0</v>
      </c>
      <c r="G18" s="186" t="str">
        <f>IF(ISERROR(VLOOKUP(F18,POA!$A$2:$D$16,2,0)),"",VLOOKUP(F18,POA!$A$2:$D$16,2,0))</f>
        <v/>
      </c>
      <c r="H18" s="186" t="str">
        <f>IF(ISERROR(VLOOKUP(F18,POA!$A$2:$D$16,3,0)),"",VLOOKUP(F18,POA!$A$2:$D$16,4,0))</f>
        <v/>
      </c>
      <c r="I18" s="145" t="str">
        <f>IF(ISERROR(VLOOKUP(F18,POA!$A$2:$D$2,3,0)),"",VLOOKUP(F18,POA!$A$2:$D$2,3,0))</f>
        <v/>
      </c>
      <c r="J18" s="144" t="str">
        <f t="shared" si="2"/>
        <v/>
      </c>
      <c r="K18" s="233" t="str">
        <f>IF(IF(ISERROR(VLOOKUP(C18,'Cap Organización'!$C$10:$I$1048576,3,0)),"",VLOOKUP(C18,'Cap Organización'!$C$10:$I$1048576,3,0))=0,"",IF(ISERROR(VLOOKUP(C18,'Cap Organización'!$C$10:$I$1048576,3,0)),"",VLOOKUP(C18,'Cap Organización'!$C$10:$I$1048576,3,0)))</f>
        <v/>
      </c>
      <c r="L18" s="225" t="str">
        <f>IF(ISERROR(VLOOKUP(C18,'Puntaje Exp'!$C$10:$J$1048576,8,0)),"",VLOOKUP(C18,'Puntaje Exp'!$C$10:$J$1048576,8,0))</f>
        <v/>
      </c>
      <c r="M18" s="221">
        <f>+'Capacidad Financiera'!P20</f>
        <v>0</v>
      </c>
      <c r="N18" s="221" t="str">
        <f>IF(ISERROR(VLOOKUP(M18,POA!$A$2:$F$16,6,0)),"",VLOOKUP(M18,POA!$A$2:$F$16,6,0))</f>
        <v/>
      </c>
      <c r="O18" s="225" t="str">
        <f>IF(ISERROR(VLOOKUP(C18,'Puntaje CT'!$C$10:$I$1048576,4,0)),"",VLOOKUP(C18,'Puntaje CT'!$C$10:$I$1048576,4,0))</f>
        <v/>
      </c>
      <c r="P18" s="225" t="str">
        <f>IF(ISERROR(VLOOKUP(C18,'Puntaje CF'!$C$10:$I$1048576,6,0)),"",VLOOKUP(C18,'Puntaje CF'!$C$10:$I$1048576,6,0))</f>
        <v/>
      </c>
      <c r="Q18" s="227" t="str">
        <f>IF(IF(ISERROR(VLOOKUP(C18,'Saldo CtosEjecución'!$C$10:$I$1048576,3,0)),"",VLOOKUP(C18,'Saldo CtosEjecución'!$C$10:$I$1048576,3,0))=0,"",IF(ISERROR(VLOOKUP(C18,'Saldo CtosEjecución'!$C$10:$I$1048576,3,0)),"",VLOOKUP(C18,'Saldo CtosEjecución'!$C$10:$I$1048576,3,0)))</f>
        <v/>
      </c>
      <c r="R18" s="141" t="str">
        <f t="shared" si="1"/>
        <v/>
      </c>
      <c r="S18" s="238"/>
    </row>
    <row r="19" spans="3:19" hidden="1" x14ac:dyDescent="0.2">
      <c r="C19" s="103" t="str">
        <f>+'Capacidad Financiera'!B21</f>
        <v/>
      </c>
      <c r="D19" s="97">
        <f>IF(ISERROR(VLOOKUP(C19,'Capacidad Financiera'!$B$12:$AD$59206,2,0)),"",VLOOKUP(C19,'Capacidad Financiera'!$B$12:$AD$59206,2,0))</f>
        <v>0</v>
      </c>
      <c r="E19" s="96">
        <f>IF(ISERROR(VLOOKUP(C19,'Capacidad Financiera'!$B$12:$AD$59206,3,0)),"",VLOOKUP(C19,'Capacidad Financiera'!$B$12:$AD$59206,3,0))</f>
        <v>0</v>
      </c>
      <c r="F19" s="145">
        <f>'Capacidad Financiera'!N21</f>
        <v>0</v>
      </c>
      <c r="G19" s="186" t="str">
        <f>IF(ISERROR(VLOOKUP(F19,POA!$A$2:$D$16,2,0)),"",VLOOKUP(F19,POA!$A$2:$D$16,2,0))</f>
        <v/>
      </c>
      <c r="H19" s="186" t="str">
        <f>IF(ISERROR(VLOOKUP(F19,POA!$A$2:$D$16,3,0)),"",VLOOKUP(F19,POA!$A$2:$D$16,4,0))</f>
        <v/>
      </c>
      <c r="I19" s="145" t="str">
        <f>IF(ISERROR(VLOOKUP(F19,POA!$A$2:$D$2,3,0)),"",VLOOKUP(F19,POA!$A$2:$D$2,3,0))</f>
        <v/>
      </c>
      <c r="J19" s="144" t="str">
        <f t="shared" si="2"/>
        <v/>
      </c>
      <c r="K19" s="233" t="str">
        <f>IF(IF(ISERROR(VLOOKUP(C19,'Cap Organización'!$C$10:$I$1048576,3,0)),"",VLOOKUP(C19,'Cap Organización'!$C$10:$I$1048576,3,0))=0,"",IF(ISERROR(VLOOKUP(C19,'Cap Organización'!$C$10:$I$1048576,3,0)),"",VLOOKUP(C19,'Cap Organización'!$C$10:$I$1048576,3,0)))</f>
        <v/>
      </c>
      <c r="L19" s="225" t="str">
        <f>IF(ISERROR(VLOOKUP(C19,'Puntaje Exp'!$C$10:$J$1048576,8,0)),"",VLOOKUP(C19,'Puntaje Exp'!$C$10:$J$1048576,8,0))</f>
        <v/>
      </c>
      <c r="M19" s="221">
        <f>+'Capacidad Financiera'!P21</f>
        <v>0</v>
      </c>
      <c r="N19" s="221" t="str">
        <f>IF(ISERROR(VLOOKUP(M19,POA!$A$2:$F$16,6,0)),"",VLOOKUP(M19,POA!$A$2:$F$16,6,0))</f>
        <v/>
      </c>
      <c r="O19" s="225" t="str">
        <f>IF(ISERROR(VLOOKUP(C19,'Puntaje CT'!$C$10:$I$1048576,4,0)),"",VLOOKUP(C19,'Puntaje CT'!$C$10:$I$1048576,4,0))</f>
        <v/>
      </c>
      <c r="P19" s="225" t="str">
        <f>IF(ISERROR(VLOOKUP(C19,'Puntaje CF'!$C$10:$I$1048576,6,0)),"",VLOOKUP(C19,'Puntaje CF'!$C$10:$I$1048576,6,0))</f>
        <v/>
      </c>
      <c r="Q19" s="227" t="str">
        <f>IF(IF(ISERROR(VLOOKUP(C19,'Saldo CtosEjecución'!$C$10:$I$1048576,3,0)),"",VLOOKUP(C19,'Saldo CtosEjecución'!$C$10:$I$1048576,3,0))=0,"",IF(ISERROR(VLOOKUP(C19,'Saldo CtosEjecución'!$C$10:$I$1048576,3,0)),"",VLOOKUP(C19,'Saldo CtosEjecución'!$C$10:$I$1048576,3,0)))</f>
        <v/>
      </c>
      <c r="R19" s="141" t="str">
        <f t="shared" si="1"/>
        <v/>
      </c>
      <c r="S19" s="238"/>
    </row>
    <row r="20" spans="3:19" ht="13.5" hidden="1" thickBot="1" x14ac:dyDescent="0.25">
      <c r="C20" s="104" t="str">
        <f>+'Capacidad Financiera'!B22</f>
        <v/>
      </c>
      <c r="D20" s="105">
        <f>IF(ISERROR(VLOOKUP(C20,'Capacidad Financiera'!$B$12:$AD$59206,2,0)),"",VLOOKUP(C20,'Capacidad Financiera'!$B$12:$AD$59206,2,0))</f>
        <v>0</v>
      </c>
      <c r="E20" s="106">
        <f>IF(ISERROR(VLOOKUP(C20,'Capacidad Financiera'!$B$12:$AD$59206,3,0)),"",VLOOKUP(C20,'Capacidad Financiera'!$B$12:$AD$59206,3,0))</f>
        <v>0</v>
      </c>
      <c r="F20" s="181">
        <f>'Capacidad Financiera'!N22</f>
        <v>0</v>
      </c>
      <c r="G20" s="187" t="str">
        <f>IF(ISERROR(VLOOKUP(F20,POA!$A$2:$D$16,2,0)),"",VLOOKUP(F20,POA!$A$2:$D$16,2,0))</f>
        <v/>
      </c>
      <c r="H20" s="187" t="str">
        <f>IF(ISERROR(VLOOKUP(F20,POA!$A$2:$D$16,3,0)),"",VLOOKUP(F20,POA!$A$2:$D$16,4,0))</f>
        <v/>
      </c>
      <c r="I20" s="181" t="str">
        <f>IF(ISERROR(VLOOKUP(F20,POA!$A$2:$D$2,3,0)),"",VLOOKUP(F20,POA!$A$2:$D$2,3,0))</f>
        <v/>
      </c>
      <c r="J20" s="180" t="str">
        <f t="shared" si="2"/>
        <v/>
      </c>
      <c r="K20" s="228" t="str">
        <f>IF(IF(ISERROR(VLOOKUP(C20,'Cap Organización'!$C$10:$I$1048576,3,0)),"",VLOOKUP(C20,'Cap Organización'!$C$10:$I$1048576,3,0))=0,"",IF(ISERROR(VLOOKUP(C20,'Cap Organización'!$C$10:$I$1048576,3,0)),"",VLOOKUP(C20,'Cap Organización'!$C$10:$I$1048576,3,0)))</f>
        <v/>
      </c>
      <c r="L20" s="218" t="str">
        <f>IF(ISERROR(VLOOKUP(C20,'Puntaje Exp'!$C$10:$J$1048576,8,0)),"",VLOOKUP(C20,'Puntaje Exp'!$C$10:$J$1048576,8,0))</f>
        <v/>
      </c>
      <c r="M20" s="222">
        <f>+'Capacidad Financiera'!P22</f>
        <v>0</v>
      </c>
      <c r="N20" s="222" t="str">
        <f>IF(ISERROR(VLOOKUP(M20,POA!$A$2:$F$16,6,0)),"",VLOOKUP(M20,POA!$A$2:$F$16,6,0))</f>
        <v/>
      </c>
      <c r="O20" s="218" t="str">
        <f>IF(ISERROR(VLOOKUP(C20,'Puntaje CT'!$C$10:$I$1048576,4,0)),"",VLOOKUP(C20,'Puntaje CT'!$C$10:$I$1048576,4,0))</f>
        <v/>
      </c>
      <c r="P20" s="218" t="str">
        <f>IF(ISERROR(VLOOKUP(C20,'Puntaje CF'!$C$10:$I$1048576,6,0)),"",VLOOKUP(C20,'Puntaje CF'!$C$10:$I$1048576,6,0))</f>
        <v/>
      </c>
      <c r="Q20" s="228" t="str">
        <f>IF(IF(ISERROR(VLOOKUP(C20,'Saldo CtosEjecución'!$C$10:$I$1048576,3,0)),"",VLOOKUP(C20,'Saldo CtosEjecución'!$C$10:$I$1048576,3,0))=0,"",IF(ISERROR(VLOOKUP(C20,'Saldo CtosEjecución'!$C$10:$I$1048576,3,0)),"",VLOOKUP(C20,'Saldo CtosEjecución'!$C$10:$I$1048576,3,0)))</f>
        <v/>
      </c>
      <c r="R20" s="226" t="str">
        <f t="shared" si="1"/>
        <v/>
      </c>
      <c r="S20" s="239"/>
    </row>
    <row r="21" spans="3:19" x14ac:dyDescent="0.2">
      <c r="C21" s="98">
        <v>2</v>
      </c>
      <c r="D21" s="99">
        <f>IF(ISERROR(VLOOKUP(C21,'Capacidad Financiera'!$B$12:$AD$59206,2,0)),"",VLOOKUP(C21,'Capacidad Financiera'!$B$12:$AD$59206,2,0))</f>
        <v>0</v>
      </c>
      <c r="E21" s="100">
        <f>IF(ISERROR(VLOOKUP(C21,'Capacidad Financiera'!$B$12:$AD$59206,3,0)),"",VLOOKUP(C21,'Capacidad Financiera'!$B$12:$AD$59206,3,0))</f>
        <v>1</v>
      </c>
      <c r="F21" s="102">
        <f>'Capacidad Financiera'!N23</f>
        <v>1</v>
      </c>
      <c r="G21" s="101">
        <f>IF(ISERROR(VLOOKUP(F21,POA!$A$2:$D$16,2,0)),"",VLOOKUP(F21,POA!$A$2:$D$16,2,0))</f>
        <v>165305025</v>
      </c>
      <c r="H21" s="101">
        <f>IF(ISERROR(VLOOKUP(F21,POA!$A$2:$D$16,3,0)),"",VLOOKUP(F21,POA!$A$2:$D$16,4,0))</f>
        <v>16530502.5</v>
      </c>
      <c r="I21" s="102">
        <f>IF(ISERROR(VLOOKUP(F21,POA!$A$2:$D$2,3,0)),"",VLOOKUP(F21,POA!$A$2:$D$2,3,0))</f>
        <v>5</v>
      </c>
      <c r="J21" s="99">
        <f>IF(I21="","",IF(I21&lt;12,(G21-H21),IF(I21&gt;=12,(((G21-H21)/I21)*12),"")))</f>
        <v>148774522.5</v>
      </c>
      <c r="K21" s="102"/>
      <c r="L21" s="99"/>
      <c r="M21" s="99"/>
      <c r="N21" s="99">
        <f>+SUM(N22:N31)</f>
        <v>0</v>
      </c>
      <c r="O21" s="102" t="str">
        <f>IF(ISERROR(VLOOKUP(K21,POA!$A$2:$C$2,3,0)),"",VLOOKUP(K21,POA!$A$2:$C$2,3,0))</f>
        <v/>
      </c>
      <c r="P21" s="99" t="str">
        <f t="shared" ref="P21" si="3">IF(ISERROR(+L21/O21),"",(L21/O21))</f>
        <v/>
      </c>
      <c r="Q21" s="140"/>
      <c r="R21" s="140">
        <f>SUM(R22:R31)</f>
        <v>620770500</v>
      </c>
      <c r="S21" s="240" t="str">
        <f>+IF(OR(R21=0,F21=""),"",IF(R21&gt;=J21,"HABIL","NO HABIL"))</f>
        <v>HABIL</v>
      </c>
    </row>
    <row r="22" spans="3:19" ht="26.25" thickBot="1" x14ac:dyDescent="0.25">
      <c r="C22" s="104">
        <f>+'Capacidad Financiera'!B24</f>
        <v>2.1</v>
      </c>
      <c r="D22" s="105" t="str">
        <f>IF(ISERROR(VLOOKUP(C22,'Capacidad Financiera'!$B$12:$AD$59206,2,0)),"",VLOOKUP(C22,'Capacidad Financiera'!$B$12:$AD$59206,2,0))</f>
        <v>EMPRESA DE TRABAJADORES DE SAN MARCOS ETASAMAR S.A.S.</v>
      </c>
      <c r="E22" s="106">
        <f>IF(ISERROR(VLOOKUP(C22,'Capacidad Financiera'!$B$12:$AD$59206,3,0)),"",VLOOKUP(C22,'Capacidad Financiera'!$B$12:$AD$59206,3,0))</f>
        <v>1</v>
      </c>
      <c r="F22" s="181">
        <f>'Capacidad Financiera'!N24</f>
        <v>0</v>
      </c>
      <c r="G22" s="187" t="str">
        <f>IF(ISERROR(VLOOKUP(F22,POA!$A$2:$D$16,2,0)),"",VLOOKUP(F22,POA!$A$2:$D$16,2,0))</f>
        <v/>
      </c>
      <c r="H22" s="187" t="str">
        <f>IF(ISERROR(VLOOKUP(F22,POA!$A$2:$D$16,3,0)),"",VLOOKUP(F22,POA!$A$2:$D$16,4,0))</f>
        <v/>
      </c>
      <c r="I22" s="181" t="str">
        <f>IF(ISERROR(VLOOKUP(F22,POA!$A$2:$D$2,3,0)),"",VLOOKUP(F22,POA!$A$2:$D$2,3,0))</f>
        <v/>
      </c>
      <c r="J22" s="180" t="str">
        <f>IF(I22="","",IF(I22&lt;12,(G22-H22),IF(I22&gt;=12,(((G22-H22)/I22)*12),"")))</f>
        <v/>
      </c>
      <c r="K22" s="228">
        <f>IF(IF(ISERROR(VLOOKUP(C22,'Cap Organización'!$C$10:$I$1048576,3,0)),"",VLOOKUP(C22,'Cap Organización'!$C$10:$I$1048576,3,0))=0,"",IF(ISERROR(VLOOKUP(C22,'Cap Organización'!$C$10:$I$1048576,3,0)),"",VLOOKUP(C22,'Cap Organización'!$C$10:$I$1048576,3,0)))</f>
        <v>413847000</v>
      </c>
      <c r="L22" s="218">
        <f>IF(ISERROR(VLOOKUP(C22,'Puntaje Exp'!$C$10:$J$1048576,8,0)),"",VLOOKUP(C22,'Puntaje Exp'!$C$10:$J$1048576,8,0))</f>
        <v>80</v>
      </c>
      <c r="M22" s="218">
        <f>+'Capacidad Financiera'!P24</f>
        <v>0</v>
      </c>
      <c r="N22" s="218" t="str">
        <f>IF(ISERROR(VLOOKUP(M22,POA!$A$2:$F$16,6,0)),"",VLOOKUP(M22,POA!$A$2:$F$16,6,0))</f>
        <v/>
      </c>
      <c r="O22" s="218">
        <f>IF(ISERROR(VLOOKUP(C22,'Puntaje CT'!$C$10:$I$1048576,4,0)),"",VLOOKUP(C22,'Puntaje CT'!$C$10:$I$1048576,4,0))</f>
        <v>30</v>
      </c>
      <c r="P22" s="218">
        <f>IF(ISERROR(VLOOKUP(C22,'Puntaje CF'!$C$10:$I$1048576,6,0)),"",VLOOKUP(C22,'Puntaje CF'!$C$10:$I$1048576,6,0))</f>
        <v>40</v>
      </c>
      <c r="Q22" s="228">
        <v>0</v>
      </c>
      <c r="R22" s="334">
        <f>IF(OR(K22="",L22="",O22="",P22="",Q22=""),"",(K22*((L22+O22+P22)/100))-Q22)</f>
        <v>620770500</v>
      </c>
      <c r="S22" s="239"/>
    </row>
    <row r="23" spans="3:19" hidden="1" x14ac:dyDescent="0.2">
      <c r="C23" s="323" t="str">
        <f>+'Capacidad Financiera'!B25</f>
        <v/>
      </c>
      <c r="D23" s="324">
        <f>IF(ISERROR(VLOOKUP(C23,'Capacidad Financiera'!$B$12:$AD$59206,2,0)),"",VLOOKUP(C23,'Capacidad Financiera'!$B$12:$AD$59206,2,0))</f>
        <v>0</v>
      </c>
      <c r="E23" s="325">
        <f>IF(ISERROR(VLOOKUP(C23,'Capacidad Financiera'!$B$12:$AD$59206,3,0)),"",VLOOKUP(C23,'Capacidad Financiera'!$B$12:$AD$59206,3,0))</f>
        <v>0</v>
      </c>
      <c r="F23" s="326">
        <f>'Capacidad Financiera'!N25</f>
        <v>0</v>
      </c>
      <c r="G23" s="327" t="str">
        <f>IF(ISERROR(VLOOKUP(F23,POA!$A$2:$D$16,2,0)),"",VLOOKUP(F23,POA!$A$2:$D$16,2,0))</f>
        <v/>
      </c>
      <c r="H23" s="327" t="str">
        <f>IF(ISERROR(VLOOKUP(F23,POA!$A$2:$D$16,3,0)),"",VLOOKUP(F23,POA!$A$2:$D$16,4,0))</f>
        <v/>
      </c>
      <c r="I23" s="326" t="str">
        <f>IF(ISERROR(VLOOKUP(F23,POA!$A$2:$D$2,3,0)),"",VLOOKUP(F23,POA!$A$2:$D$2,3,0))</f>
        <v/>
      </c>
      <c r="J23" s="328" t="str">
        <f>IF(I23="","",IF(I23&lt;12,(G23-H23),IF(I23&gt;=12,(((G23-H23)/I23)*12),"")))</f>
        <v/>
      </c>
      <c r="K23" s="329" t="str">
        <f>IF(IF(ISERROR(VLOOKUP(C23,'Cap Organización'!$C$10:$I$1048576,3,0)),"",VLOOKUP(C23,'Cap Organización'!$C$10:$I$1048576,3,0))=0,"",IF(ISERROR(VLOOKUP(C23,'Cap Organización'!$C$10:$I$1048576,3,0)),"",VLOOKUP(C23,'Cap Organización'!$C$10:$I$1048576,3,0)))</f>
        <v/>
      </c>
      <c r="L23" s="330" t="str">
        <f>IF(ISERROR(VLOOKUP(C23,'Puntaje Exp'!$C$10:$J$1048576,8,0)),"",VLOOKUP(C23,'Puntaje Exp'!$C$10:$J$1048576,8,0))</f>
        <v/>
      </c>
      <c r="M23" s="331">
        <f>+'Capacidad Financiera'!P25</f>
        <v>0</v>
      </c>
      <c r="N23" s="331" t="str">
        <f>IF(ISERROR(VLOOKUP(M23,POA!$A$2:$F$16,6,0)),"",VLOOKUP(M23,POA!$A$2:$F$16,6,0))</f>
        <v/>
      </c>
      <c r="O23" s="330" t="str">
        <f>IF(ISERROR(VLOOKUP(C23,'Puntaje CT'!$C$10:$I$1048576,4,0)),"",VLOOKUP(C23,'Puntaje CT'!$C$10:$I$1048576,4,0))</f>
        <v/>
      </c>
      <c r="P23" s="330" t="str">
        <f>IF(ISERROR(VLOOKUP(C23,'Puntaje CF'!$C$10:$I$1048576,6,0)),"",VLOOKUP(C23,'Puntaje CF'!$C$10:$I$1048576,6,0))</f>
        <v/>
      </c>
      <c r="Q23" s="329" t="str">
        <f>IF(IF(ISERROR(VLOOKUP(C23,'Saldo CtosEjecución'!$C$10:$I$1048576,3,0)),"",VLOOKUP(C23,'Saldo CtosEjecución'!$C$10:$I$1048576,3,0))=0,"",IF(ISERROR(VLOOKUP(C23,'Saldo CtosEjecución'!$C$10:$I$1048576,3,0)),"",VLOOKUP(C23,'Saldo CtosEjecución'!$C$10:$I$1048576,3,0)))</f>
        <v/>
      </c>
      <c r="R23" s="332" t="str">
        <f>IF(OR(K23="",L23="",O23="",P23="",Q23=""),"",(K23*((L23+O23+P23)/100))-Q23)</f>
        <v/>
      </c>
      <c r="S23" s="333"/>
    </row>
    <row r="24" spans="3:19" hidden="1" x14ac:dyDescent="0.2">
      <c r="C24" s="103" t="str">
        <f>+'Capacidad Financiera'!B26</f>
        <v/>
      </c>
      <c r="D24" s="97">
        <f>IF(ISERROR(VLOOKUP(C24,'Capacidad Financiera'!$B$12:$AD$59206,2,0)),"",VLOOKUP(C24,'Capacidad Financiera'!$B$12:$AD$59206,2,0))</f>
        <v>0</v>
      </c>
      <c r="E24" s="96">
        <f>IF(ISERROR(VLOOKUP(C24,'Capacidad Financiera'!$B$12:$AD$59206,3,0)),"",VLOOKUP(C24,'Capacidad Financiera'!$B$12:$AD$59206,3,0))</f>
        <v>0</v>
      </c>
      <c r="F24" s="145">
        <f>'Capacidad Financiera'!N26</f>
        <v>0</v>
      </c>
      <c r="G24" s="186" t="str">
        <f>IF(ISERROR(VLOOKUP(F24,POA!$A$2:$D$16,2,0)),"",VLOOKUP(F24,POA!$A$2:$D$16,2,0))</f>
        <v/>
      </c>
      <c r="H24" s="186" t="str">
        <f>IF(ISERROR(VLOOKUP(F24,POA!$A$2:$D$16,3,0)),"",VLOOKUP(F24,POA!$A$2:$D$16,4,0))</f>
        <v/>
      </c>
      <c r="I24" s="145" t="str">
        <f>IF(ISERROR(VLOOKUP(F24,POA!$A$2:$D$2,3,0)),"",VLOOKUP(F24,POA!$A$2:$D$2,3,0))</f>
        <v/>
      </c>
      <c r="J24" s="144" t="str">
        <f>IF(I24="","",IF(I24&lt;12,(G24-H24),IF(I24&gt;=12,(((G24-H24)/I24)*12),"")))</f>
        <v/>
      </c>
      <c r="K24" s="233" t="str">
        <f>IF(IF(ISERROR(VLOOKUP(C24,'Cap Organización'!$C$10:$I$1048576,3,0)),"",VLOOKUP(C24,'Cap Organización'!$C$10:$I$1048576,3,0))=0,"",IF(ISERROR(VLOOKUP(C24,'Cap Organización'!$C$10:$I$1048576,3,0)),"",VLOOKUP(C24,'Cap Organización'!$C$10:$I$1048576,3,0)))</f>
        <v/>
      </c>
      <c r="L24" s="225" t="str">
        <f>IF(ISERROR(VLOOKUP(C24,'Puntaje Exp'!$C$10:$J$1048576,8,0)),"",VLOOKUP(C24,'Puntaje Exp'!$C$10:$J$1048576,8,0))</f>
        <v/>
      </c>
      <c r="M24" s="221">
        <f>+'Capacidad Financiera'!P26</f>
        <v>0</v>
      </c>
      <c r="N24" s="221" t="str">
        <f>IF(ISERROR(VLOOKUP(M24,POA!$A$2:$F$16,6,0)),"",VLOOKUP(M24,POA!$A$2:$F$16,6,0))</f>
        <v/>
      </c>
      <c r="O24" s="225" t="str">
        <f>IF(ISERROR(VLOOKUP(C24,'Puntaje CT'!$C$10:$I$1048576,4,0)),"",VLOOKUP(C24,'Puntaje CT'!$C$10:$I$1048576,4,0))</f>
        <v/>
      </c>
      <c r="P24" s="225" t="str">
        <f>IF(ISERROR(VLOOKUP(C24,'Puntaje CF'!$C$10:$I$1048576,6,0)),"",VLOOKUP(C24,'Puntaje CF'!$C$10:$I$1048576,6,0))</f>
        <v/>
      </c>
      <c r="Q24" s="227" t="str">
        <f>IF(IF(ISERROR(VLOOKUP(C24,'Saldo CtosEjecución'!$C$10:$I$1048576,3,0)),"",VLOOKUP(C24,'Saldo CtosEjecución'!$C$10:$I$1048576,3,0))=0,"",IF(ISERROR(VLOOKUP(C24,'Saldo CtosEjecución'!$C$10:$I$1048576,3,0)),"",VLOOKUP(C24,'Saldo CtosEjecución'!$C$10:$I$1048576,3,0)))</f>
        <v/>
      </c>
      <c r="R24" s="141" t="str">
        <f t="shared" ref="R24:R31" si="4">IF(OR(K24="",L24="",O24="",P24="",Q24=""),"",(K24*((L24+O24+P24)/100))-Q24)</f>
        <v/>
      </c>
      <c r="S24" s="238"/>
    </row>
    <row r="25" spans="3:19" hidden="1" x14ac:dyDescent="0.2">
      <c r="C25" s="103" t="str">
        <f>+'Capacidad Financiera'!B27</f>
        <v/>
      </c>
      <c r="D25" s="97">
        <f>IF(ISERROR(VLOOKUP(C25,'Capacidad Financiera'!$B$12:$AD$59206,2,0)),"",VLOOKUP(C25,'Capacidad Financiera'!$B$12:$AD$59206,2,0))</f>
        <v>0</v>
      </c>
      <c r="E25" s="96">
        <f>IF(ISERROR(VLOOKUP(C25,'Capacidad Financiera'!$B$12:$AD$59206,3,0)),"",VLOOKUP(C25,'Capacidad Financiera'!$B$12:$AD$59206,3,0))</f>
        <v>0</v>
      </c>
      <c r="F25" s="145">
        <f>'Capacidad Financiera'!N27</f>
        <v>0</v>
      </c>
      <c r="G25" s="186" t="str">
        <f>IF(ISERROR(VLOOKUP(F25,POA!$A$2:$D$16,2,0)),"",VLOOKUP(F25,POA!$A$2:$D$16,2,0))</f>
        <v/>
      </c>
      <c r="H25" s="186" t="str">
        <f>IF(ISERROR(VLOOKUP(F25,POA!$A$2:$D$16,3,0)),"",VLOOKUP(F25,POA!$A$2:$D$16,4,0))</f>
        <v/>
      </c>
      <c r="I25" s="145" t="str">
        <f>IF(ISERROR(VLOOKUP(F25,POA!$A$2:$D$2,3,0)),"",VLOOKUP(F25,POA!$A$2:$D$2,3,0))</f>
        <v/>
      </c>
      <c r="J25" s="144" t="str">
        <f t="shared" ref="J25:J31" si="5">IF(I25="","",IF(I25&lt;12,(G25-H25),IF(I25&gt;=12,(((G25-H25)/I25)*12),"")))</f>
        <v/>
      </c>
      <c r="K25" s="233" t="str">
        <f>IF(IF(ISERROR(VLOOKUP(C25,'Cap Organización'!$C$10:$I$1048576,3,0)),"",VLOOKUP(C25,'Cap Organización'!$C$10:$I$1048576,3,0))=0,"",IF(ISERROR(VLOOKUP(C25,'Cap Organización'!$C$10:$I$1048576,3,0)),"",VLOOKUP(C25,'Cap Organización'!$C$10:$I$1048576,3,0)))</f>
        <v/>
      </c>
      <c r="L25" s="225" t="str">
        <f>IF(ISERROR(VLOOKUP(C25,'Puntaje Exp'!$C$10:$J$1048576,8,0)),"",VLOOKUP(C25,'Puntaje Exp'!$C$10:$J$1048576,8,0))</f>
        <v/>
      </c>
      <c r="M25" s="221">
        <f>+'Capacidad Financiera'!P27</f>
        <v>0</v>
      </c>
      <c r="N25" s="221" t="str">
        <f>IF(ISERROR(VLOOKUP(M25,POA!$A$2:$F$16,6,0)),"",VLOOKUP(M25,POA!$A$2:$F$16,6,0))</f>
        <v/>
      </c>
      <c r="O25" s="225" t="str">
        <f>IF(ISERROR(VLOOKUP(C25,'Puntaje CT'!$C$10:$I$1048576,4,0)),"",VLOOKUP(C25,'Puntaje CT'!$C$10:$I$1048576,4,0))</f>
        <v/>
      </c>
      <c r="P25" s="225" t="str">
        <f>IF(ISERROR(VLOOKUP(C25,'Puntaje CF'!$C$10:$I$1048576,6,0)),"",VLOOKUP(C25,'Puntaje CF'!$C$10:$I$1048576,6,0))</f>
        <v/>
      </c>
      <c r="Q25" s="227" t="str">
        <f>IF(IF(ISERROR(VLOOKUP(C25,'Saldo CtosEjecución'!$C$10:$I$1048576,3,0)),"",VLOOKUP(C25,'Saldo CtosEjecución'!$C$10:$I$1048576,3,0))=0,"",IF(ISERROR(VLOOKUP(C25,'Saldo CtosEjecución'!$C$10:$I$1048576,3,0)),"",VLOOKUP(C25,'Saldo CtosEjecución'!$C$10:$I$1048576,3,0)))</f>
        <v/>
      </c>
      <c r="R25" s="141" t="str">
        <f t="shared" si="4"/>
        <v/>
      </c>
      <c r="S25" s="238"/>
    </row>
    <row r="26" spans="3:19" hidden="1" x14ac:dyDescent="0.2">
      <c r="C26" s="103" t="str">
        <f>+'Capacidad Financiera'!B28</f>
        <v/>
      </c>
      <c r="D26" s="97">
        <f>IF(ISERROR(VLOOKUP(C26,'Capacidad Financiera'!$B$12:$AD$59206,2,0)),"",VLOOKUP(C26,'Capacidad Financiera'!$B$12:$AD$59206,2,0))</f>
        <v>0</v>
      </c>
      <c r="E26" s="96">
        <f>IF(ISERROR(VLOOKUP(C26,'Capacidad Financiera'!$B$12:$AD$59206,3,0)),"",VLOOKUP(C26,'Capacidad Financiera'!$B$12:$AD$59206,3,0))</f>
        <v>0</v>
      </c>
      <c r="F26" s="145">
        <f>'Capacidad Financiera'!N28</f>
        <v>0</v>
      </c>
      <c r="G26" s="186" t="str">
        <f>IF(ISERROR(VLOOKUP(F26,POA!$A$2:$D$16,2,0)),"",VLOOKUP(F26,POA!$A$2:$D$16,2,0))</f>
        <v/>
      </c>
      <c r="H26" s="186" t="str">
        <f>IF(ISERROR(VLOOKUP(F26,POA!$A$2:$D$16,3,0)),"",VLOOKUP(F26,POA!$A$2:$D$16,4,0))</f>
        <v/>
      </c>
      <c r="I26" s="145" t="str">
        <f>IF(ISERROR(VLOOKUP(F26,POA!$A$2:$D$2,3,0)),"",VLOOKUP(F26,POA!$A$2:$D$2,3,0))</f>
        <v/>
      </c>
      <c r="J26" s="144" t="str">
        <f t="shared" si="5"/>
        <v/>
      </c>
      <c r="K26" s="233" t="str">
        <f>IF(IF(ISERROR(VLOOKUP(C26,'Cap Organización'!$C$10:$I$1048576,3,0)),"",VLOOKUP(C26,'Cap Organización'!$C$10:$I$1048576,3,0))=0,"",IF(ISERROR(VLOOKUP(C26,'Cap Organización'!$C$10:$I$1048576,3,0)),"",VLOOKUP(C26,'Cap Organización'!$C$10:$I$1048576,3,0)))</f>
        <v/>
      </c>
      <c r="L26" s="225" t="str">
        <f>IF(ISERROR(VLOOKUP(C26,'Puntaje Exp'!$C$10:$J$1048576,8,0)),"",VLOOKUP(C26,'Puntaje Exp'!$C$10:$J$1048576,8,0))</f>
        <v/>
      </c>
      <c r="M26" s="221">
        <f>+'Capacidad Financiera'!P28</f>
        <v>0</v>
      </c>
      <c r="N26" s="221" t="str">
        <f>IF(ISERROR(VLOOKUP(M26,POA!$A$2:$F$16,6,0)),"",VLOOKUP(M26,POA!$A$2:$F$16,6,0))</f>
        <v/>
      </c>
      <c r="O26" s="225" t="str">
        <f>IF(ISERROR(VLOOKUP(C26,'Puntaje CT'!$C$10:$I$1048576,4,0)),"",VLOOKUP(C26,'Puntaje CT'!$C$10:$I$1048576,4,0))</f>
        <v/>
      </c>
      <c r="P26" s="225" t="str">
        <f>IF(ISERROR(VLOOKUP(C26,'Puntaje CF'!$C$10:$I$1048576,6,0)),"",VLOOKUP(C26,'Puntaje CF'!$C$10:$I$1048576,6,0))</f>
        <v/>
      </c>
      <c r="Q26" s="227" t="str">
        <f>IF(IF(ISERROR(VLOOKUP(C26,'Saldo CtosEjecución'!$C$10:$I$1048576,3,0)),"",VLOOKUP(C26,'Saldo CtosEjecución'!$C$10:$I$1048576,3,0))=0,"",IF(ISERROR(VLOOKUP(C26,'Saldo CtosEjecución'!$C$10:$I$1048576,3,0)),"",VLOOKUP(C26,'Saldo CtosEjecución'!$C$10:$I$1048576,3,0)))</f>
        <v/>
      </c>
      <c r="R26" s="141" t="str">
        <f t="shared" si="4"/>
        <v/>
      </c>
      <c r="S26" s="238"/>
    </row>
    <row r="27" spans="3:19" hidden="1" x14ac:dyDescent="0.2">
      <c r="C27" s="103" t="str">
        <f>+'Capacidad Financiera'!B29</f>
        <v/>
      </c>
      <c r="D27" s="97">
        <f>IF(ISERROR(VLOOKUP(C27,'Capacidad Financiera'!$B$12:$AD$59206,2,0)),"",VLOOKUP(C27,'Capacidad Financiera'!$B$12:$AD$59206,2,0))</f>
        <v>0</v>
      </c>
      <c r="E27" s="96">
        <f>IF(ISERROR(VLOOKUP(C27,'Capacidad Financiera'!$B$12:$AD$59206,3,0)),"",VLOOKUP(C27,'Capacidad Financiera'!$B$12:$AD$59206,3,0))</f>
        <v>0</v>
      </c>
      <c r="F27" s="145">
        <f>'Capacidad Financiera'!N29</f>
        <v>0</v>
      </c>
      <c r="G27" s="186" t="str">
        <f>IF(ISERROR(VLOOKUP(F27,POA!$A$2:$D$16,2,0)),"",VLOOKUP(F27,POA!$A$2:$D$16,2,0))</f>
        <v/>
      </c>
      <c r="H27" s="186" t="str">
        <f>IF(ISERROR(VLOOKUP(F27,POA!$A$2:$D$16,3,0)),"",VLOOKUP(F27,POA!$A$2:$D$16,4,0))</f>
        <v/>
      </c>
      <c r="I27" s="145" t="str">
        <f>IF(ISERROR(VLOOKUP(F27,POA!$A$2:$D$2,3,0)),"",VLOOKUP(F27,POA!$A$2:$D$2,3,0))</f>
        <v/>
      </c>
      <c r="J27" s="144" t="str">
        <f t="shared" si="5"/>
        <v/>
      </c>
      <c r="K27" s="233" t="str">
        <f>IF(IF(ISERROR(VLOOKUP(C27,'Cap Organización'!$C$10:$I$1048576,3,0)),"",VLOOKUP(C27,'Cap Organización'!$C$10:$I$1048576,3,0))=0,"",IF(ISERROR(VLOOKUP(C27,'Cap Organización'!$C$10:$I$1048576,3,0)),"",VLOOKUP(C27,'Cap Organización'!$C$10:$I$1048576,3,0)))</f>
        <v/>
      </c>
      <c r="L27" s="225" t="str">
        <f>IF(ISERROR(VLOOKUP(C27,'Puntaje Exp'!$C$10:$J$1048576,8,0)),"",VLOOKUP(C27,'Puntaje Exp'!$C$10:$J$1048576,8,0))</f>
        <v/>
      </c>
      <c r="M27" s="221">
        <f>+'Capacidad Financiera'!P29</f>
        <v>0</v>
      </c>
      <c r="N27" s="221" t="str">
        <f>IF(ISERROR(VLOOKUP(M27,POA!$A$2:$F$16,6,0)),"",VLOOKUP(M27,POA!$A$2:$F$16,6,0))</f>
        <v/>
      </c>
      <c r="O27" s="225" t="str">
        <f>IF(ISERROR(VLOOKUP(C27,'Puntaje CT'!$C$10:$I$1048576,4,0)),"",VLOOKUP(C27,'Puntaje CT'!$C$10:$I$1048576,4,0))</f>
        <v/>
      </c>
      <c r="P27" s="225" t="str">
        <f>IF(ISERROR(VLOOKUP(C27,'Puntaje CF'!$C$10:$I$1048576,6,0)),"",VLOOKUP(C27,'Puntaje CF'!$C$10:$I$1048576,6,0))</f>
        <v/>
      </c>
      <c r="Q27" s="227" t="str">
        <f>IF(IF(ISERROR(VLOOKUP(C27,'Saldo CtosEjecución'!$C$10:$I$1048576,3,0)),"",VLOOKUP(C27,'Saldo CtosEjecución'!$C$10:$I$1048576,3,0))=0,"",IF(ISERROR(VLOOKUP(C27,'Saldo CtosEjecución'!$C$10:$I$1048576,3,0)),"",VLOOKUP(C27,'Saldo CtosEjecución'!$C$10:$I$1048576,3,0)))</f>
        <v/>
      </c>
      <c r="R27" s="141" t="str">
        <f t="shared" si="4"/>
        <v/>
      </c>
      <c r="S27" s="238"/>
    </row>
    <row r="28" spans="3:19" hidden="1" x14ac:dyDescent="0.2">
      <c r="C28" s="103" t="str">
        <f>+'Capacidad Financiera'!B30</f>
        <v/>
      </c>
      <c r="D28" s="97">
        <f>IF(ISERROR(VLOOKUP(C28,'Capacidad Financiera'!$B$12:$AD$59206,2,0)),"",VLOOKUP(C28,'Capacidad Financiera'!$B$12:$AD$59206,2,0))</f>
        <v>0</v>
      </c>
      <c r="E28" s="96">
        <f>IF(ISERROR(VLOOKUP(C28,'Capacidad Financiera'!$B$12:$AD$59206,3,0)),"",VLOOKUP(C28,'Capacidad Financiera'!$B$12:$AD$59206,3,0))</f>
        <v>0</v>
      </c>
      <c r="F28" s="145">
        <f>'Capacidad Financiera'!N30</f>
        <v>0</v>
      </c>
      <c r="G28" s="186" t="str">
        <f>IF(ISERROR(VLOOKUP(F28,POA!$A$2:$D$16,2,0)),"",VLOOKUP(F28,POA!$A$2:$D$16,2,0))</f>
        <v/>
      </c>
      <c r="H28" s="186" t="str">
        <f>IF(ISERROR(VLOOKUP(F28,POA!$A$2:$D$16,3,0)),"",VLOOKUP(F28,POA!$A$2:$D$16,4,0))</f>
        <v/>
      </c>
      <c r="I28" s="145" t="str">
        <f>IF(ISERROR(VLOOKUP(F28,POA!$A$2:$D$2,3,0)),"",VLOOKUP(F28,POA!$A$2:$D$2,3,0))</f>
        <v/>
      </c>
      <c r="J28" s="144" t="str">
        <f t="shared" si="5"/>
        <v/>
      </c>
      <c r="K28" s="233" t="str">
        <f>IF(IF(ISERROR(VLOOKUP(C28,'Cap Organización'!$C$10:$I$1048576,3,0)),"",VLOOKUP(C28,'Cap Organización'!$C$10:$I$1048576,3,0))=0,"",IF(ISERROR(VLOOKUP(C28,'Cap Organización'!$C$10:$I$1048576,3,0)),"",VLOOKUP(C28,'Cap Organización'!$C$10:$I$1048576,3,0)))</f>
        <v/>
      </c>
      <c r="L28" s="225" t="str">
        <f>IF(ISERROR(VLOOKUP(C28,'Puntaje Exp'!$C$10:$J$1048576,8,0)),"",VLOOKUP(C28,'Puntaje Exp'!$C$10:$J$1048576,8,0))</f>
        <v/>
      </c>
      <c r="M28" s="221">
        <f>+'Capacidad Financiera'!P30</f>
        <v>0</v>
      </c>
      <c r="N28" s="221" t="str">
        <f>IF(ISERROR(VLOOKUP(M28,POA!$A$2:$F$16,6,0)),"",VLOOKUP(M28,POA!$A$2:$F$16,6,0))</f>
        <v/>
      </c>
      <c r="O28" s="225" t="str">
        <f>IF(ISERROR(VLOOKUP(C28,'Puntaje CT'!$C$10:$I$1048576,4,0)),"",VLOOKUP(C28,'Puntaje CT'!$C$10:$I$1048576,4,0))</f>
        <v/>
      </c>
      <c r="P28" s="225" t="str">
        <f>IF(ISERROR(VLOOKUP(C28,'Puntaje CF'!$C$10:$I$1048576,6,0)),"",VLOOKUP(C28,'Puntaje CF'!$C$10:$I$1048576,6,0))</f>
        <v/>
      </c>
      <c r="Q28" s="227" t="str">
        <f>IF(IF(ISERROR(VLOOKUP(C28,'Saldo CtosEjecución'!$C$10:$I$1048576,3,0)),"",VLOOKUP(C28,'Saldo CtosEjecución'!$C$10:$I$1048576,3,0))=0,"",IF(ISERROR(VLOOKUP(C28,'Saldo CtosEjecución'!$C$10:$I$1048576,3,0)),"",VLOOKUP(C28,'Saldo CtosEjecución'!$C$10:$I$1048576,3,0)))</f>
        <v/>
      </c>
      <c r="R28" s="141" t="str">
        <f t="shared" si="4"/>
        <v/>
      </c>
      <c r="S28" s="238"/>
    </row>
    <row r="29" spans="3:19" hidden="1" x14ac:dyDescent="0.2">
      <c r="C29" s="103" t="str">
        <f>+'Capacidad Financiera'!B31</f>
        <v/>
      </c>
      <c r="D29" s="97">
        <f>IF(ISERROR(VLOOKUP(C29,'Capacidad Financiera'!$B$12:$AD$59206,2,0)),"",VLOOKUP(C29,'Capacidad Financiera'!$B$12:$AD$59206,2,0))</f>
        <v>0</v>
      </c>
      <c r="E29" s="96">
        <f>IF(ISERROR(VLOOKUP(C29,'Capacidad Financiera'!$B$12:$AD$59206,3,0)),"",VLOOKUP(C29,'Capacidad Financiera'!$B$12:$AD$59206,3,0))</f>
        <v>0</v>
      </c>
      <c r="F29" s="145">
        <f>'Capacidad Financiera'!N31</f>
        <v>0</v>
      </c>
      <c r="G29" s="186" t="str">
        <f>IF(ISERROR(VLOOKUP(F29,POA!$A$2:$D$16,2,0)),"",VLOOKUP(F29,POA!$A$2:$D$16,2,0))</f>
        <v/>
      </c>
      <c r="H29" s="186" t="str">
        <f>IF(ISERROR(VLOOKUP(F29,POA!$A$2:$D$16,3,0)),"",VLOOKUP(F29,POA!$A$2:$D$16,4,0))</f>
        <v/>
      </c>
      <c r="I29" s="145" t="str">
        <f>IF(ISERROR(VLOOKUP(F29,POA!$A$2:$D$2,3,0)),"",VLOOKUP(F29,POA!$A$2:$D$2,3,0))</f>
        <v/>
      </c>
      <c r="J29" s="144" t="str">
        <f t="shared" si="5"/>
        <v/>
      </c>
      <c r="K29" s="233" t="str">
        <f>IF(IF(ISERROR(VLOOKUP(C29,'Cap Organización'!$C$10:$I$1048576,3,0)),"",VLOOKUP(C29,'Cap Organización'!$C$10:$I$1048576,3,0))=0,"",IF(ISERROR(VLOOKUP(C29,'Cap Organización'!$C$10:$I$1048576,3,0)),"",VLOOKUP(C29,'Cap Organización'!$C$10:$I$1048576,3,0)))</f>
        <v/>
      </c>
      <c r="L29" s="225" t="str">
        <f>IF(ISERROR(VLOOKUP(C29,'Puntaje Exp'!$C$10:$J$1048576,8,0)),"",VLOOKUP(C29,'Puntaje Exp'!$C$10:$J$1048576,8,0))</f>
        <v/>
      </c>
      <c r="M29" s="221">
        <f>+'Capacidad Financiera'!P31</f>
        <v>0</v>
      </c>
      <c r="N29" s="221" t="str">
        <f>IF(ISERROR(VLOOKUP(M29,POA!$A$2:$F$16,6,0)),"",VLOOKUP(M29,POA!$A$2:$F$16,6,0))</f>
        <v/>
      </c>
      <c r="O29" s="225" t="str">
        <f>IF(ISERROR(VLOOKUP(C29,'Puntaje CT'!$C$10:$I$1048576,4,0)),"",VLOOKUP(C29,'Puntaje CT'!$C$10:$I$1048576,4,0))</f>
        <v/>
      </c>
      <c r="P29" s="225" t="str">
        <f>IF(ISERROR(VLOOKUP(C29,'Puntaje CF'!$C$10:$I$1048576,6,0)),"",VLOOKUP(C29,'Puntaje CF'!$C$10:$I$1048576,6,0))</f>
        <v/>
      </c>
      <c r="Q29" s="227" t="str">
        <f>IF(IF(ISERROR(VLOOKUP(C29,'Saldo CtosEjecución'!$C$10:$I$1048576,3,0)),"",VLOOKUP(C29,'Saldo CtosEjecución'!$C$10:$I$1048576,3,0))=0,"",IF(ISERROR(VLOOKUP(C29,'Saldo CtosEjecución'!$C$10:$I$1048576,3,0)),"",VLOOKUP(C29,'Saldo CtosEjecución'!$C$10:$I$1048576,3,0)))</f>
        <v/>
      </c>
      <c r="R29" s="141" t="str">
        <f t="shared" si="4"/>
        <v/>
      </c>
      <c r="S29" s="238"/>
    </row>
    <row r="30" spans="3:19" hidden="1" x14ac:dyDescent="0.2">
      <c r="C30" s="103" t="str">
        <f>+'Capacidad Financiera'!B32</f>
        <v/>
      </c>
      <c r="D30" s="97">
        <f>IF(ISERROR(VLOOKUP(C30,'Capacidad Financiera'!$B$12:$AD$59206,2,0)),"",VLOOKUP(C30,'Capacidad Financiera'!$B$12:$AD$59206,2,0))</f>
        <v>0</v>
      </c>
      <c r="E30" s="96">
        <f>IF(ISERROR(VLOOKUP(C30,'Capacidad Financiera'!$B$12:$AD$59206,3,0)),"",VLOOKUP(C30,'Capacidad Financiera'!$B$12:$AD$59206,3,0))</f>
        <v>0</v>
      </c>
      <c r="F30" s="145">
        <f>'Capacidad Financiera'!N32</f>
        <v>0</v>
      </c>
      <c r="G30" s="186" t="str">
        <f>IF(ISERROR(VLOOKUP(F30,POA!$A$2:$D$16,2,0)),"",VLOOKUP(F30,POA!$A$2:$D$16,2,0))</f>
        <v/>
      </c>
      <c r="H30" s="186" t="str">
        <f>IF(ISERROR(VLOOKUP(F30,POA!$A$2:$D$16,3,0)),"",VLOOKUP(F30,POA!$A$2:$D$16,4,0))</f>
        <v/>
      </c>
      <c r="I30" s="145" t="str">
        <f>IF(ISERROR(VLOOKUP(F30,POA!$A$2:$D$2,3,0)),"",VLOOKUP(F30,POA!$A$2:$D$2,3,0))</f>
        <v/>
      </c>
      <c r="J30" s="144" t="str">
        <f t="shared" si="5"/>
        <v/>
      </c>
      <c r="K30" s="233" t="str">
        <f>IF(IF(ISERROR(VLOOKUP(C30,'Cap Organización'!$C$10:$I$1048576,3,0)),"",VLOOKUP(C30,'Cap Organización'!$C$10:$I$1048576,3,0))=0,"",IF(ISERROR(VLOOKUP(C30,'Cap Organización'!$C$10:$I$1048576,3,0)),"",VLOOKUP(C30,'Cap Organización'!$C$10:$I$1048576,3,0)))</f>
        <v/>
      </c>
      <c r="L30" s="225" t="str">
        <f>IF(ISERROR(VLOOKUP(C30,'Puntaje Exp'!$C$10:$J$1048576,8,0)),"",VLOOKUP(C30,'Puntaje Exp'!$C$10:$J$1048576,8,0))</f>
        <v/>
      </c>
      <c r="M30" s="221">
        <f>+'Capacidad Financiera'!P32</f>
        <v>0</v>
      </c>
      <c r="N30" s="221" t="str">
        <f>IF(ISERROR(VLOOKUP(M30,POA!$A$2:$F$16,6,0)),"",VLOOKUP(M30,POA!$A$2:$F$16,6,0))</f>
        <v/>
      </c>
      <c r="O30" s="225" t="str">
        <f>IF(ISERROR(VLOOKUP(C30,'Puntaje CT'!$C$10:$I$1048576,4,0)),"",VLOOKUP(C30,'Puntaje CT'!$C$10:$I$1048576,4,0))</f>
        <v/>
      </c>
      <c r="P30" s="225" t="str">
        <f>IF(ISERROR(VLOOKUP(C30,'Puntaje CF'!$C$10:$I$1048576,6,0)),"",VLOOKUP(C30,'Puntaje CF'!$C$10:$I$1048576,6,0))</f>
        <v/>
      </c>
      <c r="Q30" s="227" t="str">
        <f>IF(IF(ISERROR(VLOOKUP(C30,'Saldo CtosEjecución'!$C$10:$I$1048576,3,0)),"",VLOOKUP(C30,'Saldo CtosEjecución'!$C$10:$I$1048576,3,0))=0,"",IF(ISERROR(VLOOKUP(C30,'Saldo CtosEjecución'!$C$10:$I$1048576,3,0)),"",VLOOKUP(C30,'Saldo CtosEjecución'!$C$10:$I$1048576,3,0)))</f>
        <v/>
      </c>
      <c r="R30" s="141" t="str">
        <f t="shared" si="4"/>
        <v/>
      </c>
      <c r="S30" s="238"/>
    </row>
    <row r="31" spans="3:19" ht="13.5" hidden="1" thickBot="1" x14ac:dyDescent="0.25">
      <c r="C31" s="104" t="str">
        <f>+'Capacidad Financiera'!B33</f>
        <v/>
      </c>
      <c r="D31" s="105">
        <f>IF(ISERROR(VLOOKUP(C31,'Capacidad Financiera'!$B$12:$AD$59206,2,0)),"",VLOOKUP(C31,'Capacidad Financiera'!$B$12:$AD$59206,2,0))</f>
        <v>0</v>
      </c>
      <c r="E31" s="106">
        <f>IF(ISERROR(VLOOKUP(C31,'Capacidad Financiera'!$B$12:$AD$59206,3,0)),"",VLOOKUP(C31,'Capacidad Financiera'!$B$12:$AD$59206,3,0))</f>
        <v>0</v>
      </c>
      <c r="F31" s="181">
        <f>'Capacidad Financiera'!N33</f>
        <v>0</v>
      </c>
      <c r="G31" s="187" t="str">
        <f>IF(ISERROR(VLOOKUP(F31,POA!$A$2:$D$16,2,0)),"",VLOOKUP(F31,POA!$A$2:$D$16,2,0))</f>
        <v/>
      </c>
      <c r="H31" s="187" t="str">
        <f>IF(ISERROR(VLOOKUP(F31,POA!$A$2:$D$16,3,0)),"",VLOOKUP(F31,POA!$A$2:$D$16,4,0))</f>
        <v/>
      </c>
      <c r="I31" s="181" t="str">
        <f>IF(ISERROR(VLOOKUP(F31,POA!$A$2:$D$2,3,0)),"",VLOOKUP(F31,POA!$A$2:$D$2,3,0))</f>
        <v/>
      </c>
      <c r="J31" s="180" t="str">
        <f t="shared" si="5"/>
        <v/>
      </c>
      <c r="K31" s="228" t="str">
        <f>IF(IF(ISERROR(VLOOKUP(C31,'Cap Organización'!$C$10:$I$1048576,3,0)),"",VLOOKUP(C31,'Cap Organización'!$C$10:$I$1048576,3,0))=0,"",IF(ISERROR(VLOOKUP(C31,'Cap Organización'!$C$10:$I$1048576,3,0)),"",VLOOKUP(C31,'Cap Organización'!$C$10:$I$1048576,3,0)))</f>
        <v/>
      </c>
      <c r="L31" s="218" t="str">
        <f>IF(ISERROR(VLOOKUP(C31,'Puntaje Exp'!$C$10:$J$1048576,8,0)),"",VLOOKUP(C31,'Puntaje Exp'!$C$10:$J$1048576,8,0))</f>
        <v/>
      </c>
      <c r="M31" s="222">
        <f>+'Capacidad Financiera'!P33</f>
        <v>0</v>
      </c>
      <c r="N31" s="222" t="str">
        <f>IF(ISERROR(VLOOKUP(M31,POA!$A$2:$F$16,6,0)),"",VLOOKUP(M31,POA!$A$2:$F$16,6,0))</f>
        <v/>
      </c>
      <c r="O31" s="218" t="str">
        <f>IF(ISERROR(VLOOKUP(C31,'Puntaje CT'!$C$10:$I$1048576,4,0)),"",VLOOKUP(C31,'Puntaje CT'!$C$10:$I$1048576,4,0))</f>
        <v/>
      </c>
      <c r="P31" s="218" t="str">
        <f>IF(ISERROR(VLOOKUP(C31,'Puntaje CF'!$C$10:$I$1048576,6,0)),"",VLOOKUP(C31,'Puntaje CF'!$C$10:$I$1048576,6,0))</f>
        <v/>
      </c>
      <c r="Q31" s="228" t="str">
        <f>IF(IF(ISERROR(VLOOKUP(C31,'Saldo CtosEjecución'!$C$10:$I$1048576,3,0)),"",VLOOKUP(C31,'Saldo CtosEjecución'!$C$10:$I$1048576,3,0))=0,"",IF(ISERROR(VLOOKUP(C31,'Saldo CtosEjecución'!$C$10:$I$1048576,3,0)),"",VLOOKUP(C31,'Saldo CtosEjecución'!$C$10:$I$1048576,3,0)))</f>
        <v/>
      </c>
      <c r="R31" s="226" t="str">
        <f t="shared" si="4"/>
        <v/>
      </c>
      <c r="S31" s="239"/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>
      <selection activeCell="D26" sqref="D26"/>
      <pageMargins left="0.75" right="0.75" top="1" bottom="1" header="0" footer="0"/>
      <headerFooter alignWithMargins="0"/>
    </customSheetView>
  </customSheetViews>
  <mergeCells count="21">
    <mergeCell ref="C7:C9"/>
    <mergeCell ref="D7:D9"/>
    <mergeCell ref="E8:E9"/>
    <mergeCell ref="F7:F9"/>
    <mergeCell ref="I7:I9"/>
    <mergeCell ref="C2:S2"/>
    <mergeCell ref="C3:S3"/>
    <mergeCell ref="C4:S4"/>
    <mergeCell ref="C5:S5"/>
    <mergeCell ref="S8:S9"/>
    <mergeCell ref="G8:G9"/>
    <mergeCell ref="M7:M9"/>
    <mergeCell ref="N7:N9"/>
    <mergeCell ref="J8:J9"/>
    <mergeCell ref="K8:K9"/>
    <mergeCell ref="H8:H9"/>
    <mergeCell ref="R8:R9"/>
    <mergeCell ref="L8:L9"/>
    <mergeCell ref="P8:P9"/>
    <mergeCell ref="Q8:Q9"/>
    <mergeCell ref="O8:O9"/>
  </mergeCells>
  <phoneticPr fontId="25" type="noConversion"/>
  <conditionalFormatting sqref="S6 E6:J6">
    <cfRule type="expression" dxfId="39" priority="3818" stopIfTrue="1">
      <formula>IF($B6-INT($B6)&gt;0,TRUE,FALSE)</formula>
    </cfRule>
  </conditionalFormatting>
  <conditionalFormatting sqref="D10:D20 D6 L6:R6">
    <cfRule type="cellIs" dxfId="38" priority="3819" stopIfTrue="1" operator="equal">
      <formula>"NO ADMISIBLE"</formula>
    </cfRule>
  </conditionalFormatting>
  <conditionalFormatting sqref="M12:N20 E12:E20">
    <cfRule type="expression" dxfId="37" priority="3817" stopIfTrue="1">
      <formula>IF($B5-INT($B5)&gt;0,TRUE,FALSE)</formula>
    </cfRule>
  </conditionalFormatting>
  <conditionalFormatting sqref="S11:S20">
    <cfRule type="cellIs" dxfId="36" priority="3814" stopIfTrue="1" operator="equal">
      <formula>"NO ADMISIBLE"</formula>
    </cfRule>
    <cfRule type="cellIs" dxfId="35" priority="3815" stopIfTrue="1" operator="equal">
      <formula>"ADMISIBLE"</formula>
    </cfRule>
  </conditionalFormatting>
  <conditionalFormatting sqref="S11:S20">
    <cfRule type="cellIs" dxfId="34" priority="3813" stopIfTrue="1" operator="equal">
      <formula>"PENDIENTE"</formula>
    </cfRule>
  </conditionalFormatting>
  <conditionalFormatting sqref="E11 L11:P11 R11">
    <cfRule type="expression" dxfId="33" priority="3808" stopIfTrue="1">
      <formula>IF($B2-INT($B2)&gt;0,TRUE,FALSE)</formula>
    </cfRule>
  </conditionalFormatting>
  <conditionalFormatting sqref="E10:R10 J11:J20 F11:F20">
    <cfRule type="expression" dxfId="32" priority="3823" stopIfTrue="1">
      <formula>IF(#REF!-INT(#REF!)&gt;0,TRUE,FALSE)</formula>
    </cfRule>
  </conditionalFormatting>
  <conditionalFormatting sqref="G11:G20">
    <cfRule type="expression" dxfId="31" priority="1316" stopIfTrue="1">
      <formula>IF(#REF!-INT(#REF!)&gt;0,TRUE,FALSE)</formula>
    </cfRule>
  </conditionalFormatting>
  <conditionalFormatting sqref="H11:H20">
    <cfRule type="expression" dxfId="30" priority="1315" stopIfTrue="1">
      <formula>IF(#REF!-INT(#REF!)&gt;0,TRUE,FALSE)</formula>
    </cfRule>
  </conditionalFormatting>
  <conditionalFormatting sqref="I11:I20">
    <cfRule type="expression" dxfId="29" priority="1314" stopIfTrue="1">
      <formula>IF(#REF!-INT(#REF!)&gt;0,TRUE,FALSE)</formula>
    </cfRule>
  </conditionalFormatting>
  <conditionalFormatting sqref="K12:K20">
    <cfRule type="expression" dxfId="28" priority="1313" stopIfTrue="1">
      <formula>IF($B3-INT($B3)&gt;0,TRUE,FALSE)</formula>
    </cfRule>
  </conditionalFormatting>
  <conditionalFormatting sqref="L12:L20">
    <cfRule type="expression" dxfId="27" priority="1312" stopIfTrue="1">
      <formula>IF($B3-INT($B3)&gt;0,TRUE,FALSE)</formula>
    </cfRule>
  </conditionalFormatting>
  <conditionalFormatting sqref="O12:O20">
    <cfRule type="expression" dxfId="26" priority="1311" stopIfTrue="1">
      <formula>IF($B3-INT($B3)&gt;0,TRUE,FALSE)</formula>
    </cfRule>
  </conditionalFormatting>
  <conditionalFormatting sqref="P12:P20">
    <cfRule type="expression" dxfId="25" priority="1310" stopIfTrue="1">
      <formula>IF($B3-INT($B3)&gt;0,TRUE,FALSE)</formula>
    </cfRule>
  </conditionalFormatting>
  <conditionalFormatting sqref="R12:R20">
    <cfRule type="expression" dxfId="24" priority="1309" stopIfTrue="1">
      <formula>IF($B3-INT($B3)&gt;0,TRUE,FALSE)</formula>
    </cfRule>
  </conditionalFormatting>
  <conditionalFormatting sqref="Q11:Q20">
    <cfRule type="expression" dxfId="23" priority="1308" stopIfTrue="1">
      <formula>IF($B2-INT($B2)&gt;0,TRUE,FALSE)</formula>
    </cfRule>
  </conditionalFormatting>
  <conditionalFormatting sqref="D21:D31">
    <cfRule type="cellIs" dxfId="22" priority="23" stopIfTrue="1" operator="equal">
      <formula>"NO ADMISIBLE"</formula>
    </cfRule>
  </conditionalFormatting>
  <conditionalFormatting sqref="M23:N31 E23:E31">
    <cfRule type="expression" dxfId="21" priority="22" stopIfTrue="1">
      <formula>IF($B16-INT($B16)&gt;0,TRUE,FALSE)</formula>
    </cfRule>
  </conditionalFormatting>
  <conditionalFormatting sqref="S21:S31">
    <cfRule type="cellIs" dxfId="20" priority="20" stopIfTrue="1" operator="equal">
      <formula>"NO ADMISIBLE"</formula>
    </cfRule>
    <cfRule type="cellIs" dxfId="19" priority="21" stopIfTrue="1" operator="equal">
      <formula>"ADMISIBLE"</formula>
    </cfRule>
  </conditionalFormatting>
  <conditionalFormatting sqref="S21:S31">
    <cfRule type="cellIs" dxfId="18" priority="19" stopIfTrue="1" operator="equal">
      <formula>"PENDIENTE"</formula>
    </cfRule>
  </conditionalFormatting>
  <conditionalFormatting sqref="E22 L22:P22 R22">
    <cfRule type="expression" dxfId="17" priority="18" stopIfTrue="1">
      <formula>IF($B13-INT($B13)&gt;0,TRUE,FALSE)</formula>
    </cfRule>
  </conditionalFormatting>
  <conditionalFormatting sqref="E21:R21 J22:J31 F22:F31">
    <cfRule type="expression" dxfId="16" priority="24" stopIfTrue="1">
      <formula>IF(#REF!-INT(#REF!)&gt;0,TRUE,FALSE)</formula>
    </cfRule>
  </conditionalFormatting>
  <conditionalFormatting sqref="G22:G31">
    <cfRule type="expression" dxfId="15" priority="17" stopIfTrue="1">
      <formula>IF(#REF!-INT(#REF!)&gt;0,TRUE,FALSE)</formula>
    </cfRule>
  </conditionalFormatting>
  <conditionalFormatting sqref="H22:H31">
    <cfRule type="expression" dxfId="14" priority="16" stopIfTrue="1">
      <formula>IF(#REF!-INT(#REF!)&gt;0,TRUE,FALSE)</formula>
    </cfRule>
  </conditionalFormatting>
  <conditionalFormatting sqref="I22:I31">
    <cfRule type="expression" dxfId="13" priority="15" stopIfTrue="1">
      <formula>IF(#REF!-INT(#REF!)&gt;0,TRUE,FALSE)</formula>
    </cfRule>
  </conditionalFormatting>
  <conditionalFormatting sqref="K22:K31">
    <cfRule type="expression" dxfId="12" priority="14" stopIfTrue="1">
      <formula>IF($B13-INT($B13)&gt;0,TRUE,FALSE)</formula>
    </cfRule>
  </conditionalFormatting>
  <conditionalFormatting sqref="L23:L31">
    <cfRule type="expression" dxfId="11" priority="13" stopIfTrue="1">
      <formula>IF($B14-INT($B14)&gt;0,TRUE,FALSE)</formula>
    </cfRule>
  </conditionalFormatting>
  <conditionalFormatting sqref="O23:O31">
    <cfRule type="expression" dxfId="10" priority="12" stopIfTrue="1">
      <formula>IF($B14-INT($B14)&gt;0,TRUE,FALSE)</formula>
    </cfRule>
  </conditionalFormatting>
  <conditionalFormatting sqref="P23:P31">
    <cfRule type="expression" dxfId="9" priority="11" stopIfTrue="1">
      <formula>IF($B14-INT($B14)&gt;0,TRUE,FALSE)</formula>
    </cfRule>
  </conditionalFormatting>
  <conditionalFormatting sqref="R23:R31">
    <cfRule type="expression" dxfId="8" priority="10" stopIfTrue="1">
      <formula>IF($B14-INT($B14)&gt;0,TRUE,FALSE)</formula>
    </cfRule>
  </conditionalFormatting>
  <conditionalFormatting sqref="Q22:Q31">
    <cfRule type="expression" dxfId="7" priority="9" stopIfTrue="1">
      <formula>IF($B13-INT($B13)&gt;0,TRUE,FALSE)</formula>
    </cfRule>
  </conditionalFormatting>
  <conditionalFormatting sqref="K11">
    <cfRule type="expression" dxfId="6" priority="7" stopIfTrue="1">
      <formula>IF($B2-INT($B2)&gt;0,TRUE,FALSE)</formula>
    </cfRule>
  </conditionalFormatting>
  <conditionalFormatting sqref="S10">
    <cfRule type="cellIs" dxfId="2" priority="2" stopIfTrue="1" operator="equal">
      <formula>"NO ADMISIBLE"</formula>
    </cfRule>
    <cfRule type="cellIs" dxfId="1" priority="3" stopIfTrue="1" operator="equal">
      <formula>"ADMISIBLE"</formula>
    </cfRule>
  </conditionalFormatting>
  <conditionalFormatting sqref="S10">
    <cfRule type="cellIs" dxfId="0" priority="1" stopIfTrue="1" operator="equal">
      <formula>"PENDIENTE"</formula>
    </cfRule>
  </conditionalFormatting>
  <dataValidations count="1">
    <dataValidation type="list" allowBlank="1" showInputMessage="1" showErrorMessage="1" sqref="D10:D31 D6" xr:uid="{00000000-0002-0000-0B00-000000000000}">
      <formula1>prueba</formula1>
    </dataValidation>
  </dataValidations>
  <pageMargins left="0.35433070866141736" right="0.35433070866141736" top="0.98425196850393704" bottom="0.98425196850393704" header="0" footer="0"/>
  <pageSetup paperSize="14" scale="55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202" r:id="rId4" name="Button 10">
              <controlPr defaultSize="0" print="0" autoFill="0" autoPict="0" macro="[0]!_xludf.copy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4"/>
  <dimension ref="A1:B103"/>
  <sheetViews>
    <sheetView zoomScale="75" workbookViewId="0">
      <selection activeCell="A19" sqref="A19"/>
    </sheetView>
  </sheetViews>
  <sheetFormatPr baseColWidth="10" defaultRowHeight="12.75" outlineLevelRow="2" x14ac:dyDescent="0.2"/>
  <cols>
    <col min="1" max="1" width="19" customWidth="1"/>
    <col min="2" max="2" width="21.85546875" customWidth="1"/>
  </cols>
  <sheetData>
    <row r="1" spans="1:2" s="13" customFormat="1" ht="15.75" x14ac:dyDescent="0.25">
      <c r="A1" s="13" t="s">
        <v>14</v>
      </c>
    </row>
    <row r="3" spans="1:2" ht="45" x14ac:dyDescent="0.2">
      <c r="A3" s="14" t="s">
        <v>15</v>
      </c>
      <c r="B3" s="15" t="s">
        <v>16</v>
      </c>
    </row>
    <row r="4" spans="1:2" s="17" customFormat="1" outlineLevel="2" x14ac:dyDescent="0.2">
      <c r="A4" s="16"/>
    </row>
    <row r="5" spans="1:2" s="21" customFormat="1" ht="13.5" outlineLevel="1" x14ac:dyDescent="0.2">
      <c r="A5" s="18" t="s">
        <v>121</v>
      </c>
      <c r="B5" s="20">
        <v>16097532669.306931</v>
      </c>
    </row>
    <row r="6" spans="1:2" s="21" customFormat="1" ht="13.5" outlineLevel="1" x14ac:dyDescent="0.2">
      <c r="A6" s="19" t="s">
        <v>122</v>
      </c>
      <c r="B6" s="20">
        <v>18724260670</v>
      </c>
    </row>
    <row r="7" spans="1:2" s="21" customFormat="1" ht="13.5" outlineLevel="1" x14ac:dyDescent="0.2">
      <c r="A7" s="19" t="s">
        <v>123</v>
      </c>
      <c r="B7" s="20">
        <v>15886461489</v>
      </c>
    </row>
    <row r="8" spans="1:2" s="21" customFormat="1" ht="13.5" outlineLevel="1" x14ac:dyDescent="0.2">
      <c r="A8" s="19" t="s">
        <v>124</v>
      </c>
      <c r="B8" s="20">
        <v>18533406621</v>
      </c>
    </row>
    <row r="9" spans="1:2" s="23" customFormat="1" ht="13.5" outlineLevel="1" x14ac:dyDescent="0.2">
      <c r="A9" s="19" t="s">
        <v>125</v>
      </c>
      <c r="B9" s="20">
        <v>14971945628</v>
      </c>
    </row>
    <row r="10" spans="1:2" s="23" customFormat="1" ht="13.5" outlineLevel="1" x14ac:dyDescent="0.2">
      <c r="A10" s="19" t="s">
        <v>126</v>
      </c>
      <c r="B10" s="20">
        <v>16484340849</v>
      </c>
    </row>
    <row r="11" spans="1:2" s="21" customFormat="1" ht="13.5" outlineLevel="1" x14ac:dyDescent="0.2">
      <c r="A11" s="19" t="s">
        <v>127</v>
      </c>
      <c r="B11" s="20">
        <v>16686919713.999998</v>
      </c>
    </row>
    <row r="12" spans="1:2" s="21" customFormat="1" ht="13.5" outlineLevel="1" x14ac:dyDescent="0.2">
      <c r="A12" s="19" t="s">
        <v>128</v>
      </c>
      <c r="B12" s="20">
        <v>11566305868</v>
      </c>
    </row>
    <row r="13" spans="1:2" s="21" customFormat="1" ht="13.5" outlineLevel="1" x14ac:dyDescent="0.2">
      <c r="A13" s="19" t="s">
        <v>129</v>
      </c>
      <c r="B13" s="20">
        <v>6300474910</v>
      </c>
    </row>
    <row r="14" spans="1:2" s="21" customFormat="1" ht="13.5" outlineLevel="1" x14ac:dyDescent="0.2">
      <c r="A14" s="19" t="s">
        <v>17</v>
      </c>
      <c r="B14" s="20">
        <v>1428162158.4158416</v>
      </c>
    </row>
    <row r="15" spans="1:2" s="21" customFormat="1" ht="13.5" outlineLevel="1" x14ac:dyDescent="0.2">
      <c r="A15" s="19" t="s">
        <v>18</v>
      </c>
      <c r="B15" s="20">
        <v>1292851961.3861387</v>
      </c>
    </row>
    <row r="16" spans="1:2" s="23" customFormat="1" ht="13.5" outlineLevel="1" x14ac:dyDescent="0.2">
      <c r="A16" s="19" t="s">
        <v>19</v>
      </c>
      <c r="B16" s="40">
        <v>14200237260</v>
      </c>
    </row>
    <row r="17" spans="1:2" s="23" customFormat="1" ht="13.5" outlineLevel="1" x14ac:dyDescent="0.2">
      <c r="A17" s="19" t="s">
        <v>20</v>
      </c>
      <c r="B17" s="20">
        <v>14388115033</v>
      </c>
    </row>
    <row r="18" spans="1:2" s="21" customFormat="1" ht="13.5" outlineLevel="1" x14ac:dyDescent="0.2">
      <c r="A18" s="19" t="s">
        <v>21</v>
      </c>
      <c r="B18" s="20">
        <v>7076050599</v>
      </c>
    </row>
    <row r="19" spans="1:2" s="21" customFormat="1" ht="13.5" outlineLevel="1" x14ac:dyDescent="0.2">
      <c r="A19" s="19" t="s">
        <v>22</v>
      </c>
      <c r="B19" s="20">
        <v>20893814942</v>
      </c>
    </row>
    <row r="20" spans="1:2" s="23" customFormat="1" ht="13.5" outlineLevel="1" x14ac:dyDescent="0.2">
      <c r="A20" s="19" t="s">
        <v>23</v>
      </c>
      <c r="B20" s="40">
        <v>8810989120</v>
      </c>
    </row>
    <row r="21" spans="1:2" s="21" customFormat="1" ht="13.5" outlineLevel="1" x14ac:dyDescent="0.2">
      <c r="A21" s="19" t="s">
        <v>24</v>
      </c>
      <c r="B21" s="20">
        <v>5818381842</v>
      </c>
    </row>
    <row r="22" spans="1:2" s="21" customFormat="1" ht="13.5" outlineLevel="1" x14ac:dyDescent="0.2">
      <c r="A22" s="19" t="s">
        <v>25</v>
      </c>
      <c r="B22" s="20">
        <v>9650261634</v>
      </c>
    </row>
    <row r="23" spans="1:2" s="21" customFormat="1" ht="13.5" outlineLevel="1" x14ac:dyDescent="0.2">
      <c r="A23" s="19" t="s">
        <v>26</v>
      </c>
      <c r="B23" s="20">
        <v>5385776414</v>
      </c>
    </row>
    <row r="24" spans="1:2" s="23" customFormat="1" ht="13.5" outlineLevel="1" x14ac:dyDescent="0.2">
      <c r="A24" s="19" t="s">
        <v>27</v>
      </c>
      <c r="B24" s="20">
        <v>5759505844</v>
      </c>
    </row>
    <row r="25" spans="1:2" s="23" customFormat="1" ht="13.5" outlineLevel="1" x14ac:dyDescent="0.2">
      <c r="A25" s="19" t="s">
        <v>28</v>
      </c>
      <c r="B25" s="20">
        <v>11365045650</v>
      </c>
    </row>
    <row r="26" spans="1:2" s="23" customFormat="1" ht="13.5" outlineLevel="1" x14ac:dyDescent="0.2">
      <c r="A26" s="19" t="s">
        <v>29</v>
      </c>
      <c r="B26" s="20">
        <v>15652530637</v>
      </c>
    </row>
    <row r="27" spans="1:2" s="23" customFormat="1" ht="13.5" outlineLevel="1" x14ac:dyDescent="0.2">
      <c r="A27" s="19" t="s">
        <v>30</v>
      </c>
      <c r="B27" s="20">
        <v>5772808797</v>
      </c>
    </row>
    <row r="28" spans="1:2" s="23" customFormat="1" ht="13.5" outlineLevel="1" x14ac:dyDescent="0.2">
      <c r="A28" s="19" t="s">
        <v>31</v>
      </c>
      <c r="B28" s="20">
        <v>7512106130</v>
      </c>
    </row>
    <row r="29" spans="1:2" s="23" customFormat="1" ht="13.5" outlineLevel="1" x14ac:dyDescent="0.2">
      <c r="A29" s="19" t="s">
        <v>32</v>
      </c>
      <c r="B29" s="20">
        <v>9347559589</v>
      </c>
    </row>
    <row r="30" spans="1:2" s="23" customFormat="1" ht="13.5" outlineLevel="1" x14ac:dyDescent="0.2">
      <c r="A30" s="19" t="s">
        <v>33</v>
      </c>
      <c r="B30" s="20">
        <v>19825977010</v>
      </c>
    </row>
    <row r="31" spans="1:2" s="23" customFormat="1" ht="13.5" outlineLevel="1" x14ac:dyDescent="0.2">
      <c r="A31" s="19" t="s">
        <v>34</v>
      </c>
      <c r="B31" s="20">
        <v>9200191515</v>
      </c>
    </row>
    <row r="32" spans="1:2" s="23" customFormat="1" ht="13.5" outlineLevel="1" x14ac:dyDescent="0.2">
      <c r="A32" s="19" t="s">
        <v>35</v>
      </c>
      <c r="B32" s="20">
        <v>18743806542</v>
      </c>
    </row>
    <row r="33" spans="1:2" s="23" customFormat="1" ht="13.5" outlineLevel="1" x14ac:dyDescent="0.2">
      <c r="A33" s="19" t="s">
        <v>36</v>
      </c>
      <c r="B33" s="20">
        <v>12488203547</v>
      </c>
    </row>
    <row r="34" spans="1:2" s="23" customFormat="1" ht="13.5" outlineLevel="1" x14ac:dyDescent="0.2">
      <c r="A34" s="19" t="s">
        <v>37</v>
      </c>
      <c r="B34" s="20">
        <v>12337277639</v>
      </c>
    </row>
    <row r="35" spans="1:2" s="23" customFormat="1" ht="13.5" outlineLevel="1" x14ac:dyDescent="0.2">
      <c r="A35" s="19" t="s">
        <v>38</v>
      </c>
      <c r="B35" s="20">
        <v>16198497482.999998</v>
      </c>
    </row>
    <row r="36" spans="1:2" s="23" customFormat="1" ht="13.5" outlineLevel="1" x14ac:dyDescent="0.2">
      <c r="A36" s="19" t="s">
        <v>39</v>
      </c>
      <c r="B36" s="20">
        <v>17764576319</v>
      </c>
    </row>
    <row r="37" spans="1:2" s="23" customFormat="1" ht="13.5" outlineLevel="1" x14ac:dyDescent="0.2">
      <c r="A37" s="19" t="s">
        <v>40</v>
      </c>
      <c r="B37" s="20">
        <v>22882731815</v>
      </c>
    </row>
    <row r="38" spans="1:2" s="23" customFormat="1" ht="13.5" outlineLevel="1" x14ac:dyDescent="0.2">
      <c r="A38" s="19" t="s">
        <v>41</v>
      </c>
      <c r="B38" s="20">
        <v>7383905477</v>
      </c>
    </row>
    <row r="39" spans="1:2" s="23" customFormat="1" ht="13.5" outlineLevel="1" x14ac:dyDescent="0.2">
      <c r="A39" s="19" t="s">
        <v>42</v>
      </c>
      <c r="B39" s="20">
        <v>12423743774</v>
      </c>
    </row>
    <row r="40" spans="1:2" s="23" customFormat="1" ht="13.5" outlineLevel="1" x14ac:dyDescent="0.2">
      <c r="A40" s="19" t="s">
        <v>43</v>
      </c>
      <c r="B40" s="20">
        <v>14187262851</v>
      </c>
    </row>
    <row r="41" spans="1:2" s="23" customFormat="1" ht="13.5" outlineLevel="1" x14ac:dyDescent="0.2">
      <c r="A41" s="19" t="s">
        <v>44</v>
      </c>
      <c r="B41" s="20">
        <v>9099377756</v>
      </c>
    </row>
    <row r="42" spans="1:2" s="23" customFormat="1" ht="13.5" outlineLevel="1" x14ac:dyDescent="0.2">
      <c r="A42" s="19" t="s">
        <v>45</v>
      </c>
      <c r="B42" s="20">
        <v>7416098511</v>
      </c>
    </row>
    <row r="43" spans="1:2" s="23" customFormat="1" ht="13.5" outlineLevel="1" x14ac:dyDescent="0.2">
      <c r="A43" s="19" t="s">
        <v>46</v>
      </c>
      <c r="B43" s="20">
        <v>16654736652</v>
      </c>
    </row>
    <row r="44" spans="1:2" s="23" customFormat="1" ht="13.5" outlineLevel="1" x14ac:dyDescent="0.2">
      <c r="A44" s="19" t="s">
        <v>47</v>
      </c>
      <c r="B44" s="20">
        <v>12006016561</v>
      </c>
    </row>
    <row r="45" spans="1:2" s="23" customFormat="1" ht="13.5" outlineLevel="1" x14ac:dyDescent="0.2">
      <c r="A45" s="19" t="s">
        <v>48</v>
      </c>
      <c r="B45" s="20">
        <v>14602426835</v>
      </c>
    </row>
    <row r="46" spans="1:2" s="23" customFormat="1" ht="13.5" outlineLevel="1" x14ac:dyDescent="0.2">
      <c r="A46" s="19" t="s">
        <v>49</v>
      </c>
      <c r="B46" s="20">
        <v>16600395825</v>
      </c>
    </row>
    <row r="47" spans="1:2" s="23" customFormat="1" ht="13.5" outlineLevel="1" x14ac:dyDescent="0.2">
      <c r="A47" s="19" t="s">
        <v>50</v>
      </c>
      <c r="B47" s="20">
        <v>9490692823</v>
      </c>
    </row>
    <row r="48" spans="1:2" s="23" customFormat="1" ht="13.5" outlineLevel="1" x14ac:dyDescent="0.2">
      <c r="A48" s="19" t="s">
        <v>51</v>
      </c>
      <c r="B48" s="20">
        <v>14966356774</v>
      </c>
    </row>
    <row r="49" spans="1:2" s="23" customFormat="1" ht="13.5" outlineLevel="1" x14ac:dyDescent="0.2">
      <c r="A49" s="19" t="s">
        <v>52</v>
      </c>
      <c r="B49" s="20">
        <v>16628059484</v>
      </c>
    </row>
    <row r="50" spans="1:2" s="23" customFormat="1" ht="13.5" outlineLevel="1" x14ac:dyDescent="0.2">
      <c r="A50" s="19" t="s">
        <v>53</v>
      </c>
      <c r="B50" s="20">
        <v>11545020876</v>
      </c>
    </row>
    <row r="51" spans="1:2" s="23" customFormat="1" ht="13.5" outlineLevel="1" x14ac:dyDescent="0.2">
      <c r="A51" s="19" t="s">
        <v>54</v>
      </c>
      <c r="B51" s="20">
        <v>11069859631</v>
      </c>
    </row>
    <row r="52" spans="1:2" s="23" customFormat="1" ht="13.5" outlineLevel="1" x14ac:dyDescent="0.2">
      <c r="A52" s="19" t="s">
        <v>55</v>
      </c>
      <c r="B52" s="20">
        <v>16462254401</v>
      </c>
    </row>
    <row r="53" spans="1:2" s="23" customFormat="1" ht="13.5" outlineLevel="1" x14ac:dyDescent="0.2">
      <c r="A53" s="19" t="s">
        <v>56</v>
      </c>
      <c r="B53" s="20">
        <v>29122451003</v>
      </c>
    </row>
    <row r="54" spans="1:2" s="23" customFormat="1" ht="13.5" outlineLevel="1" x14ac:dyDescent="0.2">
      <c r="A54" s="19" t="s">
        <v>57</v>
      </c>
      <c r="B54" s="20">
        <v>19110837484</v>
      </c>
    </row>
    <row r="55" spans="1:2" s="23" customFormat="1" ht="13.5" outlineLevel="1" x14ac:dyDescent="0.2">
      <c r="A55" s="19" t="s">
        <v>58</v>
      </c>
      <c r="B55" s="20">
        <v>14355039068</v>
      </c>
    </row>
    <row r="56" spans="1:2" s="23" customFormat="1" ht="13.5" outlineLevel="1" x14ac:dyDescent="0.2">
      <c r="A56" s="19" t="s">
        <v>59</v>
      </c>
      <c r="B56" s="20">
        <v>10742553232</v>
      </c>
    </row>
    <row r="57" spans="1:2" s="23" customFormat="1" ht="13.5" outlineLevel="1" x14ac:dyDescent="0.2">
      <c r="A57" s="19" t="s">
        <v>60</v>
      </c>
      <c r="B57" s="20">
        <v>12944688820</v>
      </c>
    </row>
    <row r="58" spans="1:2" s="23" customFormat="1" ht="13.5" outlineLevel="1" x14ac:dyDescent="0.2">
      <c r="A58" s="19" t="s">
        <v>61</v>
      </c>
      <c r="B58" s="20">
        <v>11689433662</v>
      </c>
    </row>
    <row r="59" spans="1:2" s="23" customFormat="1" ht="13.5" outlineLevel="1" x14ac:dyDescent="0.2">
      <c r="A59" s="19" t="s">
        <v>62</v>
      </c>
      <c r="B59" s="20">
        <v>11397659254</v>
      </c>
    </row>
    <row r="60" spans="1:2" s="23" customFormat="1" ht="13.5" outlineLevel="1" x14ac:dyDescent="0.2">
      <c r="A60" s="19" t="s">
        <v>63</v>
      </c>
      <c r="B60" s="20">
        <v>16236395384</v>
      </c>
    </row>
    <row r="61" spans="1:2" s="23" customFormat="1" ht="13.5" outlineLevel="1" x14ac:dyDescent="0.2">
      <c r="A61" s="19" t="s">
        <v>64</v>
      </c>
      <c r="B61" s="20">
        <v>6151462908.9075203</v>
      </c>
    </row>
    <row r="62" spans="1:2" s="23" customFormat="1" ht="13.5" outlineLevel="1" x14ac:dyDescent="0.2">
      <c r="A62" s="19" t="s">
        <v>65</v>
      </c>
      <c r="B62" s="20">
        <v>24188206629</v>
      </c>
    </row>
    <row r="63" spans="1:2" s="23" customFormat="1" ht="13.5" outlineLevel="1" x14ac:dyDescent="0.2">
      <c r="A63" s="19" t="s">
        <v>66</v>
      </c>
      <c r="B63" s="20">
        <v>22229863427</v>
      </c>
    </row>
    <row r="64" spans="1:2" s="23" customFormat="1" ht="13.5" outlineLevel="1" x14ac:dyDescent="0.2">
      <c r="A64" s="19" t="s">
        <v>67</v>
      </c>
      <c r="B64" s="20">
        <v>23200278421</v>
      </c>
    </row>
    <row r="65" spans="1:2" s="23" customFormat="1" ht="13.5" outlineLevel="1" x14ac:dyDescent="0.2">
      <c r="A65" s="19" t="s">
        <v>68</v>
      </c>
      <c r="B65" s="20">
        <v>33729146012</v>
      </c>
    </row>
    <row r="66" spans="1:2" s="23" customFormat="1" ht="13.5" outlineLevel="1" x14ac:dyDescent="0.2">
      <c r="A66" s="19" t="s">
        <v>69</v>
      </c>
      <c r="B66" s="20">
        <v>25741331764</v>
      </c>
    </row>
    <row r="67" spans="1:2" s="23" customFormat="1" ht="13.5" outlineLevel="1" x14ac:dyDescent="0.2">
      <c r="A67" s="19" t="s">
        <v>70</v>
      </c>
      <c r="B67" s="20">
        <v>10895316694.06304</v>
      </c>
    </row>
    <row r="68" spans="1:2" s="23" customFormat="1" ht="13.5" outlineLevel="1" x14ac:dyDescent="0.2">
      <c r="A68" s="19" t="s">
        <v>71</v>
      </c>
      <c r="B68" s="20">
        <v>15574902572</v>
      </c>
    </row>
    <row r="69" spans="1:2" s="22" customFormat="1" ht="13.5" outlineLevel="1" x14ac:dyDescent="0.2">
      <c r="A69" s="19" t="s">
        <v>72</v>
      </c>
      <c r="B69" s="20">
        <v>11085498362</v>
      </c>
    </row>
    <row r="70" spans="1:2" s="23" customFormat="1" ht="13.5" outlineLevel="1" x14ac:dyDescent="0.2">
      <c r="A70" s="19" t="s">
        <v>73</v>
      </c>
      <c r="B70" s="20">
        <v>15569378930</v>
      </c>
    </row>
    <row r="71" spans="1:2" s="23" customFormat="1" ht="13.5" outlineLevel="1" x14ac:dyDescent="0.2">
      <c r="A71" s="19" t="s">
        <v>74</v>
      </c>
      <c r="B71" s="20">
        <v>19872456988.21376</v>
      </c>
    </row>
    <row r="72" spans="1:2" s="23" customFormat="1" ht="13.5" outlineLevel="1" x14ac:dyDescent="0.2">
      <c r="A72" s="19" t="s">
        <v>75</v>
      </c>
      <c r="B72" s="20">
        <v>9279916346</v>
      </c>
    </row>
    <row r="73" spans="1:2" s="23" customFormat="1" ht="13.5" outlineLevel="1" x14ac:dyDescent="0.2">
      <c r="A73" s="19" t="s">
        <v>76</v>
      </c>
      <c r="B73" s="20">
        <v>11879598172</v>
      </c>
    </row>
    <row r="74" spans="1:2" s="23" customFormat="1" ht="13.5" outlineLevel="1" x14ac:dyDescent="0.2">
      <c r="A74" s="19" t="s">
        <v>77</v>
      </c>
      <c r="B74" s="20">
        <v>14944234555</v>
      </c>
    </row>
    <row r="75" spans="1:2" s="23" customFormat="1" ht="13.5" outlineLevel="1" x14ac:dyDescent="0.2">
      <c r="A75" s="19" t="s">
        <v>78</v>
      </c>
      <c r="B75" s="20">
        <v>8486287813</v>
      </c>
    </row>
    <row r="76" spans="1:2" s="23" customFormat="1" ht="13.5" outlineLevel="1" x14ac:dyDescent="0.2">
      <c r="A76" s="19" t="s">
        <v>79</v>
      </c>
      <c r="B76" s="20">
        <v>7048832262</v>
      </c>
    </row>
    <row r="77" spans="1:2" s="23" customFormat="1" ht="13.5" outlineLevel="1" x14ac:dyDescent="0.2">
      <c r="A77" s="19" t="s">
        <v>80</v>
      </c>
      <c r="B77" s="20">
        <v>5348779190</v>
      </c>
    </row>
    <row r="78" spans="1:2" s="21" customFormat="1" ht="13.5" outlineLevel="1" x14ac:dyDescent="0.2">
      <c r="A78" s="19" t="s">
        <v>81</v>
      </c>
      <c r="B78" s="20">
        <v>5466387046</v>
      </c>
    </row>
    <row r="79" spans="1:2" s="21" customFormat="1" ht="13.5" outlineLevel="1" x14ac:dyDescent="0.2">
      <c r="A79" s="19" t="s">
        <v>82</v>
      </c>
      <c r="B79" s="20">
        <v>16518448889</v>
      </c>
    </row>
    <row r="80" spans="1:2" s="21" customFormat="1" ht="13.5" outlineLevel="1" x14ac:dyDescent="0.2">
      <c r="A80" s="19" t="s">
        <v>83</v>
      </c>
      <c r="B80" s="20">
        <v>8675202615</v>
      </c>
    </row>
    <row r="81" spans="1:2" s="21" customFormat="1" ht="13.5" outlineLevel="1" x14ac:dyDescent="0.2">
      <c r="A81" s="19" t="s">
        <v>84</v>
      </c>
      <c r="B81" s="20">
        <v>16760013498</v>
      </c>
    </row>
    <row r="82" spans="1:2" s="23" customFormat="1" ht="13.5" outlineLevel="1" x14ac:dyDescent="0.2">
      <c r="A82" s="19" t="s">
        <v>85</v>
      </c>
      <c r="B82" s="20">
        <v>12438755743</v>
      </c>
    </row>
    <row r="83" spans="1:2" s="21" customFormat="1" ht="13.5" outlineLevel="1" x14ac:dyDescent="0.2">
      <c r="A83" s="19" t="s">
        <v>86</v>
      </c>
      <c r="B83" s="20">
        <v>14593425402</v>
      </c>
    </row>
    <row r="84" spans="1:2" s="21" customFormat="1" ht="13.5" outlineLevel="1" x14ac:dyDescent="0.2">
      <c r="A84" s="19" t="s">
        <v>87</v>
      </c>
      <c r="B84" s="20">
        <v>6689468251</v>
      </c>
    </row>
    <row r="85" spans="1:2" s="21" customFormat="1" ht="13.5" outlineLevel="1" x14ac:dyDescent="0.2">
      <c r="A85" s="19" t="s">
        <v>88</v>
      </c>
      <c r="B85" s="20">
        <v>8186369892</v>
      </c>
    </row>
    <row r="86" spans="1:2" s="21" customFormat="1" ht="13.5" outlineLevel="1" x14ac:dyDescent="0.2">
      <c r="A86" s="19" t="s">
        <v>89</v>
      </c>
      <c r="B86" s="20">
        <v>28561249598</v>
      </c>
    </row>
    <row r="87" spans="1:2" s="21" customFormat="1" ht="13.5" outlineLevel="1" x14ac:dyDescent="0.2">
      <c r="A87" s="19" t="s">
        <v>90</v>
      </c>
      <c r="B87" s="20">
        <v>34980509996</v>
      </c>
    </row>
    <row r="88" spans="1:2" s="21" customFormat="1" ht="13.5" outlineLevel="1" x14ac:dyDescent="0.2">
      <c r="A88" s="19" t="s">
        <v>91</v>
      </c>
      <c r="B88" s="20">
        <v>6950846586</v>
      </c>
    </row>
    <row r="89" spans="1:2" s="21" customFormat="1" ht="13.5" outlineLevel="1" x14ac:dyDescent="0.2">
      <c r="A89" s="19" t="s">
        <v>92</v>
      </c>
      <c r="B89" s="20">
        <v>11116163961</v>
      </c>
    </row>
    <row r="90" spans="1:2" s="21" customFormat="1" ht="13.5" outlineLevel="1" x14ac:dyDescent="0.2">
      <c r="A90" s="19" t="s">
        <v>93</v>
      </c>
      <c r="B90" s="20">
        <v>21274070645</v>
      </c>
    </row>
    <row r="91" spans="1:2" s="21" customFormat="1" ht="13.5" outlineLevel="1" x14ac:dyDescent="0.2">
      <c r="A91" s="19" t="s">
        <v>94</v>
      </c>
      <c r="B91" s="20">
        <v>2826770201</v>
      </c>
    </row>
    <row r="92" spans="1:2" s="21" customFormat="1" ht="13.5" outlineLevel="1" x14ac:dyDescent="0.2">
      <c r="A92" s="19" t="s">
        <v>95</v>
      </c>
      <c r="B92" s="20">
        <v>4775546619</v>
      </c>
    </row>
    <row r="93" spans="1:2" s="21" customFormat="1" ht="13.5" outlineLevel="1" x14ac:dyDescent="0.2">
      <c r="A93" s="19" t="s">
        <v>96</v>
      </c>
      <c r="B93" s="20">
        <v>23755514236</v>
      </c>
    </row>
    <row r="94" spans="1:2" s="21" customFormat="1" ht="13.5" outlineLevel="1" x14ac:dyDescent="0.2">
      <c r="A94" s="19" t="s">
        <v>97</v>
      </c>
      <c r="B94" s="20">
        <v>22463613073</v>
      </c>
    </row>
    <row r="95" spans="1:2" s="21" customFormat="1" ht="13.5" outlineLevel="1" x14ac:dyDescent="0.2">
      <c r="A95" s="19" t="s">
        <v>98</v>
      </c>
      <c r="B95" s="20">
        <v>20949816946</v>
      </c>
    </row>
    <row r="96" spans="1:2" s="21" customFormat="1" ht="13.5" outlineLevel="1" x14ac:dyDescent="0.2">
      <c r="A96" s="19" t="s">
        <v>99</v>
      </c>
      <c r="B96" s="20">
        <v>14104036918</v>
      </c>
    </row>
    <row r="97" spans="1:2" s="21" customFormat="1" ht="13.5" outlineLevel="1" x14ac:dyDescent="0.2">
      <c r="A97" s="19" t="s">
        <v>100</v>
      </c>
      <c r="B97" s="20">
        <v>1396272140.5940592</v>
      </c>
    </row>
    <row r="98" spans="1:2" s="21" customFormat="1" ht="13.5" outlineLevel="1" x14ac:dyDescent="0.2">
      <c r="A98" s="19" t="s">
        <v>101</v>
      </c>
      <c r="B98" s="20">
        <v>1211346171.2871287</v>
      </c>
    </row>
    <row r="99" spans="1:2" s="21" customFormat="1" ht="13.5" outlineLevel="1" x14ac:dyDescent="0.2">
      <c r="A99" s="19" t="s">
        <v>102</v>
      </c>
      <c r="B99" s="20">
        <v>1239693623.7623763</v>
      </c>
    </row>
    <row r="100" spans="1:2" s="21" customFormat="1" ht="13.5" outlineLevel="1" x14ac:dyDescent="0.2">
      <c r="A100" s="19" t="s">
        <v>103</v>
      </c>
      <c r="B100" s="20">
        <v>1625508018.1759996</v>
      </c>
    </row>
    <row r="101" spans="1:2" s="17" customFormat="1" ht="13.5" outlineLevel="1" x14ac:dyDescent="0.2">
      <c r="A101" s="19"/>
      <c r="B101" s="24">
        <f>SUM(B4:B100)</f>
        <v>1276966895152.1125</v>
      </c>
    </row>
    <row r="103" spans="1:2" x14ac:dyDescent="0.2">
      <c r="B103" s="28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21</vt:i4>
      </vt:variant>
    </vt:vector>
  </HeadingPairs>
  <TitlesOfParts>
    <vt:vector size="34" baseType="lpstr">
      <vt:lpstr>Verificaciones</vt:lpstr>
      <vt:lpstr>BD</vt:lpstr>
      <vt:lpstr>TD</vt:lpstr>
      <vt:lpstr>POA</vt:lpstr>
      <vt:lpstr>Puntajes</vt:lpstr>
      <vt:lpstr>Capacidad Financiera</vt:lpstr>
      <vt:lpstr>Puntaje Exp</vt:lpstr>
      <vt:lpstr>Puntaje CT</vt:lpstr>
      <vt:lpstr>Puntaje CF</vt:lpstr>
      <vt:lpstr>Saldo CtosEjecución</vt:lpstr>
      <vt:lpstr>Cap Organización</vt:lpstr>
      <vt:lpstr>Capacidad Residual</vt:lpstr>
      <vt:lpstr>PO</vt:lpstr>
      <vt:lpstr>AnticipoM1</vt:lpstr>
      <vt:lpstr>AnticipoM2</vt:lpstr>
      <vt:lpstr>AnticipoM3</vt:lpstr>
      <vt:lpstr>AnticipoM4</vt:lpstr>
      <vt:lpstr>'Cap Organización'!Área_de_impresión</vt:lpstr>
      <vt:lpstr>'Capacidad Financiera'!Área_de_impresión</vt:lpstr>
      <vt:lpstr>CapFinanciera1</vt:lpstr>
      <vt:lpstr>CapFinanciera2</vt:lpstr>
      <vt:lpstr>CapFinanciera3</vt:lpstr>
      <vt:lpstr>CapFinanciera4</vt:lpstr>
      <vt:lpstr>CapTecnica1</vt:lpstr>
      <vt:lpstr>CapTecnica2</vt:lpstr>
      <vt:lpstr>Experiencia1</vt:lpstr>
      <vt:lpstr>Experiencia2</vt:lpstr>
      <vt:lpstr>Experiencia3</vt:lpstr>
      <vt:lpstr>PlazoM1</vt:lpstr>
      <vt:lpstr>PlazoM2</vt:lpstr>
      <vt:lpstr>PlazoM3</vt:lpstr>
      <vt:lpstr>PlazoM4</vt:lpstr>
      <vt:lpstr>prueba</vt:lpstr>
      <vt:lpstr>SALACTUAL</vt:lpstr>
    </vt:vector>
  </TitlesOfParts>
  <Company>Universidad del Rosario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 2014</dc:creator>
  <cp:lastModifiedBy>Mario José Caballero Guerra</cp:lastModifiedBy>
  <cp:lastPrinted>2019-05-17T15:55:17Z</cp:lastPrinted>
  <dcterms:created xsi:type="dcterms:W3CDTF">2005-03-19T14:11:58Z</dcterms:created>
  <dcterms:modified xsi:type="dcterms:W3CDTF">2019-05-17T15:56:03Z</dcterms:modified>
</cp:coreProperties>
</file>