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Definition4.xml" ContentType="application/vnd.openxmlformats-officedocument.spreadsheetml.pivotCacheDefinition+xml"/>
  <Override PartName="/xl/pivotCache/pivotCacheDefinition5.xml" ContentType="application/vnd.openxmlformats-officedocument.spreadsheetml.pivotCacheDefinition+xml"/>
  <Override PartName="/xl/pivotCache/pivotCacheDefinition6.xml" ContentType="application/vnd.openxmlformats-officedocument.spreadsheetml.pivotCacheDefinition+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xl/tables/table4.xml" ContentType="application/vnd.openxmlformats-officedocument.spreadsheetml.table+xml"/>
  <Override PartName="/xl/queryTables/queryTable4.xml" ContentType="application/vnd.openxmlformats-officedocument.spreadsheetml.queryTable+xml"/>
  <Override PartName="/xl/tables/table5.xml" ContentType="application/vnd.openxmlformats-officedocument.spreadsheetml.table+xml"/>
  <Override PartName="/xl/queryTables/queryTable5.xml" ContentType="application/vnd.openxmlformats-officedocument.spreadsheetml.queryTable+xml"/>
  <Override PartName="/xl/pivotTables/pivotTable5.xml" ContentType="application/vnd.openxmlformats-officedocument.spreadsheetml.pivotTable+xml"/>
  <Override PartName="/xl/pivotTables/pivotTable6.xml" ContentType="application/vnd.openxmlformats-officedocument.spreadsheetml.pivotTable+xml"/>
  <Override PartName="/xl/tables/table6.xml" ContentType="application/vnd.openxmlformats-officedocument.spreadsheetml.table+xml"/>
  <Override PartName="/xl/queryTables/queryTable6.xml" ContentType="application/vnd.openxmlformats-officedocument.spreadsheetml.queryTable+xml"/>
  <Override PartName="/xl/drawings/drawing4.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tables/table7.xml" ContentType="application/vnd.openxmlformats-officedocument.spreadsheetml.table+xml"/>
  <Override PartName="/xl/queryTables/queryTable7.xml" ContentType="application/vnd.openxmlformats-officedocument.spreadsheetml.queryTable+xml"/>
  <Override PartName="/xl/tables/table8.xml" ContentType="application/vnd.openxmlformats-officedocument.spreadsheetml.table+xml"/>
  <Override PartName="/xl/queryTables/queryTable8.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customXml/itemProps2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00-CONTRATACION\01-dtos\"/>
    </mc:Choice>
  </mc:AlternateContent>
  <xr:revisionPtr revIDLastSave="0" documentId="13_ncr:1_{C788E75B-5DA5-42DF-81D0-BE73DA2444A3}" xr6:coauthVersionLast="47" xr6:coauthVersionMax="47" xr10:uidLastSave="{00000000-0000-0000-0000-000000000000}"/>
  <bookViews>
    <workbookView xWindow="-120" yWindow="-120" windowWidth="20730" windowHeight="11160" firstSheet="3" activeTab="7" xr2:uid="{00000000-000D-0000-FFFF-FFFF00000000}"/>
  </bookViews>
  <sheets>
    <sheet name="analisis ofertas" sheetId="32" r:id="rId1"/>
    <sheet name="analisis adicion kac" sheetId="31" r:id="rId2"/>
    <sheet name="Hoja4" sheetId="11" r:id="rId3"/>
    <sheet name="gaseosa" sheetId="9" r:id="rId4"/>
    <sheet name="notas" sheetId="3" r:id="rId5"/>
    <sheet name="Hoja1" sheetId="34" r:id="rId6"/>
    <sheet name="curso" sheetId="33" r:id="rId7"/>
    <sheet name="pagos" sheetId="10" r:id="rId8"/>
    <sheet name="estado financiero" sheetId="15" r:id="rId9"/>
    <sheet name="Hoja2" sheetId="35" r:id="rId10"/>
    <sheet name="calculadora" sheetId="7" r:id="rId11"/>
    <sheet name="Hoja3" sheetId="6" r:id="rId12"/>
    <sheet name="tablas pivot" sheetId="12" r:id="rId13"/>
    <sheet name="Campeonatos" sheetId="14" r:id="rId14"/>
    <sheet name="Segunda vuelta_editar_ (2)" sheetId="23" r:id="rId15"/>
    <sheet name="Segunda vuelta_editar_" sheetId="22" r:id="rId16"/>
    <sheet name="Primera vuelta_editar_ (2)" sheetId="21" r:id="rId17"/>
    <sheet name="Primera vuelta_editar_" sheetId="20" r:id="rId18"/>
    <sheet name="Hoja8" sheetId="24" r:id="rId19"/>
    <sheet name="Hoja11" sheetId="27" r:id="rId20"/>
    <sheet name="Por departamento_editar_" sheetId="19" r:id="rId21"/>
    <sheet name="Hoja14" sheetId="30" r:id="rId22"/>
    <sheet name="Pacto Histórico_editar_" sheetId="18" r:id="rId23"/>
    <sheet name="Candidatos_editar_" sheetId="17" r:id="rId24"/>
    <sheet name="Hoja7" sheetId="16" r:id="rId25"/>
    <sheet name="Hoja5" sheetId="13" r:id="rId26"/>
  </sheets>
  <definedNames>
    <definedName name="_xlnm._FilterDatabase" localSheetId="4" hidden="1">notas!$D$34:$M$42</definedName>
    <definedName name="DatosExternos_1" localSheetId="13" hidden="1">'Campeonatos'!$A$1:$J$26</definedName>
    <definedName name="DatosExternos_1" localSheetId="23" hidden="1">Candidatos_editar_!$A$1:$I$7</definedName>
    <definedName name="DatosExternos_2" localSheetId="22" hidden="1">'Pacto Histórico_editar_'!$A$1:$H$8</definedName>
    <definedName name="DatosExternos_3" localSheetId="20" hidden="1">'Por departamento_editar_'!$A$1:$K$40</definedName>
    <definedName name="DatosExternos_4" localSheetId="17" hidden="1">'Primera vuelta_editar_'!$A$1:$D$7</definedName>
    <definedName name="DatosExternos_5" localSheetId="16" hidden="1">'Primera vuelta_editar_ (2)'!$A$1:$F$15</definedName>
    <definedName name="DatosExternos_6" localSheetId="15" hidden="1">'Segunda vuelta_editar_'!$A$1:$D$5</definedName>
    <definedName name="DatosExternos_7" localSheetId="14" hidden="1">'Segunda vuelta_editar_ (2)'!$A$1:$F$9</definedName>
    <definedName name="lnkContractReferenceLink_0">notas!$I$42</definedName>
  </definedNames>
  <calcPr calcId="191028"/>
  <pivotCaches>
    <pivotCache cacheId="36" r:id="rId27"/>
    <pivotCache cacheId="37" r:id="rId28"/>
  </pivotCaches>
  <extLst>
    <ext xmlns:x15="http://schemas.microsoft.com/office/spreadsheetml/2010/11/main" uri="{841E416B-1EF1-43b6-AB56-02D37102CBD5}">
      <x15:pivotCaches>
        <pivotCache cacheId="38" r:id="rId29"/>
        <pivotCache cacheId="39" r:id="rId30"/>
        <pivotCache cacheId="40" r:id="rId31"/>
        <pivotCache cacheId="41" r:id="rId32"/>
      </x15:pivotCaches>
    </ext>
    <ext xmlns:x15="http://schemas.microsoft.com/office/spreadsheetml/2010/11/main" uri="{983426D0-5260-488c-9760-48F4B6AC55F4}">
      <x15:pivotTableReferences>
        <x15:pivotTableReference r:id="rId33"/>
        <x15:pivotTableReference r:id="rId34"/>
        <x15:pivotTableReference r:id="rId35"/>
        <x15:pivotTableReference r:id="rId36"/>
      </x15:pivotTableReferences>
    </ex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Ciudades_b4f23ce9-cb6e-4b95-9db6-a81fd902584e" name="Ciudades" connection="Excel 2.1 PowerPivot Ciudades.xlsx"/>
          <x15:modelTable id="Paises de Venta_9161c63a-10d1-46b0-a9c6-0bdb0e27f9ec" name="Paises de Venta" connection="Excel 2.2 PowerPivot País.xlsx"/>
          <x15:modelTable id="Ingresos_5a5c41e2-1869-4b1f-9a09-e3242f05fae5" name="Ingresos" connection="Excel 2.3 PowerPivot Ingresos.xlsx"/>
          <x15:modelTable id="Pizzas Detalle_6f3795bd-8185-4fcc-912e-97d84ec27132" name="Pizzas Detalle" connection="Excel 2.4 PowerPivot Sabores.xlsx"/>
          <x15:modelTable id="Vendedores_ca73133f-aecd-4875-86d3-8010aef05b1b" name="Vendedores" connection="Excel 2.5 PowerPivot Vendedores.xlsx"/>
        </x15:modelTables>
        <x15:modelRelationships>
          <x15:modelRelationship fromTable="Ingresos" fromColumn="Código Vendedor" toTable="Vendedores" toColumn="Código Vendedor"/>
          <x15:modelRelationship fromTable="Ingresos" fromColumn="Código Ciudad" toTable="Ciudades" toColumn="Código Ciudad"/>
          <x15:modelRelationship fromTable="Ingresos" fromColumn="Código País" toTable="Paises de Venta" toColumn="Código País"/>
          <x15:modelRelationship fromTable="Ingresos" fromColumn="Código Pizza" toTable="Pizzas Detalle" toColumn="Código Pizza"/>
        </x15:modelRelationship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1" i="35" l="1"/>
  <c r="J30" i="35"/>
  <c r="J28" i="35"/>
  <c r="J27" i="35"/>
  <c r="J26" i="35"/>
  <c r="J25" i="35"/>
  <c r="J24" i="35"/>
  <c r="L25" i="35"/>
  <c r="J22" i="35"/>
  <c r="J21" i="35"/>
  <c r="J20" i="35"/>
  <c r="J19" i="35"/>
  <c r="L9" i="35"/>
  <c r="L10" i="35"/>
  <c r="L8" i="35"/>
  <c r="J10" i="35"/>
  <c r="J9" i="35"/>
  <c r="J8" i="35"/>
  <c r="I14" i="35"/>
  <c r="I12" i="35"/>
  <c r="H16" i="15"/>
  <c r="J6" i="15"/>
  <c r="K4" i="15"/>
  <c r="I3" i="15"/>
  <c r="J4" i="15"/>
  <c r="H3" i="15"/>
  <c r="I4" i="15"/>
  <c r="H4" i="15"/>
  <c r="I5" i="15"/>
  <c r="H5" i="15"/>
  <c r="I6" i="15"/>
  <c r="H7" i="15"/>
  <c r="H6" i="15"/>
  <c r="G6" i="15"/>
  <c r="J13" i="15"/>
  <c r="J10" i="15"/>
  <c r="J9" i="15"/>
  <c r="L13" i="15"/>
  <c r="C15" i="32"/>
  <c r="C16" i="32" s="1"/>
  <c r="C13" i="32"/>
  <c r="C12" i="32"/>
  <c r="C11" i="32"/>
  <c r="E3" i="32"/>
  <c r="E2" i="32"/>
  <c r="B6" i="31"/>
  <c r="B7" i="31" s="1"/>
  <c r="B8" i="31" s="1"/>
  <c r="I5" i="31"/>
  <c r="I6" i="31" s="1"/>
  <c r="H5" i="31"/>
  <c r="H6" i="31" s="1"/>
  <c r="G5" i="31"/>
  <c r="G6" i="31" s="1"/>
  <c r="F5" i="31"/>
  <c r="F6" i="31" s="1"/>
  <c r="D5" i="31"/>
  <c r="D7" i="31" s="1"/>
  <c r="C5" i="31"/>
  <c r="C7" i="31" s="1"/>
  <c r="I18" i="15" l="1"/>
  <c r="I17" i="15"/>
  <c r="D16" i="15"/>
  <c r="D9" i="15"/>
  <c r="G14" i="15"/>
  <c r="G9" i="15"/>
  <c r="A9" i="11"/>
  <c r="A11" i="11" s="1"/>
  <c r="C15" i="11" s="1"/>
  <c r="F3" i="11"/>
  <c r="F4" i="11"/>
  <c r="F5" i="11"/>
  <c r="F6" i="11"/>
  <c r="F7" i="11"/>
  <c r="G9" i="11"/>
  <c r="G10" i="11"/>
  <c r="F2" i="11"/>
  <c r="F8" i="11"/>
  <c r="G8" i="11" s="1"/>
  <c r="C11" i="11"/>
  <c r="D13" i="11" s="1"/>
  <c r="A17" i="11"/>
  <c r="B15" i="10"/>
  <c r="C14" i="10"/>
  <c r="C13" i="10"/>
  <c r="C12" i="10"/>
  <c r="C11" i="10"/>
  <c r="C10" i="10"/>
  <c r="C9" i="10"/>
  <c r="C8" i="10"/>
  <c r="C7" i="10"/>
  <c r="C6" i="10"/>
  <c r="C5" i="10"/>
  <c r="C4" i="10"/>
  <c r="G11" i="11" l="1"/>
  <c r="C15" i="10"/>
  <c r="D6" i="10" l="1"/>
  <c r="D8" i="10"/>
  <c r="D5" i="10"/>
  <c r="D7" i="10"/>
  <c r="D11" i="10"/>
  <c r="D14" i="10"/>
  <c r="D13" i="10"/>
  <c r="D10" i="10"/>
  <c r="D3" i="10"/>
  <c r="D4" i="10"/>
  <c r="D9" i="10"/>
  <c r="D12" i="10"/>
  <c r="G23" i="7" l="1"/>
  <c r="G25" i="7" s="1"/>
  <c r="G24" i="7" l="1"/>
  <c r="C3" i="7"/>
  <c r="C4" i="7"/>
  <c r="C5" i="7"/>
  <c r="D63" i="9"/>
  <c r="D64" i="9"/>
  <c r="D61" i="9"/>
  <c r="D60" i="9"/>
  <c r="D58" i="9"/>
  <c r="D57" i="9"/>
  <c r="F57" i="9"/>
  <c r="E57" i="9"/>
  <c r="F26" i="9"/>
  <c r="C6" i="7"/>
  <c r="C7" i="7"/>
  <c r="C8" i="7"/>
  <c r="C9" i="7"/>
  <c r="C10" i="7"/>
  <c r="C11" i="7"/>
  <c r="C12" i="7"/>
  <c r="C13" i="7"/>
  <c r="C22" i="7" s="1"/>
  <c r="C14" i="7"/>
  <c r="D18" i="7"/>
  <c r="B15" i="7"/>
  <c r="R8" i="7"/>
  <c r="U10" i="7"/>
  <c r="R7" i="7"/>
  <c r="R6" i="7"/>
  <c r="P14" i="7"/>
  <c r="Q14" i="7"/>
  <c r="C23" i="7"/>
  <c r="E141" i="3"/>
  <c r="C50" i="9"/>
  <c r="C51" i="9"/>
  <c r="C52" i="9"/>
  <c r="C49" i="9"/>
  <c r="D47" i="9"/>
  <c r="D48" i="9"/>
  <c r="D46" i="9"/>
  <c r="D45" i="9"/>
  <c r="D44" i="9"/>
  <c r="D43" i="9"/>
  <c r="A17" i="7"/>
  <c r="H25" i="7"/>
  <c r="F27" i="7"/>
  <c r="C33" i="9"/>
  <c r="C34" i="9"/>
  <c r="F27" i="9"/>
  <c r="C41" i="9"/>
  <c r="C42" i="9"/>
  <c r="E105" i="3"/>
  <c r="E104" i="3"/>
  <c r="I22" i="7"/>
  <c r="C23" i="9"/>
  <c r="C24" i="9"/>
  <c r="C28" i="7"/>
  <c r="C27" i="7"/>
  <c r="C26" i="7"/>
  <c r="C25" i="7"/>
  <c r="E28" i="7"/>
  <c r="H27" i="7"/>
  <c r="F39" i="7"/>
  <c r="E38" i="7"/>
  <c r="D39" i="7"/>
  <c r="H35" i="7"/>
  <c r="H37" i="7" s="1"/>
  <c r="F28" i="7"/>
  <c r="F33" i="7"/>
  <c r="F32" i="7"/>
  <c r="M21" i="6"/>
  <c r="K32" i="7"/>
  <c r="K31" i="7"/>
  <c r="K26" i="7"/>
  <c r="J26" i="7"/>
  <c r="J25" i="7"/>
  <c r="H30" i="7"/>
  <c r="H28" i="7"/>
  <c r="G18" i="7"/>
  <c r="G21" i="7" s="1"/>
  <c r="D28" i="7"/>
  <c r="D29" i="7"/>
  <c r="D31" i="7"/>
  <c r="E30" i="7"/>
  <c r="E31" i="7"/>
  <c r="E32" i="7"/>
  <c r="D25" i="7"/>
  <c r="M24" i="7"/>
  <c r="M23" i="7"/>
  <c r="M22" i="7"/>
  <c r="J23" i="7"/>
  <c r="M21" i="7"/>
  <c r="J21" i="7"/>
  <c r="M20" i="7"/>
  <c r="K20" i="7"/>
  <c r="K21" i="7"/>
  <c r="J20" i="7"/>
  <c r="M19" i="7"/>
  <c r="J19" i="7"/>
  <c r="L18" i="7"/>
  <c r="K18" i="7"/>
  <c r="M17" i="7"/>
  <c r="M18" i="7"/>
  <c r="K17" i="7"/>
  <c r="K19" i="7"/>
  <c r="L20" i="7"/>
  <c r="F15" i="7"/>
  <c r="L14" i="7"/>
  <c r="G14" i="7"/>
  <c r="L13" i="7"/>
  <c r="G13" i="7"/>
  <c r="L12" i="7"/>
  <c r="G12" i="7"/>
  <c r="L11" i="7"/>
  <c r="L3" i="7"/>
  <c r="L4" i="7"/>
  <c r="L5" i="7"/>
  <c r="L6" i="7"/>
  <c r="L7" i="7"/>
  <c r="L8" i="7"/>
  <c r="L9" i="7"/>
  <c r="L10" i="7"/>
  <c r="L15" i="7"/>
  <c r="M11" i="7"/>
  <c r="G11" i="7"/>
  <c r="G10" i="7"/>
  <c r="M9" i="7"/>
  <c r="G9" i="7"/>
  <c r="G8" i="7"/>
  <c r="G7" i="7"/>
  <c r="G6" i="7"/>
  <c r="M5" i="7"/>
  <c r="G5" i="7"/>
  <c r="G4" i="7"/>
  <c r="G3" i="7"/>
  <c r="G15" i="7" s="1"/>
  <c r="M13" i="7"/>
  <c r="M10" i="7"/>
  <c r="M7" i="7"/>
  <c r="M8" i="7"/>
  <c r="M6" i="7"/>
  <c r="M12" i="7"/>
  <c r="K22" i="7"/>
  <c r="N21" i="7"/>
  <c r="L22" i="7"/>
  <c r="L29" i="6"/>
  <c r="M28" i="6"/>
  <c r="L28" i="6"/>
  <c r="L27" i="6"/>
  <c r="L26" i="6"/>
  <c r="L25" i="6"/>
  <c r="J19" i="6"/>
  <c r="J21" i="6"/>
  <c r="J24" i="6"/>
  <c r="J28" i="6"/>
  <c r="I90" i="3"/>
  <c r="I89" i="3"/>
  <c r="I88" i="3"/>
  <c r="H87" i="3"/>
  <c r="D26" i="7"/>
  <c r="G19" i="7"/>
  <c r="G20" i="7"/>
  <c r="R16" i="7"/>
  <c r="H26" i="7" l="1"/>
  <c r="H24" i="7"/>
  <c r="C15" i="7"/>
  <c r="D8" i="7" s="1"/>
  <c r="C17" i="7" l="1"/>
  <c r="D12" i="7"/>
  <c r="D3" i="7"/>
  <c r="D11" i="7"/>
  <c r="D6" i="7"/>
  <c r="C18" i="7"/>
  <c r="D10" i="7"/>
  <c r="B21" i="7"/>
  <c r="D14" i="7"/>
  <c r="B17" i="7"/>
  <c r="B18" i="7" s="1"/>
  <c r="B19" i="7" s="1"/>
  <c r="C20" i="7"/>
  <c r="D13" i="7"/>
  <c r="D4" i="7"/>
  <c r="D7" i="7"/>
  <c r="D9" i="7"/>
  <c r="D5" i="7"/>
  <c r="C19" i="7" l="1"/>
  <c r="C21" i="7" s="1"/>
  <c r="A18" i="7"/>
  <c r="A19" i="7" s="1"/>
  <c r="A20" i="7" s="1"/>
  <c r="B20" i="7"/>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8C9AE8E-799B-4618-93FF-72DBE72BC514}" keepAlive="1" name="Consulta - Campeonatos" description="Conexión a la consulta 'Campeonatos' en el libro." type="5" refreshedVersion="8" background="1" saveData="1">
    <dbPr connection="Provider=Microsoft.Mashup.OleDb.1;Data Source=$Workbook$;Location=Campeonatos;Extended Properties=&quot;&quot;" command="SELECT * FROM [Campeonatos]"/>
  </connection>
  <connection id="2" xr16:uid="{06D5E337-7455-4015-85FA-022D8B223359}" keepAlive="1" name="Consulta - Candidatos[editar]" description="Conexión a la consulta 'Candidatos[editar]' en el libro." type="5" refreshedVersion="8" background="1" saveData="1">
    <dbPr connection="Provider=Microsoft.Mashup.OleDb.1;Data Source=$Workbook$;Location=Candidatos[editar];Extended Properties=&quot;&quot;" command="SELECT * FROM [Candidatos[editar]]]"/>
  </connection>
  <connection id="3" xr16:uid="{EBD6D09B-5C34-421E-B909-344A97B7F435}" keepAlive="1" name="Consulta - Pacto Histórico[editar]" description="Conexión a la consulta 'Pacto Histórico[editar]' en el libro." type="5" refreshedVersion="8" background="1" saveData="1">
    <dbPr connection="Provider=Microsoft.Mashup.OleDb.1;Data Source=$Workbook$;Location=&quot;Pacto Histórico[editar]&quot;;Extended Properties=&quot;&quot;" command="SELECT * FROM [Pacto Histórico[editar]]]"/>
  </connection>
  <connection id="4" xr16:uid="{20CB8B3D-104A-4945-B530-785DE80C41E8}" keepAlive="1" name="Consulta - Por departamento[editar]" description="Conexión a la consulta 'Por departamento[editar]' en el libro." type="5" refreshedVersion="8" background="1" saveData="1">
    <dbPr connection="Provider=Microsoft.Mashup.OleDb.1;Data Source=$Workbook$;Location=&quot;Por departamento[editar]&quot;;Extended Properties=&quot;&quot;" command="SELECT * FROM [Por departamento[editar]]]"/>
  </connection>
  <connection id="5" xr16:uid="{2B701DE7-52A9-434E-9965-979F232FBC34}" keepAlive="1" name="Consulta - Primera vuelta[editar]" description="Conexión a la consulta 'Primera vuelta[editar]' en el libro." type="5" refreshedVersion="8" background="1" saveData="1">
    <dbPr connection="Provider=Microsoft.Mashup.OleDb.1;Data Source=$Workbook$;Location=&quot;Primera vuelta[editar]&quot;;Extended Properties=&quot;&quot;" command="SELECT * FROM [Primera vuelta[editar]]]"/>
  </connection>
  <connection id="6" xr16:uid="{73E18613-C14A-457D-93E9-E4CBC1D00A9D}" keepAlive="1" name="Consulta - Primera vuelta[editar] (2)" description="Conexión a la consulta 'Primera vuelta[editar] (2)' en el libro." type="5" refreshedVersion="8" background="1" saveData="1">
    <dbPr connection="Provider=Microsoft.Mashup.OleDb.1;Data Source=$Workbook$;Location=&quot;Primera vuelta[editar] (2)&quot;;Extended Properties=&quot;&quot;" command="SELECT * FROM [Primera vuelta[editar]] (2)]"/>
  </connection>
  <connection id="7" xr16:uid="{A632F97B-6390-483B-9331-23F01FDDCEF8}" keepAlive="1" name="Consulta - Segunda vuelta[editar]" description="Conexión a la consulta 'Segunda vuelta[editar]' en el libro." type="5" refreshedVersion="8" background="1" saveData="1">
    <dbPr connection="Provider=Microsoft.Mashup.OleDb.1;Data Source=$Workbook$;Location=&quot;Segunda vuelta[editar]&quot;;Extended Properties=&quot;&quot;" command="SELECT * FROM [Segunda vuelta[editar]]]"/>
  </connection>
  <connection id="8" xr16:uid="{788E1703-77CD-4948-BE0A-C33129421CE5}" keepAlive="1" name="Consulta - Segunda vuelta[editar] (2)" description="Conexión a la consulta 'Segunda vuelta[editar] (2)' en el libro." type="5" refreshedVersion="8" background="1" saveData="1">
    <dbPr connection="Provider=Microsoft.Mashup.OleDb.1;Data Source=$Workbook$;Location=&quot;Segunda vuelta[editar] (2)&quot;;Extended Properties=&quot;&quot;" command="SELECT * FROM [Segunda vuelta[editar]] (2)]"/>
  </connection>
  <connection id="9" xr16:uid="{B23900DB-F9DD-4C99-A07B-261D74C46CDD}" name="Excel 2.1 PowerPivot Ciudades.xlsx" type="100" refreshedVersion="0">
    <extLst>
      <ext xmlns:x15="http://schemas.microsoft.com/office/spreadsheetml/2010/11/main" uri="{DE250136-89BD-433C-8126-D09CA5730AF9}">
        <x15:connection id="6d8e9b44-798d-45bd-a649-577bfeae0ae2"/>
      </ext>
    </extLst>
  </connection>
  <connection id="10" xr16:uid="{C9EBEFBC-3C57-4D0C-A5CA-78FDEBA56720}" name="Excel 2.2 PowerPivot País.xlsx" type="100" refreshedVersion="0">
    <extLst>
      <ext xmlns:x15="http://schemas.microsoft.com/office/spreadsheetml/2010/11/main" uri="{DE250136-89BD-433C-8126-D09CA5730AF9}">
        <x15:connection id="603ef0dc-8bf6-45c1-8f8e-0988176c0b86"/>
      </ext>
    </extLst>
  </connection>
  <connection id="11" xr16:uid="{5ED5FD21-EE03-423D-A60B-6589A12F75E5}" name="Excel 2.3 PowerPivot Ingresos.xlsx" type="100" refreshedVersion="0">
    <extLst>
      <ext xmlns:x15="http://schemas.microsoft.com/office/spreadsheetml/2010/11/main" uri="{DE250136-89BD-433C-8126-D09CA5730AF9}">
        <x15:connection id="b9471bf6-1a57-4c09-a6ec-7de514337517"/>
      </ext>
    </extLst>
  </connection>
  <connection id="12" xr16:uid="{0ADF8467-AA6C-4F82-926D-78819699C29F}" name="Excel 2.4 PowerPivot Sabores.xlsx" type="100" refreshedVersion="0">
    <extLst>
      <ext xmlns:x15="http://schemas.microsoft.com/office/spreadsheetml/2010/11/main" uri="{DE250136-89BD-433C-8126-D09CA5730AF9}">
        <x15:connection id="8e6c9093-5a99-4d9c-852c-d5f000278470"/>
      </ext>
    </extLst>
  </connection>
  <connection id="13" xr16:uid="{DE80138E-3123-40A7-94AE-F83F029F98EA}" name="Excel 2.5 PowerPivot Vendedores.xlsx" type="100" refreshedVersion="0">
    <extLst>
      <ext xmlns:x15="http://schemas.microsoft.com/office/spreadsheetml/2010/11/main" uri="{DE250136-89BD-433C-8126-D09CA5730AF9}">
        <x15:connection id="b45beece-e42a-4543-9cde-55036415c6b0"/>
      </ext>
    </extLst>
  </connection>
  <connection id="14" xr16:uid="{F77DF773-76F5-4EAC-BF18-E12D99355396}" keepAlive="1" name="ThisWorkbookDataModel" description="Modelo de datos" type="5" refreshedVersion="8" minRefreshableVersion="5">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<sst xmlns="http://schemas.openxmlformats.org/spreadsheetml/2006/main" count="1986" uniqueCount="1294">
  <si>
    <t>LOGISTICA</t>
  </si>
  <si>
    <t>GESTION DE MERCADOS</t>
  </si>
  <si>
    <t>se envio poliza aprobacion</t>
  </si>
  <si>
    <t>IDIOMAS</t>
  </si>
  <si>
    <t>no acpto</t>
  </si>
  <si>
    <t>COMERCIALIZACION</t>
  </si>
  <si>
    <t>no acepto</t>
  </si>
  <si>
    <t>metodologo sennova</t>
  </si>
  <si>
    <t>Disculpa en vulnerables hay una vacante disponible, en articulacion 4 y titulada 1</t>
  </si>
  <si>
    <t>mayelin</t>
  </si>
  <si>
    <t>ok</t>
  </si>
  <si>
    <t>art 4, se hacen 4</t>
  </si>
  <si>
    <t>maria carrillo</t>
  </si>
  <si>
    <t>jose ariza</t>
  </si>
  <si>
    <t>johana castro, cdp 10221</t>
  </si>
  <si>
    <t>se envio on base autorizacion</t>
  </si>
  <si>
    <t>yuranis marin coronado CO1.PCCNTR.2276341</t>
  </si>
  <si>
    <t>daniel herrera charris</t>
  </si>
  <si>
    <t>david barcelo</t>
  </si>
  <si>
    <t>CO1.PCCNTR.2280980</t>
  </si>
  <si>
    <t>ok proc 84</t>
  </si>
  <si>
    <t>rechazado, servidor publico</t>
  </si>
  <si>
    <t>elkin durango</t>
  </si>
  <si>
    <t>ok proc 52</t>
  </si>
  <si>
    <t>ella gomez mendoza</t>
  </si>
  <si>
    <t>ok proc 25</t>
  </si>
  <si>
    <t>iniciar ejec cuando aprueben poliza</t>
  </si>
  <si>
    <t>jorge tovar granados</t>
  </si>
  <si>
    <t>proc 52</t>
  </si>
  <si>
    <t>jaime vanegas</t>
  </si>
  <si>
    <t>sen envio poliza aprobacion</t>
  </si>
  <si>
    <t>evaluador vigilante</t>
  </si>
  <si>
    <t>proc 85</t>
  </si>
  <si>
    <t>instructor belleza desplazados</t>
  </si>
  <si>
    <t>suba poliza</t>
  </si>
  <si>
    <t>gisela cabarcas mendoza</t>
  </si>
  <si>
    <t>falta cdp</t>
  </si>
  <si>
    <t>proc 87</t>
  </si>
  <si>
    <t>marley lechuga ok</t>
  </si>
  <si>
    <t>proc 93</t>
  </si>
  <si>
    <t>ya tiene ep</t>
  </si>
  <si>
    <t>Carmen Luz Amarís Salas-</t>
  </si>
  <si>
    <t>proc 92</t>
  </si>
  <si>
    <t>inicia 15 marzo</t>
  </si>
  <si>
    <t>le falta posgrado en salud</t>
  </si>
  <si>
    <t>Perfil Gestión Administrativa en Salud</t>
  </si>
  <si>
    <t>german velasquez</t>
  </si>
  <si>
    <t>proc 55</t>
  </si>
  <si>
    <t>hasta 17 dic</t>
  </si>
  <si>
    <t>se hizo cto, espero aprobacion jenifer</t>
  </si>
  <si>
    <t>Mayra Alejandra Armenta Castro</t>
  </si>
  <si>
    <t>cdp  8621</t>
  </si>
  <si>
    <t>apoyo admtivo coord academica</t>
  </si>
  <si>
    <t>se pidio autorizacion</t>
  </si>
  <si>
    <t>ep apoyo bienestar</t>
  </si>
  <si>
    <t>proc 88</t>
  </si>
  <si>
    <t>grety 22507320</t>
  </si>
  <si>
    <t>cdp 6821</t>
  </si>
  <si>
    <t>ep johana castro sicologo plan mejoramiento</t>
  </si>
  <si>
    <t>cdp 10221</t>
  </si>
  <si>
    <t>proc 86</t>
  </si>
  <si>
    <t>se envio aprobacion poliza</t>
  </si>
  <si>
    <t>saul tovar  ok</t>
  </si>
  <si>
    <t>serv admitivos proc 94</t>
  </si>
  <si>
    <t>pensiones cesantias</t>
  </si>
  <si>
    <t>contrato x horas</t>
  </si>
  <si>
    <t>proc 94</t>
  </si>
  <si>
    <t>jhon me envio dtos proceso</t>
  </si>
  <si>
    <t>tenologo apoyo bienestar plataforma virtual</t>
  </si>
  <si>
    <t>campo elias</t>
  </si>
  <si>
    <t>reemplazo david barcelo</t>
  </si>
  <si>
    <t>proc 84</t>
  </si>
  <si>
    <t>alejandro borja</t>
  </si>
  <si>
    <t>subio renglones</t>
  </si>
  <si>
    <t>prc 52</t>
  </si>
  <si>
    <t>se envio registro</t>
  </si>
  <si>
    <t>juan jacobo bermeo</t>
  </si>
  <si>
    <t>alvaro ceballos castilla ok</t>
  </si>
  <si>
    <t>proc 89</t>
  </si>
  <si>
    <t>serv adtivos idiomas</t>
  </si>
  <si>
    <t>proc comercializacion</t>
  </si>
  <si>
    <t>proc nuevo</t>
  </si>
  <si>
    <t>elisa ospino</t>
  </si>
  <si>
    <t>inicia 15 marzo ok</t>
  </si>
  <si>
    <t>proceso 92</t>
  </si>
  <si>
    <t>salud ocupacional</t>
  </si>
  <si>
    <t>CO1.PCCNTR.2338885</t>
  </si>
  <si>
    <t>estudio previo soporte tecnologico</t>
  </si>
  <si>
    <t>MC-ATL-0004-2021</t>
  </si>
  <si>
    <t>evaluador</t>
  </si>
  <si>
    <t>hasta el 1 de marzo de 2021</t>
  </si>
  <si>
    <t>se envio a jenifer</t>
  </si>
  <si>
    <t>libardo</t>
  </si>
  <si>
    <t>se envio ep a vobo</t>
  </si>
  <si>
    <t>falta incluirlo en el paa</t>
  </si>
  <si>
    <t>oscar alford    ok</t>
  </si>
  <si>
    <t>proceso 97</t>
  </si>
  <si>
    <t>elkin castillo</t>
  </si>
  <si>
    <t>logistica-derechos fundamentales</t>
  </si>
  <si>
    <t>CO1.PCCNTR.2339284</t>
  </si>
  <si>
    <t>proce 91</t>
  </si>
  <si>
    <t>dtos completos</t>
  </si>
  <si>
    <t>Elio Ventura</t>
  </si>
  <si>
    <t>adicion</t>
  </si>
  <si>
    <t>180 mil mensual</t>
  </si>
  <si>
    <t>Melanie Olarte</t>
  </si>
  <si>
    <t>Camilo Montes</t>
  </si>
  <si>
    <t>DANY SUSANA SANCHEZ NEGRETE</t>
  </si>
  <si>
    <t>Articulación con la Media en el Perfil de Integralidad</t>
  </si>
  <si>
    <t>se piden dtos</t>
  </si>
  <si>
    <t>proceso 99 hasta 17 dic</t>
  </si>
  <si>
    <t>PEDRO LUIS QUINTERO RODRIGUEZ</t>
  </si>
  <si>
    <t>CONTENIDOS DIGITALES (DISEÑO E INTREGRACION MULTIMEDIA</t>
  </si>
  <si>
    <t>art con la media</t>
  </si>
  <si>
    <t>no tomo vacante</t>
  </si>
  <si>
    <t>CC 12561258</t>
  </si>
  <si>
    <t>YAMIRO OMAR LACERA PADILLA</t>
  </si>
  <si>
    <t>Perfil: LOGÍSTICA Y GESTIÓN DE LA PRODUCCIÓN - GESTIÓN LOGÍSTICA: Proceso de Logística (URGENTE)</t>
  </si>
  <si>
    <t>proce 25</t>
  </si>
  <si>
    <t>CO1.PCCNTR.2331663</t>
  </si>
  <si>
    <t>CC 73088092</t>
  </si>
  <si>
    <t>RAFAEL ANGEL UGARRIZA DIAZ</t>
  </si>
  <si>
    <t>urgente</t>
  </si>
  <si>
    <t>CC 51967156</t>
  </si>
  <si>
    <t>BRENDA CECILIA RODRIGUEZ SIERRA</t>
  </si>
  <si>
    <t>no contesta</t>
  </si>
  <si>
    <t>CO1.PCCNTR.2332032</t>
  </si>
  <si>
    <t>CC 72357685</t>
  </si>
  <si>
    <t>VICTOR HUGO MEDINA FLOREZ</t>
  </si>
  <si>
    <t>subio formato viejo renglon 1</t>
  </si>
  <si>
    <t>CO1.PCCNTR.2333666</t>
  </si>
  <si>
    <t>BRIAN CARLOS OROZCO LARA</t>
  </si>
  <si>
    <t>ya tiene papeles,toca cambbiar valor</t>
  </si>
  <si>
    <t>Perfil: INFORMATICA DISEÑO Y DESARROLLO DE SOFTWARE – SOFTWARE- VIRTUAL: Proceso Virtual (ANTES DEL 15 de MARZO)</t>
  </si>
  <si>
    <t>proce 92</t>
  </si>
  <si>
    <t>CO1.PCCNTR.2341965</t>
  </si>
  <si>
    <t>CC 1043009355</t>
  </si>
  <si>
    <t>LUIS ALBERTO AVILA GUTIERREZ</t>
  </si>
  <si>
    <t>antes del 15 marzo</t>
  </si>
  <si>
    <t>CO1.PCCNTR.2342305</t>
  </si>
  <si>
    <t>CC 72162883</t>
  </si>
  <si>
    <t>ALEXANDER ENRIQUE SUAREZ ALFONSO</t>
  </si>
  <si>
    <t>15 abril</t>
  </si>
  <si>
    <t>Perfil: TRANSPORTE FLUVIAL: Proceso Logística</t>
  </si>
  <si>
    <t>nuevo proceso</t>
  </si>
  <si>
    <t>tramite tp</t>
  </si>
  <si>
    <t>CC 32786008</t>
  </si>
  <si>
    <t>BRIGITTE EUGENIA BETTER FAJARDO</t>
  </si>
  <si>
    <t>antes del 15 marzo ok</t>
  </si>
  <si>
    <t>Perfil: ETICA – PROCESO VIRTUAL (ANTES DEL 15 de MARZO)</t>
  </si>
  <si>
    <t>CC 72168806</t>
  </si>
  <si>
    <t>JIMMY ALBERTO AHUMADA GUERRA</t>
  </si>
  <si>
    <t>JAVIER DE JESUS ALVAREZ SANCHEZ</t>
  </si>
  <si>
    <t>rechazar no tiene papeles cambiar valor</t>
  </si>
  <si>
    <t>Perfil: BPO – Bilingüe: Proceso de Comercialización (URGENTE 8 de MARZO)</t>
  </si>
  <si>
    <t>proceso 95</t>
  </si>
  <si>
    <t>CO1.PCCNTR.2334907</t>
  </si>
  <si>
    <t xml:space="preserve">
CC 1128048156</t>
  </si>
  <si>
    <t>GUSTAVO ADOLFO OSPINO MAZA</t>
  </si>
  <si>
    <t>servidor publico</t>
  </si>
  <si>
    <t>Perfil: Servicios de Operaciones financieras: Proceso Servicios Administrativos y Financieros (ANTES DEL 15 de MARZO)</t>
  </si>
  <si>
    <t>CC 32777895</t>
  </si>
  <si>
    <t>IRENE LEON VARELA</t>
  </si>
  <si>
    <t>fallecio</t>
  </si>
  <si>
    <t>proc 98</t>
  </si>
  <si>
    <t>va hasta 18 sept</t>
  </si>
  <si>
    <t>CC 55230388</t>
  </si>
  <si>
    <t>LISSETH DEL CARMEN GUTIERREZ CERVANTES</t>
  </si>
  <si>
    <t>CC 55245774</t>
  </si>
  <si>
    <t>KARELY SUGEY SANDOVAL HERRERA</t>
  </si>
  <si>
    <t>Perfil Administrativo en Salud – Proceso VIRTUAL</t>
  </si>
  <si>
    <t>no va</t>
  </si>
  <si>
    <t>ZAHARE ABIANTUM</t>
  </si>
  <si>
    <t>salud</t>
  </si>
  <si>
    <t>antes del 12 abril</t>
  </si>
  <si>
    <t>GUSTAVO RAFAEL HENRIQUEZ FUENTES</t>
  </si>
  <si>
    <t>Vacante de Logística el Instructor (VIRTUAL</t>
  </si>
  <si>
    <t xml:space="preserve">modificarle valor  $33.561.290,40 
</t>
  </si>
  <si>
    <t>CC 72014606</t>
  </si>
  <si>
    <t>JORGE ELIECER NARVAEZ ECHEVERRIA</t>
  </si>
  <si>
    <t>jorgenarvaez11@hotmail.com 3043761938 953028893 Diurna</t>
  </si>
  <si>
    <t>gestion mercados</t>
  </si>
  <si>
    <t>CO1.PCCNTR.2379650</t>
  </si>
  <si>
    <t>no cumple perfil</t>
  </si>
  <si>
    <t>21559 CC 8649662   VICTOR ALFONSO HURTADO AHUMADA</t>
  </si>
  <si>
    <t>CONTENIDOS DIGITALES - ARTICULACIÓN CON LA MEDIA</t>
  </si>
  <si>
    <t>proce 52,confirmar valor mensual $2.786.454</t>
  </si>
  <si>
    <t>CC 1051663196</t>
  </si>
  <si>
    <t>GISELLA PAOLA MEJIA RIVERA</t>
  </si>
  <si>
    <t>giselmeri-90@hotmail.com 3004057477 3004057477 Diurna</t>
  </si>
  <si>
    <t>ojo no teiene experiencia docente</t>
  </si>
  <si>
    <t>interpretes logisticas + 1 nuevo</t>
  </si>
  <si>
    <t>HEDDY YASMIT TUTA GARCIA</t>
  </si>
  <si>
    <t>heddytuta_cgh@hotmail.com 3132098625 nullnull Indiferente</t>
  </si>
  <si>
    <t>VACANTE GESTIÓN ADMINISTRATIVA EN SALUD _ VIRTUAL</t>
  </si>
  <si>
    <t>por 92</t>
  </si>
  <si>
    <t>CO1.PCCNTR.2346996</t>
  </si>
  <si>
    <t>SANDRA PATRICIA QUIJANO MARTINEZ</t>
  </si>
  <si>
    <t>sandrapatriciaquijanomartinez@gmail.com 3124557306 317501406 Indiferente</t>
  </si>
  <si>
    <t>pro 92</t>
  </si>
  <si>
    <t>noa cepto</t>
  </si>
  <si>
    <t>ANDRES RICARDO PEREZ CORTES 80859353</t>
  </si>
  <si>
    <t>Gestión de Mercados- Virtual</t>
  </si>
  <si>
    <t>Liliana Manga</t>
  </si>
  <si>
    <t>Servicios Financieros /microfinanzas</t>
  </si>
  <si>
    <t>proce 98</t>
  </si>
  <si>
    <t>ya tiene papeles</t>
  </si>
  <si>
    <t>Martha Cecilia Mórelo</t>
  </si>
  <si>
    <t>pro 98</t>
  </si>
  <si>
    <t>Mauricio Rengifo</t>
  </si>
  <si>
    <t>Experto en la Función productiva para laconstrucción de Instrumentos de ECCL – Servicios Personales</t>
  </si>
  <si>
    <t>adriana vergara</t>
  </si>
  <si>
    <t>se envio ep a visto bueno</t>
  </si>
  <si>
    <t>LEIVER ESTEBAN CORTES CORENA</t>
  </si>
  <si>
    <t>Gestión Documental de Servicios Administrativos</t>
  </si>
  <si>
    <t>firmo en otro centro</t>
  </si>
  <si>
    <t>CC 25286477</t>
  </si>
  <si>
    <t>YADYR CECILIA PEREZ CABEZAS</t>
  </si>
  <si>
    <t>Contenidos Digitales (PROCESO VIRTUAL)</t>
  </si>
  <si>
    <t>CC 84454375</t>
  </si>
  <si>
    <t>ARIEL ALBERTO ACOSTA MERCADO</t>
  </si>
  <si>
    <t>MICROFINANZAS (VIRTUAL)</t>
  </si>
  <si>
    <t>elkin gonzalez</t>
  </si>
  <si>
    <t>tecnico biblioteca</t>
  </si>
  <si>
    <t>tiene papeles</t>
  </si>
  <si>
    <t>no tiene ep</t>
  </si>
  <si>
    <t>CC 32753896</t>
  </si>
  <si>
    <t>DIANIS OSIRIS TOVAR DE LA HOZ</t>
  </si>
  <si>
    <t>gestion documental</t>
  </si>
  <si>
    <t>CC 72269569</t>
  </si>
  <si>
    <t>OCTAVIO MANUEL MERCADO GOMEZ</t>
  </si>
  <si>
    <t>Bachiller para la Coordinación de Gestión Educativa</t>
  </si>
  <si>
    <t>tiene ep para enviar a firma</t>
  </si>
  <si>
    <t>CC 7641898</t>
  </si>
  <si>
    <t>EDUARDO ANTONIO BUENDIA YEPEZ</t>
  </si>
  <si>
    <t>Gestión de Mercados en el Proceso de Comecialización</t>
  </si>
  <si>
    <t>ESTEFANIA ROA ANDRADE</t>
  </si>
  <si>
    <t>en Ingles modalidad Virtual</t>
  </si>
  <si>
    <t>SFAIRHA ALEJANDRA MORENO MUÑOZ</t>
  </si>
  <si>
    <t>ALEXA JEURANYE GOMEZ GARCIA</t>
  </si>
  <si>
    <t>fiirmo en otro centro</t>
  </si>
  <si>
    <t>CC 73076493</t>
  </si>
  <si>
    <t>MANUEL JOAQUIN ESQUIVIA CORPAS</t>
  </si>
  <si>
    <t>CC 1051814293</t>
  </si>
  <si>
    <t>HECTOR JOSE CASTELLAR CASTILLO</t>
  </si>
  <si>
    <t>proceso manufactura</t>
  </si>
  <si>
    <t>KELLY DE LA OSSA</t>
  </si>
  <si>
    <t>interprete señas</t>
  </si>
  <si>
    <t>PAOLA VALLEJO</t>
  </si>
  <si>
    <t>CC 72217189</t>
  </si>
  <si>
    <t>LUDWING JAVIER SIMMONDS EVERSTSZ</t>
  </si>
  <si>
    <t>RV: PERFIL SISTEMA INTEGRADO DE GESTIÓN_ PROCESO LOGISTICA</t>
  </si>
  <si>
    <t>CC 1047388318</t>
  </si>
  <si>
    <t>YOLIMA PALOMO OROZCO</t>
  </si>
  <si>
    <t>perfil de Salud para la Vacante de Enfermería</t>
  </si>
  <si>
    <t>cesion</t>
  </si>
  <si>
    <t>acta, anexos,informe, paz y salvo</t>
  </si>
  <si>
    <t>CC 8537537</t>
  </si>
  <si>
    <t>JULIAN ROBERTO BOBB ESLAIT</t>
  </si>
  <si>
    <t>CO1.PCCNTR.2419030</t>
  </si>
  <si>
    <t>logistica</t>
  </si>
  <si>
    <t>no tiene secop</t>
  </si>
  <si>
    <t>perfil</t>
  </si>
  <si>
    <t>No.</t>
  </si>
  <si>
    <t>programa</t>
  </si>
  <si>
    <t>objeto del contrato</t>
  </si>
  <si>
    <t>idoneidad</t>
  </si>
  <si>
    <t>experiencia laboral</t>
  </si>
  <si>
    <t>experiencia docente</t>
  </si>
  <si>
    <t>IMPARTIR FORMACION PROFESIONAL EN EL AREA DE EMPRENDIMIENTO EN LOS DIVERSOS PROGRAMAS DE FORMACION TITULADA PRESENCIAL, VIRTUAL Y/O COMPLEMENTARIA QUE MANEJA EL CENTRO DE COMERCIO Y SERVICIOS DEL SENA REGIONAL ATLANTICO</t>
  </si>
  <si>
    <t>Profesional en Ciencias Administrativas y/o contables</t>
  </si>
  <si>
    <t>Mínimo 18 meses de experiencia laboral en el área de formación motivo de la contratación. (Opción 2): Mínimo 24 meses de los cuales certifique experiencia laboral en el área de formación motivo de la contratación.</t>
  </si>
  <si>
    <t>GESTIONAR PROCESOS PROPIOS DE LA CULTURA EMPRENDEDORA Y EMPRESARIAL DE ACUERDO CON EL PERFIL PERSONAL Y LOS REQUERIMIENTOS DE LOS CONTEXTOS (EMPRENDIMIENTO)</t>
  </si>
  <si>
    <t>Mínimo 6 meses de experiencia docente en el SENA o en instituciones de educación reconocidas por el MEN</t>
  </si>
  <si>
    <t>PRESTAR SERVICIOS PERSONALES DE CARÁCTER TEMPORAL PARA PLANEAR Y ORIENTAR LA FORMACIÓN PROFESIONAL INTEGRAL, EN LOS PROGRAMAS DE LAS REDES DE LOGISTICA , SALUD, COMERCIALIZACIÓN Y SERVICIOS ADMINISTRATIVOS  AREA DE HABILIDADES COMUNICATIVAS  QUE PROGRAME EL CENTRO DE COMERCIO Y SERVICIOS DEL SENA REGIONAL ATLANTICO EN SUS DIFERENTES NIVELES Y MODALIDADES, ATENDIENDO LAS POLÍTICAS INSTITUCIONALES Y LA NORMATIVIDAD VIGENTE</t>
  </si>
  <si>
    <t>PEDAGOGÍA _COMUNICACIÓN</t>
  </si>
  <si>
    <t>Título profesional en los núcleos de conocimiento de Sociología, trabajo social y
afine, o Lenguas modernas, literatura,
lingüística y afines, o Comunicación social,
periodismo y afines, o Educación
Tarjeta Profesional en los Casos Exigidos por la
Ley</t>
  </si>
  <si>
    <t>Mínimo (24) meses de experiencia laboral en el área de formación motivo de la contratación.</t>
  </si>
  <si>
    <t>Mínimo 12 meses de experiencia docente en el SENA o en instituciones de educación reconocidas por el MEN</t>
  </si>
  <si>
    <t>TRASNVERSAL</t>
  </si>
  <si>
    <t>PRESTAR SERVICIOS PERSONALES DE CARÁCTER TEMPORAL PARA PLANEAR Y ORIENTAR LA FORMACIÓN PROFESIONAL INTEGRAL, EN EL AREA DE GESTIÓN DE MERCADOS QUE PROGRAME EL CENTRO DE COMERCIO Y SERVICIOS DEL SENA REGIONAL ATLANTICO EN SUS DIFERENTES NIVELES Y MODALIDADES, ATENDIENDO LAS POLÍTICAS INSTITUCIONALES Y LA NORMATIVIDAD VIGENTE</t>
  </si>
  <si>
    <t>El programa requiere de un equipo de instructores Técnicos, conformado por:_x000D_
Profesional en áreas Administración de empresas, Ingenieriía Industrial,  Contaduría y/o ciencias afines, Mercadeo y Publicidad; Mercadeo, Ingeniería Comercial, Publicidad y Ventas y/o ciencias afines. Tarjeta Profesional en los Casos Exigidos por la Ley</t>
  </si>
  <si>
    <t>Mínimo 24 meses de experiencia laboral en el área de formación motivo de la contratación.</t>
  </si>
  <si>
    <t>PRESTAR SERVICIOS PERSONALES DE CARÁCTER TEMPORAL PARA PLANEAR Y ORIENTAR LA FORMACIÓN PROFESIONAL INTEGRAL, EN EL AREA DE LOGÍSTICA  QUE PROGRAME EL CENTRO DE COMERCIO Y SERVICIOS DEL SENA REGIONAL ATLANTICO EN SUS DIFERENTES NIVELES Y MODALIDADES, ATENDIENDO LAS POLÍTICAS INSTITUCIONALES Y LA NORMATIVIDAD VIGENTE</t>
  </si>
  <si>
    <t>Profesional en áreas relacionadas con los procesos de Compras y suministros, tales como: Ingeniero industrial, ingenieros agroindustrial, ingeneria quimica, ingenieros de alimentos, administradores de empresa y ciencias afines con educación en logística. Tarjeta Profesional en los Casos Exigidos por la Ley</t>
  </si>
  <si>
    <t>VENTAS</t>
  </si>
  <si>
    <t>PRESTAR SERVICIOS PERSONALES DE CARÁCTER TEMPORAL PARA PLANEAR Y ORIENTAR LA FORMACIÓN PROFESIONAL INTEGRAL, EN EL AREA DE VENTAS QUE PROGRAME EL CENTRO DE COMERCIO Y SERVICIOS DEL SENA REGIONAL ATLANTICO EN SUS DIFERENTES NIVELES Y MODALIDADES, ATENDIENDO LAS POLÍTICAS INSTITUCIONALES Y LA NORMATIVIDAD VIGENTE</t>
  </si>
  <si>
    <t>El programa requiere de un equipo de instructores Técnicos, conformado por: Profesional en áreas  mercadeo, publicidad, administración comercial, coordinación y administración de la fuerza de ventas, administración de canales de distribución, Economía, Administración de Empresas, Administración y finanzas, otras Ciencias Económicas y Administrativas, Ingeniería Industrial, Ingeniería Comercial, Ingeniero de Mercados, Comunicación Social y ciencias afines. Tarjeta Profesional en los Casos Exigidos por la Ley</t>
  </si>
  <si>
    <t>PRESTAR SERVICIOS PERSONALES DE CARÁCTER TEMPORAL PARA PLANEAR Y ORIENTAR LA FORMACIÓN PROFESIONAL INTEGRAL, EN EL AREA DE IDIOMAS QUE PROGRAME EL CENTRO DE COMERCIO Y SERVICIOS DEL SENA REGIONAL ATLANTICO EN SUS DIFERENTES NIVELES Y MODALIDADES, ATENDIENDO LAS POLÍTICAS INSTITUCIONALES Y LA NORMATIVIDAD VIGENTE</t>
  </si>
  <si>
    <t>Título de técnico profesional en los núcleos de conocimiento de: Ciencias de la INformación o la Documentación, Bibliotecología, o Archivistica (Opción 2): Título profesional en los núcleos deconocimiento de: Ciencias de la información o la Documentación o Archivistica, Tarjeta Profesional en los Casos Exigidos por la Ley</t>
  </si>
  <si>
    <t>Mínimo (18) meses de experiencia laboral en el área de formación motivo de la contratación. Mínimo (24) meses de experiencia laboral en el área de formación motivo de la contratación.</t>
  </si>
  <si>
    <t>AIPI</t>
  </si>
  <si>
    <t>PRESTAR SERVICIOS PERSONALES DE CARÁCTER TEMPORAL PARA PLANEAR Y ORIENTAR LA FORMACIÓN PROFESIONAL INTEGRAL, EN EL AREA DE  SALUD PUBLICA-ATENCION INTEGRAL PARA LA PRIMERA INFANCIA QUE PROGRAME EL CENTRO DE COMERCIO Y SERVICIOS DEL SENA REGIONAL ATLANTICO EN SUS DIFERENTES NIVELES Y MODALIDADES, ATENDIENDO LAS POLÍTICAS INSTITUCIONALES Y LA NORMATIVIDAD VIGENTE</t>
  </si>
  <si>
    <t>PROFESIONAL EN EL ÁREA DE LA EDUCACIÓN INFANTIL O LICENCIADO EN EDUCACIÓN PREESCOLAR O LICENCIADO EN PEDAGOGÍA INFANTIL O LICENCIADO EN EDUCACIÓN INFANTIL OLICENCIADO EN PRIMERA INFANCIA.</t>
  </si>
  <si>
    <t>no.</t>
  </si>
  <si>
    <t>objeto contractual</t>
  </si>
  <si>
    <t>personas a contratar</t>
  </si>
  <si>
    <t>fechas previstas para la contratacion</t>
  </si>
  <si>
    <t>inicio</t>
  </si>
  <si>
    <t>terminacion</t>
  </si>
  <si>
    <t>costo honorario por mes</t>
  </si>
  <si>
    <t>valor instructor</t>
  </si>
  <si>
    <t>emprendimiento</t>
  </si>
  <si>
    <t xml:space="preserve">valor total </t>
  </si>
  <si>
    <t>gestion de mercados</t>
  </si>
  <si>
    <t>ventas</t>
  </si>
  <si>
    <t>ingles</t>
  </si>
  <si>
    <t>ETICA Y TRANSFORMACION</t>
  </si>
  <si>
    <t xml:space="preserve">IMPARTIR FORMACION PROFESIONAL EN EL AREA DE INTERACCIÓN CONSIGO MISMO, CON LOS DEMÁS, CON LA NATURALEZA Y CON LA TRASCENDENCIAEN LOS DIVERSOS PROGRAMAS DE FORMACION TITULADA PRESENCIAL, VIRTUAL Y/O COMPLEMENTARIA QUE MANEJA EL CENTRO DE COMERCIO Y SERVICIOS DEL SENA REGIONAL ATLANTICO </t>
  </si>
  <si>
    <t>SALUD OCUPACIONAL</t>
  </si>
  <si>
    <t>IMPARTIR FORMACION PROFESIONAL EN EL AREA DESEGURIDAD Y SALUD EN EL TRABAJO EN LOS DIVERSOS PROGRAMAS DE FORMACION TITULADA Y/O COMPLEMENTARIA QUE MANEJA EL CENTRO DE COMERCIO Y SERVICIOS DEL SENA REGIONAL ATLANTICO SEGUIMIENTO A LA FORMACION Y SEGUIMIENTO ETAPA PRODUCTIVA</t>
  </si>
  <si>
    <t>total</t>
  </si>
  <si>
    <t>TIEMPO COMPLETO</t>
  </si>
  <si>
    <t>MEDIO TIEMPO COMPLETO</t>
  </si>
  <si>
    <t>HORAS DE TRABAJO</t>
  </si>
  <si>
    <t>VALOR HORA</t>
  </si>
  <si>
    <t>MES</t>
  </si>
  <si>
    <t>DIAS</t>
  </si>
  <si>
    <t>HONORARIOS</t>
  </si>
  <si>
    <t>HORAS</t>
  </si>
  <si>
    <t>VALOR MES</t>
  </si>
  <si>
    <t>ENERO</t>
  </si>
  <si>
    <t>FEBRERO</t>
  </si>
  <si>
    <t>MARZO</t>
  </si>
  <si>
    <t>ABRIL</t>
  </si>
  <si>
    <t>MAYO</t>
  </si>
  <si>
    <t>JUNIO</t>
  </si>
  <si>
    <t>JULIO</t>
  </si>
  <si>
    <t>AGOSTO</t>
  </si>
  <si>
    <t>SEPTIEMBRE</t>
  </si>
  <si>
    <t>OCTUBRE</t>
  </si>
  <si>
    <t>NOVIEMBRE</t>
  </si>
  <si>
    <t>DICIEMBRE</t>
  </si>
  <si>
    <t>SALUD</t>
  </si>
  <si>
    <t>PENSION</t>
  </si>
  <si>
    <t>ARL</t>
  </si>
  <si>
    <t>IBC*NIVEL%</t>
  </si>
  <si>
    <t>I</t>
  </si>
  <si>
    <t>II</t>
  </si>
  <si>
    <t>III</t>
  </si>
  <si>
    <t>salario minimo</t>
  </si>
  <si>
    <t>*1900000*2</t>
  </si>
  <si>
    <t>codigo bpin</t>
  </si>
  <si>
    <t>Conforme a la solicitud de cesión presentada por Carolina Rico, solicitando autorización para ceder el contrato a Nicollet Smith, se avala la cesión, teniendo en cuenta que la candidata cumple con el perfil establecido por la entidad para la correcta ejecución del objeto y las obligaciones contractuales. Así mismo, se informa que Carolina Rico cumplió a cabalidad con el objeto y las obligaciones propias de su contrato hasta el 31 de marzo de la presente anualidad conforme al informe final anexo, al igual que se encuentra a paz y salvo de almacen e inventario</t>
  </si>
  <si>
    <t>CO1.PCCNTR.2502816</t>
  </si>
  <si>
    <t>marco tulio emprendimiento</t>
  </si>
  <si>
    <t xml:space="preserve">                         </t>
  </si>
  <si>
    <t>sustanciador</t>
  </si>
  <si>
    <t>keydy vergara</t>
  </si>
  <si>
    <t>carmen burbano</t>
  </si>
  <si>
    <t>nini bonet</t>
  </si>
  <si>
    <t>luz sta marta52350</t>
  </si>
  <si>
    <t>luz slarga 6808925</t>
  </si>
  <si>
    <t>gas 47c 1021211</t>
  </si>
  <si>
    <t>gas sta marta 4167127</t>
  </si>
  <si>
    <t>agua sta marta24100</t>
  </si>
  <si>
    <t>Contrato CO1.PCCNTR.2164703 será MODIFICADO después que la Modificación sea Publicada</t>
  </si>
  <si>
    <t>Contrato CO1.PCCNTR.2164515 será MODIFICADO después que la Modificación sea Publicada</t>
  </si>
  <si>
    <t>Contrato CO1.PCCNTR.2164196 será MODIFICADO después que la Modificación sea Publicada</t>
  </si>
  <si>
    <t>Contrato CO1.PCCNTR.2164163 será MODIFICADO después que la Modificación sea Publicada</t>
  </si>
  <si>
    <t>Contrato CO1.PCCNTR.2167229 será MODIFICADO después que la Modificación sea Publicada</t>
  </si>
  <si>
    <t>Contrato CO1.PCCNTR.2164512 será MODIFICADO después que la Modificación sea Publicada</t>
  </si>
  <si>
    <t>Contrato CO1.PCCNTR.2164318 será MODIFICADO después que la Modificación sea Publicada</t>
  </si>
  <si>
    <t>Contrato CO1.PCCNTR.2281811 será MODIFICADO después que la Modificación sea Publicada</t>
  </si>
  <si>
    <t>#contrato</t>
  </si>
  <si>
    <t>Modificación</t>
  </si>
  <si>
    <t>CO1.PCCNTR.2164196</t>
  </si>
  <si>
    <t>Luis Carlos Marriaga</t>
  </si>
  <si>
    <r>
      <t>Adición $</t>
    </r>
    <r>
      <rPr>
        <sz val="8.5"/>
        <color rgb="FF000000"/>
        <rFont val="Arial"/>
        <family val="2"/>
      </rPr>
      <t>1.857.636,00</t>
    </r>
  </si>
  <si>
    <t>Prorroga 15 dias</t>
  </si>
  <si>
    <t>CO1.PCCNTR.2322567</t>
  </si>
  <si>
    <t>marley lechuga mendoza</t>
  </si>
  <si>
    <r>
      <t>Adición $</t>
    </r>
    <r>
      <rPr>
        <sz val="9"/>
        <color rgb="FF000000"/>
        <rFont val="Arial"/>
        <family val="2"/>
      </rPr>
      <t>3.600.000,00</t>
    </r>
  </si>
  <si>
    <t>Prorroga 2 meses</t>
  </si>
  <si>
    <t>CO1.PCCNTR.2164703</t>
  </si>
  <si>
    <r>
      <t>g</t>
    </r>
    <r>
      <rPr>
        <sz val="11"/>
        <color theme="1"/>
        <rFont val="Calibri"/>
        <family val="2"/>
        <scheme val="minor"/>
      </rPr>
      <t>regory nevado lopez</t>
    </r>
  </si>
  <si>
    <t>CO1.PCCNTR.2164318</t>
  </si>
  <si>
    <r>
      <t>s</t>
    </r>
    <r>
      <rPr>
        <sz val="8.5"/>
        <color theme="1"/>
        <rFont val="Calibri"/>
        <family val="2"/>
        <scheme val="minor"/>
      </rPr>
      <t>helly tatis del toro</t>
    </r>
  </si>
  <si>
    <t>CO1.PCCNTR.2164512</t>
  </si>
  <si>
    <r>
      <t>s</t>
    </r>
    <r>
      <rPr>
        <sz val="11"/>
        <color theme="1"/>
        <rFont val="Calibri"/>
        <family val="2"/>
        <scheme val="minor"/>
      </rPr>
      <t>antiago castro zarsa</t>
    </r>
  </si>
  <si>
    <t>polizas</t>
  </si>
  <si>
    <t>FECHA</t>
  </si>
  <si>
    <t>poliza ok</t>
  </si>
  <si>
    <t>jose callejas CO1.PCCNTR.2164515</t>
  </si>
  <si>
    <t>CO1.PCCNTR.2164163 franchesca miranda</t>
  </si>
  <si>
    <t>no subio poliza</t>
  </si>
  <si>
    <t>santiago castro zarsa CO1.PCCNTR.2164512</t>
  </si>
  <si>
    <t>poliz aok</t>
  </si>
  <si>
    <t>CO1.PCCNTR.2281811 ella esperanza gomez</t>
  </si>
  <si>
    <t>marley lechuga  CO1.PCCNTR.2322567</t>
  </si>
  <si>
    <t>CO1.PCCNTR.2186773 luis aguirre</t>
  </si>
  <si>
    <t xml:space="preserve">marlon espinosa CO1.PCCNTR.2186983	</t>
  </si>
  <si>
    <t xml:space="preserve">marianela peñarandaCO1.PCCNTR.2186279	</t>
  </si>
  <si>
    <t>CO1.PCCNTR.2191071 heisel fabregas</t>
  </si>
  <si>
    <t>CO1.PCCNTR.2186921 claudia capdevila</t>
  </si>
  <si>
    <t>CO1.PCCNTR.2188179 ricardo cubillo</t>
  </si>
  <si>
    <t>polizao k</t>
  </si>
  <si>
    <t>CO1.PCCNTR.2186494 soray ortiz</t>
  </si>
  <si>
    <t xml:space="preserve">CO1.PCCNTR.2195708 luz leon </t>
  </si>
  <si>
    <t>1pt+1ck</t>
  </si>
  <si>
    <t>1ck</t>
  </si>
  <si>
    <t xml:space="preserve">1pt </t>
  </si>
  <si>
    <t>Contrato CO1.PCCNTR.2164039 será MODIFICADO después que la Modificación sea Publicada</t>
  </si>
  <si>
    <t>matematicas y fisica</t>
  </si>
  <si>
    <t>PRESTAR SERVICIOS PERSONALES DE CARÁCTER TEMPORAL PARA PLANEAR Y ORIENTAR LA FORMACIÓN PROFESIONAL INTEGRAL, EN LOS PROGRAMAS DE LAS REDES DE LOGISTICA Y TRANSPORTE EN EL AREA DE CIENCIAS NATURALES QUE PROGRAME EL CENTRO DE COMERCIO Y SERVICIOS DEL SENA REGIONAL ATLANTICO EN SUS DIFERENTES NIVELES Y MODALIDADES, ATENDIENDO LAS POLÍTICAS INSTITUCIONALES Y LA NORMATIVIDAD VIGENTE</t>
  </si>
  <si>
    <t>1pt</t>
  </si>
  <si>
    <t>CO1.PCCNTR.2721720 spin off</t>
  </si>
  <si>
    <t>CO1.PCCNTR.2721811 carlos contabilidad</t>
  </si>
  <si>
    <t>CO1.PCCNTR.2721814 guillermo contabilidad</t>
  </si>
  <si>
    <t>CO1.PCCNTR.2721527 guillermo neg intenal</t>
  </si>
  <si>
    <t>CO1.PCCNTR.2721750 alberto etica</t>
  </si>
  <si>
    <t>CO1.PCCNTR.2721751 ivan sst</t>
  </si>
  <si>
    <t>Contrato CO1.PCCNTR.2162330 será SUSPENDIDO después que la Modificación sea Publicada suspension wendy</t>
  </si>
  <si>
    <t xml:space="preserve">Entregar copia de la Licencia Ambiental vigente para el tratamiento, almacenamiento, aprovechamiento o disposición final de residuos peligrosos. </t>
  </si>
  <si>
    <t>En caso que el proveedor realice la gestión de algunos residuos con terceros, deberá entregar las certificaciones de alianzas comerciales y copias de las licencias ambientales respectivas.</t>
  </si>
  <si>
    <t>Entregar copia del permiso de emisiones. Aplica cuando la empresa realiza incineración de los RESPEL.</t>
  </si>
  <si>
    <t>Entregar documento donde certifique que no tiene sanciones ni medidas preventivas abiertas o procesos de ejecución ante las autoridades ambientales.</t>
  </si>
  <si>
    <t>Informe de implementación del Plan Estratégico de Seguridad Vial (PESV) y/o documento macro del PESV (manual o procedimiento) - Res. 1565/2014</t>
  </si>
  <si>
    <t>Entregar copia del radicado del plan de contingencias donde conste la presentación del mismo a la autoridad ambiental.</t>
  </si>
  <si>
    <t>Entregar copia del certificado vigente de calibración de las básculas usadas para el pesaje de los RESPEL</t>
  </si>
  <si>
    <t>Entregar certificados de tratamiento, aprovechamiento o disposición final, máximo 3 meses después de recogidos los residuos, indicando las corrientes de los residuos, fecha, sitio de recolección y las cantidades en kilogramos.</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</si>
  <si>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</si>
  <si>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Presentar soportes del curso básico certificado de 60 horas de los conductores que se designen para transportar los residuos peligrosos.</t>
  </si>
  <si>
    <t>Certificado ARL de implementación del SG-SST y/o certificación firmada por el Representante Legal del resultado y nivel de implementación del SG-SST de acuerdo a la aplicación de estándares mínimos aplicables - Dec. 1072/2015(2.2.4.6.1) y Res 0312-2019</t>
  </si>
  <si>
    <t xml:space="preserve">Presentar certificados de afiliación vigente de Seguridad Social no mayor a 30 días </t>
  </si>
  <si>
    <t xml:space="preserve">Presentar copia de pagos de seguridad social, donde se evidencie la cotización al nivel de riesgo acorde a la actividad desarrollada. </t>
  </si>
  <si>
    <t>decont</t>
  </si>
  <si>
    <t>sac</t>
  </si>
  <si>
    <t>subsanar</t>
  </si>
  <si>
    <t>?</t>
  </si>
  <si>
    <t>03. Agosto</t>
  </si>
  <si>
    <t>2pt+1 ck</t>
  </si>
  <si>
    <t>cocacola-postobon</t>
  </si>
  <si>
    <t>valor honorario x dia</t>
  </si>
  <si>
    <t>reducccion 8 dias julio</t>
  </si>
  <si>
    <t>reduccion 4 dias agosto</t>
  </si>
  <si>
    <t>total 12 dias</t>
  </si>
  <si>
    <t>suspension contrato 2162330 wendy perez suspension desde el 23 julio hasta 04 agosto</t>
  </si>
  <si>
    <t>gabriel empredimiento</t>
  </si>
  <si>
    <t>yajaira reemplaza denis</t>
  </si>
  <si>
    <t>carlos rizzo empredimiento</t>
  </si>
  <si>
    <t>wendy bermudez cesionaria bermeo</t>
  </si>
  <si>
    <t>nely castillo etica</t>
  </si>
  <si>
    <t>katerin romero sicologo senior</t>
  </si>
  <si>
    <t>ganancia 09 agosto</t>
  </si>
  <si>
    <t>inventario cajas 5 PT+3CK</t>
  </si>
  <si>
    <t>jaime vanegas vigilancia</t>
  </si>
  <si>
    <t>marta barraza emprendimiento</t>
  </si>
  <si>
    <t>ornela maury sicologa junior</t>
  </si>
  <si>
    <t>1 pt*21k</t>
  </si>
  <si>
    <t>2 pt*42k+1ck*30.5k</t>
  </si>
  <si>
    <t xml:space="preserve">kevin cabrera Talento Humano- Administrativa Financiera </t>
  </si>
  <si>
    <t>1pt*21k+1ck*30.5k</t>
  </si>
  <si>
    <t>1pt*21k</t>
  </si>
  <si>
    <t>hoteleria</t>
  </si>
  <si>
    <t>sig</t>
  </si>
  <si>
    <t>se envio ep y as a firma sub</t>
  </si>
  <si>
    <t>contabilidad reemplazo oralcy roberto cueto</t>
  </si>
  <si>
    <t>no se hizo contrato,sofia plus tiene vinculacion convenio politecnico</t>
  </si>
  <si>
    <t>1 pt*21k+1ck*30.5k</t>
  </si>
  <si>
    <t>Claro, envia la solicitud Dirigido a: maestriaderechoadtvo.baq@unilibre.edu.co con copia a felipea-herasm@unilibre.edu.co</t>
  </si>
  <si>
    <t>septiembre</t>
  </si>
  <si>
    <t>agosto</t>
  </si>
  <si>
    <t>julio</t>
  </si>
  <si>
    <t>total xa cada uno julio</t>
  </si>
  <si>
    <t>total xa cada uno agosto</t>
  </si>
  <si>
    <t>total xa cada uno septiembre</t>
  </si>
  <si>
    <t>mes</t>
  </si>
  <si>
    <t>cajas</t>
  </si>
  <si>
    <t>pt*$21000</t>
  </si>
  <si>
    <t>5ck+7pt=12 cajas</t>
  </si>
  <si>
    <t>8pt+3ck=11 cajas</t>
  </si>
  <si>
    <t>5pt+4ck=9 cajas</t>
  </si>
  <si>
    <t>yuliet vasquez</t>
  </si>
  <si>
    <t>2pt*42k</t>
  </si>
  <si>
    <t>wiliam angarita y jaqeline de la cruz no acptan adicion</t>
  </si>
  <si>
    <t>jeny duran,said camargo preguntar a jhon adiciones</t>
  </si>
  <si>
    <t>cancelar adicion</t>
  </si>
  <si>
    <t>adso ep</t>
  </si>
  <si>
    <t>TERMINACION PATRICIA</t>
  </si>
  <si>
    <t>REINICIO ESTEFANI</t>
  </si>
  <si>
    <t>contrato nuevo</t>
  </si>
  <si>
    <t>en revision del proveedor</t>
  </si>
  <si>
    <t>adicion acm sennova carrillo</t>
  </si>
  <si>
    <r>
      <rPr>
        <sz val="11"/>
        <color rgb="FF00B050"/>
        <rFont val="Calibri"/>
        <family val="2"/>
        <scheme val="minor"/>
      </rPr>
      <t>rodrigo</t>
    </r>
    <r>
      <rPr>
        <sz val="11"/>
        <color theme="1"/>
        <rFont val="Calibri"/>
        <family val="2"/>
        <scheme val="minor"/>
      </rPr>
      <t>-wendy-ezequiel-estefani martinez-</t>
    </r>
    <r>
      <rPr>
        <sz val="11"/>
        <color rgb="FF00B050"/>
        <rFont val="Calibri"/>
        <family val="2"/>
        <scheme val="minor"/>
      </rPr>
      <t>jaime martinez</t>
    </r>
  </si>
  <si>
    <t>solicitud no pago honorarios-cesion terminacion katerin ortega</t>
  </si>
  <si>
    <t>papeles fredy garcia consuegra gest mercados proc 129</t>
  </si>
  <si>
    <t>adicion ibet cantillo</t>
  </si>
  <si>
    <t>terminacion nasira</t>
  </si>
  <si>
    <t>informe paz salvo- supervision</t>
  </si>
  <si>
    <t>adicion rodrigo castro</t>
  </si>
  <si>
    <t>ok-jhon</t>
  </si>
  <si>
    <t>evaluacion 044 mto ascensores hasta 24 nov 5pm</t>
  </si>
  <si>
    <t>reversar saldo.supervisora ezequiel no le quiere adicionar DICIEMBRE</t>
  </si>
  <si>
    <t>adiciones eccl</t>
  </si>
  <si>
    <t>aprobacion jhon</t>
  </si>
  <si>
    <t>JENNY MARIA DURAN MIRANDA</t>
  </si>
  <si>
    <t>SAID CAMARGO IRAN</t>
  </si>
  <si>
    <t>adso</t>
  </si>
  <si>
    <t>fluejo aprobacion-jeny</t>
  </si>
  <si>
    <t>evaluacion clinica 039</t>
  </si>
  <si>
    <t>fluvial ep evaluador</t>
  </si>
  <si>
    <t>reversion muriel</t>
  </si>
  <si>
    <t>se envio evaluacion final -david</t>
  </si>
  <si>
    <t>adicion arnaldo caro-cristian muñoz</t>
  </si>
  <si>
    <t>estefani adicion hasta 30 dic</t>
  </si>
  <si>
    <t>evaluacion 045 botiquines</t>
  </si>
  <si>
    <t>primer informe-maria jose,subsanar</t>
  </si>
  <si>
    <t>subsanar -david</t>
  </si>
  <si>
    <t>total 29-nov</t>
  </si>
  <si>
    <t>total x2</t>
  </si>
  <si>
    <t>jhon aprobar</t>
  </si>
  <si>
    <t>fecha vigencia poliza malka-guillermo vivas bayona</t>
  </si>
  <si>
    <t>adcion adtivos sennova</t>
  </si>
  <si>
    <t>cto jeny duran aprobacion-jhon. Registro yuleisi</t>
  </si>
  <si>
    <t>proceso 155-jhon cto.registro yuleisi</t>
  </si>
  <si>
    <t>bilinguismo jhon corena-PROC INGLES HOTELERIA</t>
  </si>
  <si>
    <t>bilinguismo ana herazo-ingles hoteleria</t>
  </si>
  <si>
    <t>adicion 4 ctos bienestar</t>
  </si>
  <si>
    <t>poliza</t>
  </si>
  <si>
    <t>otrosi luis fuente</t>
  </si>
  <si>
    <t xml:space="preserve">cambiar flujo aprobacion </t>
  </si>
  <si>
    <t>proveedor</t>
  </si>
  <si>
    <t>iniciar</t>
  </si>
  <si>
    <t>sauda abed edurdo</t>
  </si>
  <si>
    <r>
      <t>1. Se encontraba en Reserva y realizo un pago, Sin embargo, quedo un saldo de </t>
    </r>
    <r>
      <rPr>
        <b/>
        <sz val="12"/>
        <color rgb="FF000000"/>
        <rFont val="Calibri"/>
        <family val="2"/>
        <scheme val="minor"/>
      </rPr>
      <t>$ 120.236,00.</t>
    </r>
    <r>
      <rPr>
        <sz val="12"/>
        <color rgb="FF000000"/>
        <rFont val="Calibri"/>
        <family val="2"/>
        <scheme val="minor"/>
      </rPr>
      <t> El cual consideraría que se debería liquidar.</t>
    </r>
  </si>
  <si>
    <t>consultasjhon22</t>
  </si>
  <si>
    <t>12160102Ma$</t>
  </si>
  <si>
    <t>Resolución 1979 de 2012 “Manual de contratación de Instructores” así como lo dispuesto en la Circular 160 y 209 de 2021</t>
  </si>
  <si>
    <t>cambiar flujo aprobacion jhon</t>
  </si>
  <si>
    <t>2pt*42k+2ck*61k</t>
  </si>
  <si>
    <t>ep comercializacion</t>
  </si>
  <si>
    <t>ep ava</t>
  </si>
  <si>
    <t>3pt*63+1ck*30.5k</t>
  </si>
  <si>
    <t>Elizabeth_vanegas_56 Nico09280*</t>
  </si>
  <si>
    <t>2 Pt+2 ck</t>
  </si>
  <si>
    <t>total dic</t>
  </si>
  <si>
    <t>1 pt+1ck+1 pony</t>
  </si>
  <si>
    <t>Pony 18500</t>
  </si>
  <si>
    <t>1 pt</t>
  </si>
  <si>
    <t>1 pt+1ck*21k+1 pony</t>
  </si>
  <si>
    <t>ck*$21000</t>
  </si>
  <si>
    <t>total/2</t>
  </si>
  <si>
    <t>1 pt+1 ck*21k carmen</t>
  </si>
  <si>
    <t>octubre</t>
  </si>
  <si>
    <t>noviembre</t>
  </si>
  <si>
    <t>diciembre</t>
  </si>
  <si>
    <t>equipo</t>
  </si>
  <si>
    <t>1ck *21k</t>
  </si>
  <si>
    <t>se entrega 1 pt*21k</t>
  </si>
  <si>
    <t>Notificación Personal de la Resolución No. 8-02762 de 28 de junio de 2022</t>
  </si>
  <si>
    <t>Respetado Proponente,
Reciban un cordial saludo,
Por medio de la presente nos permitimos a través de este medio electrónico, realizar la notificación personal de la Resolución No. 8-05363 de 02 noviembre de 2022 “Por medio de la cual se declara desierto el proceso de Mínima Cuantía MC-ATL-CC-0033-2022”, lo anterior de conformidad con lo establecido en el artículo 67 de la ley 1437 de 2011 y así mismo conforme a las disposiciones establecidas por Colombia Compra Eficiente respecto al uso del SECOP II, donde las actuaciones concernientes a los procesos de contratación son realizadas desde y hacia la plataforma.
 En este sentido, se hace entrega de la copia íntegra del Acto administrativo, igualmente se indica que contra la referida Resolución procede recurso de reposición ante la dirección de la Regional Atlántico, disponiendo de un término de diez (10) días hábiles contados a partir del día siguiente a la notificación electrónica que realiza la entidad a través de la plataforma SECOP II, es decir hasta el 18 de noviembre de 2022.
Así mismo, se informa que es posible renunciar a los términos de ejecutoria de la presente resolución a través de mensaje dirigido a la subdirectora del centro de comercio y servicios Regional Atlántico, a través del SECOP II, manifestando en dicho mensaje, su deseo de desistir a presentar recursos por encontrarse de acuerdo con lo establecido en la Resolución. Frente al particular, renunciar a los términos de ejecutoria del Acto Administrativo que declara desierto el proceso, significa la aceptación incondicional del contenido y decisión adoptada, produciendo la firmeza del acto desde el día siguiente a su presentación, lo cual le permitirá a la entidad publicar nuevamente el proceso.
Lo anterior encuentra sustento en el artículo 87 de la ley 1437 de 2011, Los actos administrativos quedarán en firme:
(…) 4. Desde el día siguiente al de la notificación de la aceptación del desistimiento de los recursos (…).
Se adjunta copia íntegra de la Resolución No. 8- 05363 de 02 de noviembre de 2022 “Por medio de la cual se declara desierto el proceso de Mínima Cuantía MC-ATL-CCS-0033-2022”,</t>
  </si>
  <si>
    <t>Edición</t>
  </si>
  <si>
    <t>Sede</t>
  </si>
  <si>
    <t>Campeón</t>
  </si>
  <si>
    <t>Final_x000D_
Resultado</t>
  </si>
  <si>
    <t>Subcampeón</t>
  </si>
  <si>
    <t>Column7</t>
  </si>
  <si>
    <t>Tercer lugar</t>
  </si>
  <si>
    <t>Resultado</t>
  </si>
  <si>
    <t>Cuarto lugar</t>
  </si>
  <si>
    <t>N.º. de selecciones</t>
  </si>
  <si>
    <t>Uruguay</t>
  </si>
  <si>
    <t>4:2</t>
  </si>
  <si>
    <t>Argentina</t>
  </si>
  <si>
    <t>Estados Unidos</t>
  </si>
  <si>
    <t>n.r.​</t>
  </si>
  <si>
    <t>Yugoslavia</t>
  </si>
  <si>
    <t>13</t>
  </si>
  <si>
    <t>Italia</t>
  </si>
  <si>
    <t>2:1​</t>
  </si>
  <si>
    <t>Checoslovaquia</t>
  </si>
  <si>
    <t>Alemania</t>
  </si>
  <si>
    <t>3:2</t>
  </si>
  <si>
    <t>Austria</t>
  </si>
  <si>
    <t>16</t>
  </si>
  <si>
    <t>Francia</t>
  </si>
  <si>
    <t>Hungría</t>
  </si>
  <si>
    <t>Brasil</t>
  </si>
  <si>
    <t>Suecia</t>
  </si>
  <si>
    <t>15</t>
  </si>
  <si>
    <t>—</t>
  </si>
  <si>
    <t>No celebrada por la Segunda Guerra Mundial.​</t>
  </si>
  <si>
    <t>3:1​</t>
  </si>
  <si>
    <t>España</t>
  </si>
  <si>
    <t>Suiza</t>
  </si>
  <si>
    <t>Alemania Federal</t>
  </si>
  <si>
    <t>3:1</t>
  </si>
  <si>
    <t>5:2</t>
  </si>
  <si>
    <t>6:3</t>
  </si>
  <si>
    <t>Chile</t>
  </si>
  <si>
    <t>1:0</t>
  </si>
  <si>
    <t>Inglaterra</t>
  </si>
  <si>
    <t>4:2​</t>
  </si>
  <si>
    <t>Portugal</t>
  </si>
  <si>
    <t>2:1</t>
  </si>
  <si>
    <t>Unión Soviética</t>
  </si>
  <si>
    <t>México</t>
  </si>
  <si>
    <t>4:1</t>
  </si>
  <si>
    <t>Países Bajos</t>
  </si>
  <si>
    <t>Polonia</t>
  </si>
  <si>
    <t>24</t>
  </si>
  <si>
    <t>Bélgica</t>
  </si>
  <si>
    <t>0:0​_x000D_
3:2 penales</t>
  </si>
  <si>
    <t>4:0</t>
  </si>
  <si>
    <t>Bulgaria</t>
  </si>
  <si>
    <t>3:0</t>
  </si>
  <si>
    <t>Croacia</t>
  </si>
  <si>
    <t>32</t>
  </si>
  <si>
    <t>Corea del Sur y Japón</t>
  </si>
  <si>
    <t>2:0</t>
  </si>
  <si>
    <t>Turquía</t>
  </si>
  <si>
    <t>Corea del Sur</t>
  </si>
  <si>
    <t>1:1​_x000D_
5:3 penales</t>
  </si>
  <si>
    <t>Sudáfrica</t>
  </si>
  <si>
    <t>1:0​</t>
  </si>
  <si>
    <t>Rusia</t>
  </si>
  <si>
    <t>Catar</t>
  </si>
  <si>
    <t>Por disputarse</t>
  </si>
  <si>
    <t>Canadá, Estados Unidos y México</t>
  </si>
  <si>
    <t>48</t>
  </si>
  <si>
    <t>valor inicial</t>
  </si>
  <si>
    <t>valor pagado</t>
  </si>
  <si>
    <t>saldo a liberar</t>
  </si>
  <si>
    <t>Partido y/o Coalición</t>
  </si>
  <si>
    <t>Partido y/o Coalición2</t>
  </si>
  <si>
    <t>Partido y/o Coalición3</t>
  </si>
  <si>
    <t>Fórmula presidencial</t>
  </si>
  <si>
    <t>Fórmula presidencial2</t>
  </si>
  <si>
    <t>Cargos públicos</t>
  </si>
  <si>
    <t>Fórmula vicepresidencial</t>
  </si>
  <si>
    <t>Fórmula vicepresidencial2</t>
  </si>
  <si>
    <t>Cargos públicos2</t>
  </si>
  <si>
    <t/>
  </si>
  <si>
    <t>Liga de Gobernantes Anticorrupción_x000D_
Lema: Rodolfo Presidente</t>
  </si>
  <si>
    <t>Rodolfo Hernández(77 años)_x000D_
Ingeniero civil</t>
  </si>
  <si>
    <t>[List]</t>
  </si>
  <si>
    <t>Marelen Castillo(53 años)_x000D_
Licenciada en Biología y Química_x000D_
Ph.D. en Educación</t>
  </si>
  <si>
    <t>Colombia Justa Libres_x000D_
Lema: John Milton Presidente va</t>
  </si>
  <si>
    <t>John Milton Rodríguez_x000D_
(52 años)Ingeniero industrial y pastor cristiano</t>
  </si>
  <si>
    <t>Sandra de las Lajas Torres_x000D_
(52 años)Etnobiologa, profesional en finanzas y negocios internacionales</t>
  </si>
  <si>
    <t>Coalición Equipo por Colombia_x000D_
Lema: El Presidente de la Gente</t>
  </si>
  <si>
    <t>Federico Gutiérrez(47 años)_x000D_
Ingeniero civil</t>
  </si>
  <si>
    <t>Rodrigo Lara Sánchez(51 años)_x000D_
Médico_x000D_
y Cirujano Torácico</t>
  </si>
  <si>
    <t>Coalición Centro Esperanza_x000D_
Lema: Este es el momento</t>
  </si>
  <si>
    <t>Sergio Fajardo(65 años)_x000D_
Matemático, máster y Ph.D. en Matemáticas</t>
  </si>
  <si>
    <t>Gilberto Murillo(55 años)_x000D_
Ingeniero de Minas Magíster en Ciencias de la Ingeniería</t>
  </si>
  <si>
    <t>Movimiento de Salvación Nacional_x000D_
Lema: ¡Salvemos a Colombia!</t>
  </si>
  <si>
    <t>Enrique Gómez_x000D_
(53 años)_x000D_
Abogado_x000D_
Economista</t>
  </si>
  <si>
    <t>Carlos Cuartas_x000D_
(53 años)_x000D_
Administrador de Negocios_x000D_
M.B.A.</t>
  </si>
  <si>
    <t>Coalición Pacto Histórico_x000D_
Lema: Cambio por la vida</t>
  </si>
  <si>
    <t>Gustavo Petro(62 años)_x000D_
Economista</t>
  </si>
  <si>
    <t>Francia Márquez(40 años)_x000D_
Abogada</t>
  </si>
  <si>
    <t>Column1</t>
  </si>
  <si>
    <t>Candidato presidencial</t>
  </si>
  <si>
    <t>Candidato vicepresidencial</t>
  </si>
  <si>
    <t>Partido o Movimiento</t>
  </si>
  <si>
    <t>Votos</t>
  </si>
  <si>
    <t>Porcentaje</t>
  </si>
  <si>
    <t>Gustavo Petro</t>
  </si>
  <si>
    <t>Francia Márquez</t>
  </si>
  <si>
    <t>Pacto Histórico</t>
  </si>
  <si>
    <t>11 291 986</t>
  </si>
  <si>
    <t>50.44 %</t>
  </si>
  <si>
    <t>Rodolfo Hernández</t>
  </si>
  <si>
    <t>Marelen Castillo</t>
  </si>
  <si>
    <t>Liga de Gobernantes Anticorrupción</t>
  </si>
  <si>
    <t>10 604 337</t>
  </si>
  <si>
    <t>47.31 %</t>
  </si>
  <si>
    <t>Votos en blanco</t>
  </si>
  <si>
    <t>500 043</t>
  </si>
  <si>
    <t>2.24 %</t>
  </si>
  <si>
    <t>Votos nulos</t>
  </si>
  <si>
    <t>270 085</t>
  </si>
  <si>
    <t>Tarjetones no marcados</t>
  </si>
  <si>
    <t>21 459</t>
  </si>
  <si>
    <t>Total</t>
  </si>
  <si>
    <t>22687 910</t>
  </si>
  <si>
    <t>Registrados/ Participación</t>
  </si>
  <si>
    <t>39 002 239</t>
  </si>
  <si>
    <t>58.17 %</t>
  </si>
  <si>
    <t>Fuente: Preconteo[89]​, Escrutinio[6]​</t>
  </si>
  <si>
    <t>Departamento</t>
  </si>
  <si>
    <t>Petro Márquez Votos</t>
  </si>
  <si>
    <t>Petro Márquez %</t>
  </si>
  <si>
    <t>Hernández Castillo Votos</t>
  </si>
  <si>
    <t>Hernández Castillo %</t>
  </si>
  <si>
    <t>En Blanco Votos</t>
  </si>
  <si>
    <t>En Blanco %</t>
  </si>
  <si>
    <t>Nulos Votos</t>
  </si>
  <si>
    <t>No marcados Votos</t>
  </si>
  <si>
    <t>Total Votos</t>
  </si>
  <si>
    <t>Total %</t>
  </si>
  <si>
    <t>Petro</t>
  </si>
  <si>
    <t>Hernández</t>
  </si>
  <si>
    <t>En Blanco</t>
  </si>
  <si>
    <t>Nulos</t>
  </si>
  <si>
    <t>No marcados</t>
  </si>
  <si>
    <t>Márquez</t>
  </si>
  <si>
    <t>Castillo</t>
  </si>
  <si>
    <t>%</t>
  </si>
  <si>
    <t>Amazonas</t>
  </si>
  <si>
    <t>12 883</t>
  </si>
  <si>
    <t>54,61</t>
  </si>
  <si>
    <t>10 250</t>
  </si>
  <si>
    <t>43,45</t>
  </si>
  <si>
    <t>456</t>
  </si>
  <si>
    <t>1,93</t>
  </si>
  <si>
    <t>214</t>
  </si>
  <si>
    <t>23 851</t>
  </si>
  <si>
    <t>46,24</t>
  </si>
  <si>
    <t>Antioquia</t>
  </si>
  <si>
    <t>942 005</t>
  </si>
  <si>
    <t>33,04</t>
  </si>
  <si>
    <t>1 822 700</t>
  </si>
  <si>
    <t>63,93</t>
  </si>
  <si>
    <t>86 367</t>
  </si>
  <si>
    <t>3,02</t>
  </si>
  <si>
    <t>42 431</t>
  </si>
  <si>
    <t>4 246</t>
  </si>
  <si>
    <t>2 897 749</t>
  </si>
  <si>
    <t>56,65</t>
  </si>
  <si>
    <t>Arauca</t>
  </si>
  <si>
    <t>32 082</t>
  </si>
  <si>
    <t>30,96</t>
  </si>
  <si>
    <t>69 473</t>
  </si>
  <si>
    <t>67,06</t>
  </si>
  <si>
    <t>2 041</t>
  </si>
  <si>
    <t>1,97</t>
  </si>
  <si>
    <t>1 138</t>
  </si>
  <si>
    <t>132</t>
  </si>
  <si>
    <t>104 866</t>
  </si>
  <si>
    <t>49,82</t>
  </si>
  <si>
    <t>Atlántico</t>
  </si>
  <si>
    <t>672 832</t>
  </si>
  <si>
    <t>314 551</t>
  </si>
  <si>
    <t>31,35</t>
  </si>
  <si>
    <t>15 915</t>
  </si>
  <si>
    <t>1,58</t>
  </si>
  <si>
    <t>5 362</t>
  </si>
  <si>
    <t>764</t>
  </si>
  <si>
    <t>1 009 424</t>
  </si>
  <si>
    <t>50,06</t>
  </si>
  <si>
    <t>Bogotá</t>
  </si>
  <si>
    <t>2 253 997</t>
  </si>
  <si>
    <t>58,59</t>
  </si>
  <si>
    <t>1 480 198</t>
  </si>
  <si>
    <t>38,48</t>
  </si>
  <si>
    <t>112 293</t>
  </si>
  <si>
    <t>2,91</t>
  </si>
  <si>
    <t>39 436</t>
  </si>
  <si>
    <t>1 421</t>
  </si>
  <si>
    <t>3 887 345</t>
  </si>
  <si>
    <t>65,49</t>
  </si>
  <si>
    <t>Bolívar</t>
  </si>
  <si>
    <t>493 041</t>
  </si>
  <si>
    <t>60,88</t>
  </si>
  <si>
    <t>301 952</t>
  </si>
  <si>
    <t>37,28</t>
  </si>
  <si>
    <t>14 758</t>
  </si>
  <si>
    <t>1,82</t>
  </si>
  <si>
    <t>4 749</t>
  </si>
  <si>
    <t>1 121</t>
  </si>
  <si>
    <t>815 621</t>
  </si>
  <si>
    <t>48,20</t>
  </si>
  <si>
    <t>Boyacá</t>
  </si>
  <si>
    <t>264 270</t>
  </si>
  <si>
    <t>40,29</t>
  </si>
  <si>
    <t>378 899</t>
  </si>
  <si>
    <t>57,76</t>
  </si>
  <si>
    <t>12 718</t>
  </si>
  <si>
    <t>7 934</t>
  </si>
  <si>
    <t>635</t>
  </si>
  <si>
    <t>664 456</t>
  </si>
  <si>
    <t>66,68</t>
  </si>
  <si>
    <t>Caldas</t>
  </si>
  <si>
    <t>187 346</t>
  </si>
  <si>
    <t>39,81</t>
  </si>
  <si>
    <t>267 988</t>
  </si>
  <si>
    <t>59,64</t>
  </si>
  <si>
    <t>15 170</t>
  </si>
  <si>
    <t>3,22</t>
  </si>
  <si>
    <t>12 135</t>
  </si>
  <si>
    <t>1 156</t>
  </si>
  <si>
    <t>483 795</t>
  </si>
  <si>
    <t>Caquetá</t>
  </si>
  <si>
    <t>72 816</t>
  </si>
  <si>
    <t>43,78</t>
  </si>
  <si>
    <t>88 922</t>
  </si>
  <si>
    <t>53,46</t>
  </si>
  <si>
    <t>4 578</t>
  </si>
  <si>
    <t>2,75</t>
  </si>
  <si>
    <t>2 266</t>
  </si>
  <si>
    <t>329</t>
  </si>
  <si>
    <t>168 911</t>
  </si>
  <si>
    <t>54,60</t>
  </si>
  <si>
    <t>Casanare</t>
  </si>
  <si>
    <t>57 331</t>
  </si>
  <si>
    <t>28,01</t>
  </si>
  <si>
    <t>143 796</t>
  </si>
  <si>
    <t>70,26</t>
  </si>
  <si>
    <t>3 534</t>
  </si>
  <si>
    <t>1,72</t>
  </si>
  <si>
    <t>2 542</t>
  </si>
  <si>
    <t>213</t>
  </si>
  <si>
    <t>207 416</t>
  </si>
  <si>
    <t>68,02</t>
  </si>
  <si>
    <t>Cauca</t>
  </si>
  <si>
    <t>515 074</t>
  </si>
  <si>
    <t>79,02</t>
  </si>
  <si>
    <t>122 693</t>
  </si>
  <si>
    <t>18,82</t>
  </si>
  <si>
    <t>13 994</t>
  </si>
  <si>
    <t>2,14</t>
  </si>
  <si>
    <t>12 755</t>
  </si>
  <si>
    <t>1 550</t>
  </si>
  <si>
    <t>666 066</t>
  </si>
  <si>
    <t>65,07</t>
  </si>
  <si>
    <t>Cesar</t>
  </si>
  <si>
    <t>250 499</t>
  </si>
  <si>
    <t>53,00</t>
  </si>
  <si>
    <t>215 080</t>
  </si>
  <si>
    <t>45,51</t>
  </si>
  <si>
    <t>7 011</t>
  </si>
  <si>
    <t>1,48</t>
  </si>
  <si>
    <t>5 304</t>
  </si>
  <si>
    <t>372</t>
  </si>
  <si>
    <t>478 266</t>
  </si>
  <si>
    <t>54,95</t>
  </si>
  <si>
    <t>Chocó</t>
  </si>
  <si>
    <t>127 846</t>
  </si>
  <si>
    <t>81,94</t>
  </si>
  <si>
    <t>25 736</t>
  </si>
  <si>
    <t>16,49</t>
  </si>
  <si>
    <t>2 440</t>
  </si>
  <si>
    <t>1,56</t>
  </si>
  <si>
    <t>2 711</t>
  </si>
  <si>
    <t>627</t>
  </si>
  <si>
    <t>159 360</t>
  </si>
  <si>
    <t>47,83</t>
  </si>
  <si>
    <t>Consulados</t>
  </si>
  <si>
    <t>114 610</t>
  </si>
  <si>
    <t>37,52</t>
  </si>
  <si>
    <t>185 557</t>
  </si>
  <si>
    <t>60,75</t>
  </si>
  <si>
    <t>5 209</t>
  </si>
  <si>
    <t>578</t>
  </si>
  <si>
    <t>47</t>
  </si>
  <si>
    <t>306 061</t>
  </si>
  <si>
    <t>31,46</t>
  </si>
  <si>
    <t>Córdoba</t>
  </si>
  <si>
    <t>437 016</t>
  </si>
  <si>
    <t>61,08</t>
  </si>
  <si>
    <t>266 999</t>
  </si>
  <si>
    <t>37,31</t>
  </si>
  <si>
    <t>11 422</t>
  </si>
  <si>
    <t>1,59</t>
  </si>
  <si>
    <t>5 750</t>
  </si>
  <si>
    <t>850</t>
  </si>
  <si>
    <t>722 037</t>
  </si>
  <si>
    <t>54,70</t>
  </si>
  <si>
    <t>Cundinamarca</t>
  </si>
  <si>
    <t>624 965</t>
  </si>
  <si>
    <t>44,16</t>
  </si>
  <si>
    <t>756 454</t>
  </si>
  <si>
    <t>53,45</t>
  </si>
  <si>
    <t>33 608</t>
  </si>
  <si>
    <t>2,37</t>
  </si>
  <si>
    <t>22 400</t>
  </si>
  <si>
    <t>959</t>
  </si>
  <si>
    <t>1 438 386</t>
  </si>
  <si>
    <t>67,68</t>
  </si>
  <si>
    <t>Guainía</t>
  </si>
  <si>
    <t>6 536</t>
  </si>
  <si>
    <t>52,51</t>
  </si>
  <si>
    <t>5 716</t>
  </si>
  <si>
    <t>45,92</t>
  </si>
  <si>
    <t>195</t>
  </si>
  <si>
    <t>100</t>
  </si>
  <si>
    <t>12 571</t>
  </si>
  <si>
    <t>39,06</t>
  </si>
  <si>
    <t>Guaviare</t>
  </si>
  <si>
    <t>14 708</t>
  </si>
  <si>
    <t>44,15</t>
  </si>
  <si>
    <t>17 601</t>
  </si>
  <si>
    <t>52,84</t>
  </si>
  <si>
    <t>1 000</t>
  </si>
  <si>
    <t>3,00</t>
  </si>
  <si>
    <t>588</t>
  </si>
  <si>
    <t>197</t>
  </si>
  <si>
    <t>34 094</t>
  </si>
  <si>
    <t>52,85</t>
  </si>
  <si>
    <t>Huila</t>
  </si>
  <si>
    <t>216 533</t>
  </si>
  <si>
    <t>40,65</t>
  </si>
  <si>
    <t>305 799</t>
  </si>
  <si>
    <t>57,41</t>
  </si>
  <si>
    <t>10 318</t>
  </si>
  <si>
    <t>6 674</t>
  </si>
  <si>
    <t>489</t>
  </si>
  <si>
    <t>589 813</t>
  </si>
  <si>
    <t>61,13</t>
  </si>
  <si>
    <t>La Guajira</t>
  </si>
  <si>
    <t>162 849</t>
  </si>
  <si>
    <t>64,56</t>
  </si>
  <si>
    <t>85 101</t>
  </si>
  <si>
    <t>33,73</t>
  </si>
  <si>
    <t>4 284</t>
  </si>
  <si>
    <t>1,69</t>
  </si>
  <si>
    <t>3 027</t>
  </si>
  <si>
    <t>313</t>
  </si>
  <si>
    <t>255 574</t>
  </si>
  <si>
    <t>39,58</t>
  </si>
  <si>
    <t>Magdalena</t>
  </si>
  <si>
    <t>302 439</t>
  </si>
  <si>
    <t>60,22</t>
  </si>
  <si>
    <t>191 500</t>
  </si>
  <si>
    <t>38,13</t>
  </si>
  <si>
    <t>8 262</t>
  </si>
  <si>
    <t>1,64</t>
  </si>
  <si>
    <t>4 401</t>
  </si>
  <si>
    <t>386</t>
  </si>
  <si>
    <t>506 988</t>
  </si>
  <si>
    <t>49,47</t>
  </si>
  <si>
    <t>Meta</t>
  </si>
  <si>
    <t>180 923</t>
  </si>
  <si>
    <t>36,34</t>
  </si>
  <si>
    <t>307 137</t>
  </si>
  <si>
    <t>61,69</t>
  </si>
  <si>
    <t>9 770</t>
  </si>
  <si>
    <t>1,96</t>
  </si>
  <si>
    <t>7 300</t>
  </si>
  <si>
    <t>420</t>
  </si>
  <si>
    <t>505 550</t>
  </si>
  <si>
    <t>64,18</t>
  </si>
  <si>
    <t>Nariño</t>
  </si>
  <si>
    <t>592 170</t>
  </si>
  <si>
    <t>80,91</t>
  </si>
  <si>
    <t>126 198</t>
  </si>
  <si>
    <t>17,24</t>
  </si>
  <si>
    <t>13 490</t>
  </si>
  <si>
    <t>1,84</t>
  </si>
  <si>
    <t>10 035</t>
  </si>
  <si>
    <t>1 120</t>
  </si>
  <si>
    <t>743 013</t>
  </si>
  <si>
    <t>63,07</t>
  </si>
  <si>
    <t>Norte de Santander</t>
  </si>
  <si>
    <t>149 413</t>
  </si>
  <si>
    <t>20,86</t>
  </si>
  <si>
    <t>557 406</t>
  </si>
  <si>
    <t>77,84</t>
  </si>
  <si>
    <t>9 223</t>
  </si>
  <si>
    <t>1,28</t>
  </si>
  <si>
    <t>5 264</t>
  </si>
  <si>
    <t>599</t>
  </si>
  <si>
    <t>721 905</t>
  </si>
  <si>
    <t>55,68</t>
  </si>
  <si>
    <t>Putumayo</t>
  </si>
  <si>
    <t>110 118</t>
  </si>
  <si>
    <t>79,67</t>
  </si>
  <si>
    <t>25 549</t>
  </si>
  <si>
    <t>18,48</t>
  </si>
  <si>
    <t>2 534</t>
  </si>
  <si>
    <t>1,83</t>
  </si>
  <si>
    <t>1 692</t>
  </si>
  <si>
    <t>211</t>
  </si>
  <si>
    <t>140 104</t>
  </si>
  <si>
    <t>57,63</t>
  </si>
  <si>
    <t>Quindío</t>
  </si>
  <si>
    <t>113 537</t>
  </si>
  <si>
    <t>41,50</t>
  </si>
  <si>
    <t>151 653</t>
  </si>
  <si>
    <t>55,44</t>
  </si>
  <si>
    <t>8 341</t>
  </si>
  <si>
    <t>3,04</t>
  </si>
  <si>
    <t>5 803</t>
  </si>
  <si>
    <t>387</t>
  </si>
  <si>
    <t>279 721</t>
  </si>
  <si>
    <t>57,07</t>
  </si>
  <si>
    <t>Risaralda</t>
  </si>
  <si>
    <t>216 227</t>
  </si>
  <si>
    <t>46,16</t>
  </si>
  <si>
    <t>238 963</t>
  </si>
  <si>
    <t>51,01</t>
  </si>
  <si>
    <t>13 188</t>
  </si>
  <si>
    <t>2,81</t>
  </si>
  <si>
    <t>9 716</t>
  </si>
  <si>
    <t>908</t>
  </si>
  <si>
    <t>479 002</t>
  </si>
  <si>
    <t>San Andrés</t>
  </si>
  <si>
    <t>8 545</t>
  </si>
  <si>
    <t>51,31</t>
  </si>
  <si>
    <t>7 449</t>
  </si>
  <si>
    <t>44,73</t>
  </si>
  <si>
    <t>659</t>
  </si>
  <si>
    <t>3,95</t>
  </si>
  <si>
    <t>102</t>
  </si>
  <si>
    <t>16 771</t>
  </si>
  <si>
    <t>32,51</t>
  </si>
  <si>
    <t>Santander</t>
  </si>
  <si>
    <t>310 240</t>
  </si>
  <si>
    <t>25,97</t>
  </si>
  <si>
    <t>871 291</t>
  </si>
  <si>
    <t>72,95</t>
  </si>
  <si>
    <t>12 802</t>
  </si>
  <si>
    <t>1,07</t>
  </si>
  <si>
    <t>6 681</t>
  </si>
  <si>
    <t>592</t>
  </si>
  <si>
    <t>1 201 606</t>
  </si>
  <si>
    <t>67,65</t>
  </si>
  <si>
    <t>Sucre</t>
  </si>
  <si>
    <t>262 135</t>
  </si>
  <si>
    <t>64,07</t>
  </si>
  <si>
    <t>140 507</t>
  </si>
  <si>
    <t>34,34</t>
  </si>
  <si>
    <t>6 485</t>
  </si>
  <si>
    <t>3 422</t>
  </si>
  <si>
    <t>545</t>
  </si>
  <si>
    <t>413 094</t>
  </si>
  <si>
    <t>56,56</t>
  </si>
  <si>
    <t>Tolima</t>
  </si>
  <si>
    <t>251 710</t>
  </si>
  <si>
    <t>38,53</t>
  </si>
  <si>
    <t>388 640</t>
  </si>
  <si>
    <t>59,49</t>
  </si>
  <si>
    <t>12 832</t>
  </si>
  <si>
    <t>9 674</t>
  </si>
  <si>
    <t>806</t>
  </si>
  <si>
    <t>663 662</t>
  </si>
  <si>
    <t>59,24</t>
  </si>
  <si>
    <t>Valle del Cauca</t>
  </si>
  <si>
    <t>1 310 236</t>
  </si>
  <si>
    <t>63,85</t>
  </si>
  <si>
    <t>695 059</t>
  </si>
  <si>
    <t>33,87</t>
  </si>
  <si>
    <t>46 605</t>
  </si>
  <si>
    <t>2,27</t>
  </si>
  <si>
    <t>29 278</t>
  </si>
  <si>
    <t>2 080</t>
  </si>
  <si>
    <t>2 083 258</t>
  </si>
  <si>
    <t>56,68</t>
  </si>
  <si>
    <t>Vaupés</t>
  </si>
  <si>
    <t>6 647</t>
  </si>
  <si>
    <t>74,03</t>
  </si>
  <si>
    <t>2 148</t>
  </si>
  <si>
    <t>24,66</t>
  </si>
  <si>
    <t>113</t>
  </si>
  <si>
    <t>1,29</t>
  </si>
  <si>
    <t>42</t>
  </si>
  <si>
    <t>12</t>
  </si>
  <si>
    <t>8 762</t>
  </si>
  <si>
    <t>37,37</t>
  </si>
  <si>
    <t>Vichada</t>
  </si>
  <si>
    <t>7 634</t>
  </si>
  <si>
    <t>39,36</t>
  </si>
  <si>
    <t>11 447</t>
  </si>
  <si>
    <t>59,02</t>
  </si>
  <si>
    <t>312</t>
  </si>
  <si>
    <t>1,60</t>
  </si>
  <si>
    <t>163</t>
  </si>
  <si>
    <t>40</t>
  </si>
  <si>
    <t>19 596</t>
  </si>
  <si>
    <t>37,03</t>
  </si>
  <si>
    <t>Fuente: Registraduría​</t>
  </si>
  <si>
    <t>Alianza</t>
  </si>
  <si>
    <t>Alianza2</t>
  </si>
  <si>
    <t>Candidato/a[28]​</t>
  </si>
  <si>
    <t>Candidato/a[28]​2</t>
  </si>
  <si>
    <t>Candidato/a[28]​3</t>
  </si>
  <si>
    <t>Votos[29]​</t>
  </si>
  <si>
    <t>Estatus</t>
  </si>
  <si>
    <t>Candidato/a​</t>
  </si>
  <si>
    <t>Votos​</t>
  </si>
  <si>
    <t>Pacto Histórico por Colombia</t>
  </si>
  <si>
    <t>Colombia Humana</t>
  </si>
  <si>
    <t>4 495 831</t>
  </si>
  <si>
    <t>80.50%</t>
  </si>
  <si>
    <t>Electo</t>
  </si>
  <si>
    <t>Unión Patriótica</t>
  </si>
  <si>
    <t>Polo Democrático Alternativo</t>
  </si>
  <si>
    <t>785 215</t>
  </si>
  <si>
    <t>14.05%</t>
  </si>
  <si>
    <t>Segundo lugar</t>
  </si>
  <si>
    <t>Coalición Verdes por el Cambio (UP-ADA)​</t>
  </si>
  <si>
    <t>Camilo Romero</t>
  </si>
  <si>
    <t>227 218</t>
  </si>
  <si>
    <t>4.06%</t>
  </si>
  <si>
    <t>Movimiento Alternativo Indígena y Social</t>
  </si>
  <si>
    <t>Arelis Uriana</t>
  </si>
  <si>
    <t>54 770</t>
  </si>
  <si>
    <t>0.98%</t>
  </si>
  <si>
    <t>Alianza Democrática Amplia​</t>
  </si>
  <si>
    <t>Alfredo Saade</t>
  </si>
  <si>
    <t>21 724</t>
  </si>
  <si>
    <t>0.38%</t>
  </si>
  <si>
    <t>Quinto lugar</t>
  </si>
  <si>
    <t>Campaña</t>
  </si>
  <si>
    <t>Partido y/o G.S.C.</t>
  </si>
  <si>
    <t>Candidato presidencial (partido o G.S.C.)</t>
  </si>
  <si>
    <t>Partido Verde Oxígeno_x000D_
Liga de Gobernantes Anticorrupción</t>
  </si>
  <si>
    <t>Rodolfo Hernández (LIGA)</t>
  </si>
  <si>
    <t>John Milton presidente va</t>
  </si>
  <si>
    <t>Colombia Justa Libres</t>
  </si>
  <si>
    <t>John Milton Rodríguez (CJL)</t>
  </si>
  <si>
    <t>Sandra de las Lajas Torres</t>
  </si>
  <si>
    <t>Equipo por Colombia</t>
  </si>
  <si>
    <t>Partido Político MIRA_x000D_
G.S.C. Creemos Colombia_x000D_
G.S.C. País de Oportunidades_x000D_
G.S.C. Pa'Lante con Echeverry_x000D_
Partido de la Unión por la Gente_x000D_
Partido Conservador Colombiano</t>
  </si>
  <si>
    <t>Federico Gutiérrez (MCC)</t>
  </si>
  <si>
    <t>Rodrigo Lara Sánchez</t>
  </si>
  <si>
    <t>Centro Esperanza</t>
  </si>
  <si>
    <t>Partido Dignidad_x000D_
G.S.C. ¡En Marcha!_x000D_
Partido Nuevo Liberalismo_x000D_
Partido Colombia Renaciente_x000D_
G.S.C. Colombia Tiene Futuro_x000D_
G.S.C. Somos Verde Esperanza_x000D_
Movimiento Compromiso Ciudadano_x000D_
Partido Alianza Social Independiente</t>
  </si>
  <si>
    <t>Sergio Fajardo (ASI)</t>
  </si>
  <si>
    <t>Luis Gilberto Murillo</t>
  </si>
  <si>
    <t>Salvemos a Colombia</t>
  </si>
  <si>
    <t>Movimiento de Salvación Nacional</t>
  </si>
  <si>
    <t>Enrique Gómez (MSN)</t>
  </si>
  <si>
    <t>Carlos Cuartas</t>
  </si>
  <si>
    <t>MODEP_x000D_
Unión Patriótica_x000D_
Partido Comunes_x000D_
Poder Ciudadano_x000D_
Fuerza Ciudadana_x000D_
Colombia Humana_x000D_
Partido del Trabajo_x000D_
Ciudadanías Libres_x000D_
Unidad Democrática_x000D_
Todos Somos Colombia_x000D_
Congreso de los Pueblos_x000D_
Movimiento Gente Nueva_x000D_
Movimiento Estamos Listas_x000D_
Alianza Democrática Amplia_x000D_
Polo Democrático Alternativo_x000D_
Partido Comunista Colombiano_x000D_
Movimiento por el Agua y la Vida_x000D_
Movimiento Gente en Movimiento_x000D_
Autoridades Indígenas de Colombia_x000D_
Partido Socialista de los Trabajadores_x000D_
Movimiento de Integración Democrática_x000D_
Movimiento Alternativo Indígena y Social_x000D_
Movimiento por la Constituyente Popular</t>
  </si>
  <si>
    <t>Gustavo Petro (CH) - (UP)</t>
  </si>
  <si>
    <t>Coalición Pacto Histórico</t>
  </si>
  <si>
    <t>8 541 617</t>
  </si>
  <si>
    <t>40.34 %</t>
  </si>
  <si>
    <t>5 965 335</t>
  </si>
  <si>
    <t>28.17 %</t>
  </si>
  <si>
    <t>Federico Gutiérrez</t>
  </si>
  <si>
    <t>Coalición Equipo por Colombia</t>
  </si>
  <si>
    <t>5 069 448</t>
  </si>
  <si>
    <t>23.94 %</t>
  </si>
  <si>
    <t>Sergio Fajardo</t>
  </si>
  <si>
    <t>Coalición Centro Esperanza</t>
  </si>
  <si>
    <t>885 268</t>
  </si>
  <si>
    <t>4.18 %</t>
  </si>
  <si>
    <t>John Milton Rodríguez</t>
  </si>
  <si>
    <t>271 372</t>
  </si>
  <si>
    <t>1.28 %</t>
  </si>
  <si>
    <t>Enrique Gómez Martínez</t>
  </si>
  <si>
    <t>Carlos Cuartas Quinceno</t>
  </si>
  <si>
    <t>48 685</t>
  </si>
  <si>
    <t>0.23 %</t>
  </si>
  <si>
    <t>Íngrid Betancourt</t>
  </si>
  <si>
    <t>José Luis Esparza</t>
  </si>
  <si>
    <t>Partido Verde Oxígeno</t>
  </si>
  <si>
    <t>14 161</t>
  </si>
  <si>
    <t>0.07 %</t>
  </si>
  <si>
    <t>Luis Pérez</t>
  </si>
  <si>
    <t>Ceferino Mosquera</t>
  </si>
  <si>
    <t>Colombia Piensa en Grande</t>
  </si>
  <si>
    <t>11 507</t>
  </si>
  <si>
    <t>0.05 %</t>
  </si>
  <si>
    <t>365 764</t>
  </si>
  <si>
    <t>1.73 %</t>
  </si>
  <si>
    <t>241 818</t>
  </si>
  <si>
    <t>26 630</t>
  </si>
  <si>
    <t>21 441 605</t>
  </si>
  <si>
    <t>Registrados/Partipación</t>
  </si>
  <si>
    <t>54.98 %</t>
  </si>
  <si>
    <t>Fuente: Preconteo,[88]​ Escrutinio[4]​</t>
  </si>
  <si>
    <t>Partido Centro Democrático​_x000D_
Partido Conservador Colombiano​_x000D_
Partido Verde Oxígeno​_x000D_
Partido Nuevo Liberalismo​_x000D_
G.S.C. Creemos Colombia​_x000D_
G.S.C. Pa'Lante con Echeverry​_x000D_
G.S.C Somos Verde Esperanza​_x000D_
G.S.C. País de Oportunidades​_x000D_
Movimiento de Salvación Nacional​_x000D_
Liga de Gobernantes Anticorrupción</t>
  </si>
  <si>
    <t>MODEP_x000D_
Unión Patriótica_x000D_
Partido Comunes​_x000D_
Poder Ciudadano_x000D_
Fuerza Ciudadana_x000D_
Colombia Humana_x000D_
Partido del Trabajo_x000D_
Ciudadanías Libres_x000D_
G.S.C. ¡En Marcha!_x000D_
Unidad Democrática_x000D_
Todos Somos Colombia_x000D_
Congreso de los Pueblos_x000D_
Movimiento Gente Nueva_x000D_
Movimiento Estamos Listas_x000D_
Alianza Democrática Amplia _x000D_
Polo Democrático Alternativo_x000D_
Alianza Social Independiente​_x000D_
Partido Colombia Renaciente​_x000D_
G.S.C Colombia Tiene Futuro​_x000D_
Partido Comunista Colombiano_x000D_
Movimiento por el Agua y la Vida_x000D_
Movimiento Gente en Movimiento_x000D_
Autoridades Indígenas de Colombia_x000D_
Partido Socialista de los Trabajadores_x000D_
Movimiento de Integración Democrática_x000D_
Movimiento Alternativo Indígena y Social_x000D_
Movimiento por la Constituyente Popular</t>
  </si>
  <si>
    <t>Deja en libertad a su militancia</t>
  </si>
  <si>
    <t>Partido Dignidad_x000D_
Partido Alianza Verde_x000D_
Partido Político MIRA​_x000D_
Colombia Justa Libres_x000D_
Partido Cambio Radical_x000D_
Partido de la Unión por la Gente_x000D_
Movimiento Compromiso Ciudadano</t>
  </si>
  <si>
    <t>No definido</t>
  </si>
  <si>
    <t>Partido Liberal Colombiano</t>
  </si>
  <si>
    <t>valor total contrato</t>
  </si>
  <si>
    <t xml:space="preserve">saldo al iberar </t>
  </si>
  <si>
    <t>Columna1</t>
  </si>
  <si>
    <t>Valor inicial del contrato</t>
  </si>
  <si>
    <t>Valor adición o reducción del contrato</t>
  </si>
  <si>
    <t xml:space="preserve">Valor total del contrato </t>
  </si>
  <si>
    <t xml:space="preserve">Valor bruto pagado al contratista </t>
  </si>
  <si>
    <t xml:space="preserve">Valor pendiente por pagar al contratista </t>
  </si>
  <si>
    <t xml:space="preserve">Saldo por reversar a favor del SENA </t>
  </si>
  <si>
    <t>Etiquetas de fila</t>
  </si>
  <si>
    <t>(en blanco)</t>
  </si>
  <si>
    <t>Total general</t>
  </si>
  <si>
    <t>Etiquetas de columna</t>
  </si>
  <si>
    <t>Total 1 310 236</t>
  </si>
  <si>
    <t>Total 110 118</t>
  </si>
  <si>
    <t>Total 113 537</t>
  </si>
  <si>
    <t>Total 114 610</t>
  </si>
  <si>
    <t>Total 12 883</t>
  </si>
  <si>
    <t>Total 127 846</t>
  </si>
  <si>
    <t>Total 14 708</t>
  </si>
  <si>
    <t>Total 149 413</t>
  </si>
  <si>
    <t>Total 162 849</t>
  </si>
  <si>
    <t>Total 180 923</t>
  </si>
  <si>
    <t>Total 187 346</t>
  </si>
  <si>
    <t>Total 2 253 997</t>
  </si>
  <si>
    <t>Total 216 227</t>
  </si>
  <si>
    <t>Total 216 533</t>
  </si>
  <si>
    <t>Total 250 499</t>
  </si>
  <si>
    <t>Total 251 710</t>
  </si>
  <si>
    <t>Total 262 135</t>
  </si>
  <si>
    <t>Total 264 270</t>
  </si>
  <si>
    <t>Total 302 439</t>
  </si>
  <si>
    <t>Total 310 240</t>
  </si>
  <si>
    <t>Total 32 082</t>
  </si>
  <si>
    <t>Total 437 016</t>
  </si>
  <si>
    <t>Total 493 041</t>
  </si>
  <si>
    <t>Total 515 074</t>
  </si>
  <si>
    <t>Total 57 331</t>
  </si>
  <si>
    <t>Total 592 170</t>
  </si>
  <si>
    <t>Total 6 536</t>
  </si>
  <si>
    <t>Total 6 647</t>
  </si>
  <si>
    <t>Total 624 965</t>
  </si>
  <si>
    <t>Total 672 832</t>
  </si>
  <si>
    <t>Total 7 634</t>
  </si>
  <si>
    <t>Total 72 816</t>
  </si>
  <si>
    <t>Total 8 545</t>
  </si>
  <si>
    <t>Total 942 005</t>
  </si>
  <si>
    <t>Total Fuente: Registraduría​</t>
  </si>
  <si>
    <t>Total Márquez</t>
  </si>
  <si>
    <t>Total Petro</t>
  </si>
  <si>
    <t>Total (en blanco)</t>
  </si>
  <si>
    <t>estado financiero del contrato</t>
  </si>
  <si>
    <t>unidad extractora</t>
  </si>
  <si>
    <t>compresor</t>
  </si>
  <si>
    <t>ups 4kva 10 kva</t>
  </si>
  <si>
    <t>ups 4 kva</t>
  </si>
  <si>
    <t>ups 10 kva</t>
  </si>
  <si>
    <t>valor unitario</t>
  </si>
  <si>
    <t>iva</t>
  </si>
  <si>
    <t>valor unitario mas iva</t>
  </si>
  <si>
    <t>valor total mas iva dos equipos ups</t>
  </si>
  <si>
    <t>valor total mas inva</t>
  </si>
  <si>
    <t>cotizacion avatika</t>
  </si>
  <si>
    <t>cotizacion kac</t>
  </si>
  <si>
    <t>OFERENTE</t>
  </si>
  <si>
    <t>VALOR EN SECOP II</t>
  </si>
  <si>
    <t>VALOR ANEXO ECONÓMICO</t>
  </si>
  <si>
    <t>PORCENTAJE DE DISMINUCIÓN VS. ESTUDIO DE MERCADO</t>
  </si>
  <si>
    <t>FECHA Y HORA DE PRESENTACIÓN</t>
  </si>
  <si>
    <t>VALOR ESTUDIO DE MERCADO</t>
  </si>
  <si>
    <t>PROMEDIO</t>
  </si>
  <si>
    <t>DESV. ESTANDAR</t>
  </si>
  <si>
    <t>mediana</t>
  </si>
  <si>
    <t>20% ESTUDIO MERCADO</t>
  </si>
  <si>
    <t>VALOR MINIMO ACEPTABLE</t>
  </si>
  <si>
    <t>cul</t>
  </si>
  <si>
    <t>jc impresores</t>
  </si>
  <si>
    <t>windows r</t>
  </si>
  <si>
    <t>winver</t>
  </si>
  <si>
    <t>barra de titulo</t>
  </si>
  <si>
    <t>gusrdar como f12 fn</t>
  </si>
  <si>
    <t>cinta de opciones</t>
  </si>
  <si>
    <t>barra herramientas estandar</t>
  </si>
  <si>
    <t>herramientos comunes de microsoft</t>
  </si>
  <si>
    <t>grupos</t>
  </si>
  <si>
    <t>divisiones herramientas</t>
  </si>
  <si>
    <t>flechitas</t>
  </si>
  <si>
    <t>cuadro de dialogo</t>
  </si>
  <si>
    <t>barra de formulas</t>
  </si>
  <si>
    <t>muestra el contenido de la celda</t>
  </si>
  <si>
    <t>insertar funcion</t>
  </si>
  <si>
    <t>muestra formulas operacionales</t>
  </si>
  <si>
    <t>shit fn f3</t>
  </si>
  <si>
    <t>cuadro de nombres</t>
  </si>
  <si>
    <t>da la posicion de la celda</t>
  </si>
  <si>
    <t>nos lleva a cualquier celda</t>
  </si>
  <si>
    <t>ir a</t>
  </si>
  <si>
    <t>fn f5</t>
  </si>
  <si>
    <t>encabezado de columna</t>
  </si>
  <si>
    <t>desde la letra a hasta la letra xfd</t>
  </si>
  <si>
    <t>control direccional derecho- izquierdo</t>
  </si>
  <si>
    <t>numeraicon de filas</t>
  </si>
  <si>
    <t>del 1 al 1048576</t>
  </si>
  <si>
    <t>control direccional abajo-arriba</t>
  </si>
  <si>
    <t>psocion ubicación cedla</t>
  </si>
  <si>
    <t>letra+numero</t>
  </si>
  <si>
    <t>celda</t>
  </si>
  <si>
    <t>cruza fila columna</t>
  </si>
  <si>
    <t>cuadricula</t>
  </si>
  <si>
    <t>cruza muchas filas mchas columnas</t>
  </si>
  <si>
    <t>rango distancia entrea celda y otra</t>
  </si>
  <si>
    <t>barra estado</t>
  </si>
  <si>
    <t>informa eventos q estan sucediendo</t>
  </si>
  <si>
    <t>barra de vistas</t>
  </si>
  <si>
    <t>forma en q se vera la informacion</t>
  </si>
  <si>
    <t>jhon</t>
  </si>
  <si>
    <t>juan</t>
  </si>
  <si>
    <t>luis</t>
  </si>
  <si>
    <t>jeni</t>
  </si>
  <si>
    <t>mari</t>
  </si>
  <si>
    <t>valor del contrato</t>
  </si>
  <si>
    <t>#pago</t>
  </si>
  <si>
    <t>concepto</t>
  </si>
  <si>
    <t>valor</t>
  </si>
  <si>
    <t>saldo</t>
  </si>
  <si>
    <t>nuevo valor</t>
  </si>
  <si>
    <t>porcentaje ejecucion</t>
  </si>
  <si>
    <t>saldo a la fecha</t>
  </si>
  <si>
    <t>cuenta de cobro</t>
  </si>
  <si>
    <t>diferencia/nc</t>
  </si>
  <si>
    <t>Contratación del suministro de almuerzo para los trabajadores oficiales del Centro de Comercio y Servicios de la Regional Atlántico del SENA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</si>
</sst>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quot;$&quot;\ #,##0"/>
    <numFmt numFmtId="166" formatCode="_-&quot;$&quot;* #,##0_-;\-&quot;$&quot;* #,##0_-;_-&quot;$&quot;* &quot;-&quot;??_-;_-@_-"/>
    <numFmt numFmtId="167" formatCode="_-&quot;$&quot;\ * #,##0_-;\-&quot;$&quot;\ * #,##0_-;_-&quot;$&quot;\ * &quot;-&quot;??_-;_-@_-"/>
  </numFmts>
  <fonts count="43">
    <font>
      <sz val="11"/>
      <color theme="1"/>
      <name val="Calibri"/>
      <family val="2"/>
      <scheme val="minor"/>
    </font>
    <font>
      <sz val="11"/>
      <color rgb="FFFF0000"/>
      <name val="Calibri"/>
      <family val="2"/>
      <scheme val="minor"/>
    </font>
    <font>
      <b/>
      <sz val="11"/>
      <color theme="1"/>
      <name val="Calibri"/>
      <family val="2"/>
      <scheme val="minor"/>
    </font>
    <font>
      <sz val="11"/>
      <color rgb="FF000000"/>
      <name val="Calibri"/>
      <family val="2"/>
    </font>
    <font>
      <sz val="8"/>
      <color theme="1"/>
      <name val="Calibri"/>
      <family val="2"/>
      <scheme val="minor"/>
    </font>
    <font>
      <sz val="12"/>
      <color rgb="FF000000"/>
      <name val="Calibri"/>
      <family val="2"/>
      <scheme val="minor"/>
    </font>
    <font>
      <u/>
      <sz val="11"/>
      <color theme="10"/>
      <name val="Calibri"/>
      <family val="2"/>
      <scheme val="minor"/>
    </font>
    <font>
      <sz val="11"/>
      <color rgb="FF000000"/>
      <name val="Calibri"/>
      <family val="2"/>
      <scheme val="minor"/>
    </font>
    <font>
      <sz val="9"/>
      <color rgb="FF000000"/>
      <name val="Arial"/>
      <family val="2"/>
    </font>
    <font>
      <sz val="11"/>
      <color theme="1"/>
      <name val="Calibri"/>
      <family val="2"/>
      <charset val="1"/>
    </font>
    <font>
      <sz val="10"/>
      <color theme="1"/>
      <name val="Arial"/>
      <family val="2"/>
      <charset val="1"/>
    </font>
    <font>
      <sz val="12"/>
      <color rgb="FF000000"/>
      <name val="Calibri"/>
      <family val="2"/>
      <charset val="1"/>
    </font>
    <font>
      <sz val="10"/>
      <color rgb="FF333333"/>
      <name val="Helvetica"/>
      <family val="2"/>
      <charset val="1"/>
    </font>
    <font>
      <sz val="10"/>
      <color rgb="FF000000"/>
      <name val="Arial"/>
      <family val="2"/>
      <charset val="1"/>
    </font>
    <font>
      <b/>
      <sz val="11"/>
      <color theme="1"/>
      <name val="Arial"/>
      <family val="2"/>
      <charset val="1"/>
    </font>
    <font>
      <b/>
      <sz val="11"/>
      <color theme="1"/>
      <name val="Calibri"/>
      <family val="2"/>
      <charset val="1"/>
    </font>
    <font>
      <sz val="11"/>
      <color rgb="FF000000"/>
      <name val="Calibri"/>
      <family val="2"/>
      <charset val="1"/>
    </font>
    <font>
      <sz val="9"/>
      <color rgb="FF000000"/>
      <name val="Arial"/>
      <family val="2"/>
      <charset val="1"/>
    </font>
    <font>
      <sz val="10"/>
      <color rgb="FF333333"/>
      <name val="Helvetica Neue"/>
      <charset val="1"/>
    </font>
    <font>
      <b/>
      <sz val="12"/>
      <color rgb="FF333333"/>
      <name val="Helvetica"/>
      <family val="2"/>
      <charset val="1"/>
    </font>
    <font>
      <sz val="11"/>
      <color rgb="FFFF0000"/>
      <name val="Calibri"/>
      <family val="2"/>
      <charset val="1"/>
    </font>
    <font>
      <sz val="11"/>
      <color rgb="FF000000"/>
      <name val="Arial"/>
      <family val="2"/>
      <charset val="1"/>
    </font>
    <font>
      <sz val="11"/>
      <color theme="1"/>
      <name val="Calibri"/>
      <family val="2"/>
      <scheme val="minor"/>
    </font>
    <font>
      <b/>
      <sz val="8"/>
      <color theme="1"/>
      <name val="Calibri"/>
      <family val="2"/>
      <scheme val="minor"/>
    </font>
    <font>
      <sz val="11"/>
      <color theme="1"/>
      <name val="Arial"/>
      <family val="2"/>
    </font>
    <font>
      <b/>
      <sz val="12"/>
      <color rgb="FF000000"/>
      <name val="Calibri"/>
      <family val="2"/>
      <scheme val="minor"/>
    </font>
    <font>
      <sz val="11"/>
      <color theme="1"/>
      <name val="Calibri"/>
      <family val="2"/>
    </font>
    <font>
      <sz val="8"/>
      <color rgb="FF000000"/>
      <name val="Arial"/>
      <family val="2"/>
    </font>
    <font>
      <b/>
      <sz val="12"/>
      <color theme="1"/>
      <name val="Calibri"/>
      <family val="2"/>
      <scheme val="minor"/>
    </font>
    <font>
      <b/>
      <sz val="12"/>
      <color theme="1"/>
      <name val="Arial"/>
      <family val="2"/>
    </font>
    <font>
      <b/>
      <sz val="9"/>
      <color rgb="FF0074E8"/>
      <name val="Calibri"/>
      <family val="2"/>
      <scheme val="minor"/>
    </font>
    <font>
      <sz val="8.5"/>
      <color rgb="FF000000"/>
      <name val="Arial"/>
      <family val="2"/>
    </font>
    <font>
      <sz val="8.5"/>
      <color theme="1"/>
      <name val="Calibri"/>
      <family val="2"/>
      <scheme val="minor"/>
    </font>
    <font>
      <sz val="10"/>
      <name val="Arial"/>
      <family val="2"/>
    </font>
    <font>
      <sz val="11"/>
      <color rgb="FF000000"/>
      <name val="Arial"/>
      <family val="2"/>
    </font>
    <font>
      <sz val="8"/>
      <color rgb="FF000000"/>
      <name val="Calibri"/>
      <family val="2"/>
      <scheme val="minor"/>
    </font>
    <font>
      <b/>
      <sz val="10"/>
      <color theme="1"/>
      <name val="Arial Narrow"/>
      <family val="2"/>
    </font>
    <font>
      <sz val="11"/>
      <color rgb="FF00B050"/>
      <name val="Calibri"/>
      <family val="2"/>
      <scheme val="minor"/>
    </font>
    <font>
      <sz val="10"/>
      <color theme="1"/>
      <name val="Calibri"/>
      <family val="2"/>
      <scheme val="minor"/>
    </font>
    <font>
      <sz val="8"/>
      <name val="Calibri"/>
      <family val="2"/>
      <scheme val="minor"/>
    </font>
    <font>
      <sz val="8"/>
      <color rgb="FF000000"/>
      <name val="Calibri"/>
      <family val="2"/>
    </font>
    <font>
      <b/>
      <sz val="9"/>
      <color rgb="FF000000"/>
      <name val="Arial"/>
      <family val="2"/>
    </font>
    <font>
      <b/>
      <sz val="9"/>
      <color rgb="FF000000"/>
      <name val="Arial"/>
    </font>
  </fonts>
  <fills count="1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FFFF"/>
        <bgColor indexed="64"/>
      </patternFill>
    </fill>
    <fill>
      <patternFill patternType="solid">
        <fgColor rgb="FFFF0000"/>
        <bgColor indexed="64"/>
      </patternFill>
    </fill>
    <fill>
      <patternFill patternType="solid">
        <fgColor rgb="FFD9EDF7"/>
        <bgColor indexed="64"/>
      </patternFill>
    </fill>
    <fill>
      <patternFill patternType="solid">
        <fgColor rgb="FF00B050"/>
        <bgColor indexed="64"/>
      </patternFill>
    </fill>
    <fill>
      <patternFill patternType="solid">
        <fgColor rgb="FF92D05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00B0F0"/>
        <bgColor indexed="64"/>
      </patternFill>
    </fill>
    <fill>
      <patternFill patternType="solid">
        <fgColor rgb="FFFFC000"/>
        <bgColor indexed="64"/>
      </patternFill>
    </fill>
    <fill>
      <patternFill patternType="solid">
        <fgColor theme="9" tint="0.79998168889431442"/>
        <bgColor theme="9" tint="0.79998168889431442"/>
      </patternFill>
    </fill>
    <fill>
      <patternFill patternType="solid">
        <fgColor theme="3" tint="0.79998168889431442"/>
        <bgColor indexed="64"/>
      </patternFill>
    </fill>
    <fill>
      <patternFill patternType="solid">
        <fgColor theme="5"/>
        <bgColor indexed="64"/>
      </patternFill>
    </fill>
    <fill>
      <patternFill patternType="solid">
        <fgColor theme="0"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medium">
        <color rgb="FF111111"/>
      </bottom>
      <diagonal/>
    </border>
    <border>
      <left/>
      <right style="thin">
        <color rgb="FF000000"/>
      </right>
      <top/>
      <bottom style="medium">
        <color rgb="FF111111"/>
      </bottom>
      <diagonal/>
    </border>
    <border>
      <left style="thin">
        <color rgb="FF000000"/>
      </left>
      <right/>
      <top style="thin">
        <color rgb="FF000000"/>
      </top>
      <bottom style="medium">
        <color rgb="FF111111"/>
      </bottom>
      <diagonal/>
    </border>
    <border>
      <left/>
      <right style="thin">
        <color rgb="FF000000"/>
      </right>
      <top style="thin">
        <color rgb="FF000000"/>
      </top>
      <bottom style="medium">
        <color rgb="FF111111"/>
      </bottom>
      <diagonal/>
    </border>
    <border>
      <left/>
      <right/>
      <top style="thin">
        <color rgb="FF000000"/>
      </top>
      <bottom style="medium">
        <color rgb="FF111111"/>
      </bottom>
      <diagonal/>
    </border>
    <border>
      <left/>
      <right/>
      <top style="medium">
        <color rgb="FFDDDDDD"/>
      </top>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diagonal/>
    </border>
    <border>
      <left/>
      <right/>
      <top/>
      <bottom style="medium">
        <color indexed="64"/>
      </bottom>
      <diagonal/>
    </border>
    <border>
      <left/>
      <right style="medium">
        <color indexed="64"/>
      </right>
      <top/>
      <bottom/>
      <diagonal/>
    </border>
    <border>
      <left style="thin">
        <color rgb="FF000000"/>
      </left>
      <right style="thin">
        <color rgb="FF000000"/>
      </right>
      <top style="thin">
        <color rgb="FF000000"/>
      </top>
      <bottom style="thin">
        <color rgb="FF000000"/>
      </bottom>
      <diagonal/>
    </border>
    <border>
      <left style="thin">
        <color indexed="64"/>
      </left>
      <right/>
      <top/>
      <bottom/>
      <diagonal/>
    </border>
    <border>
      <left/>
      <right/>
      <top style="thin">
        <color indexed="64"/>
      </top>
      <bottom/>
      <diagonal/>
    </border>
    <border>
      <left style="thin">
        <color theme="9" tint="0.39997558519241921"/>
      </left>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s>
  <cellStyleXfs count="13">
    <xf numFmtId="0" fontId="0" fillId="0" borderId="0"/>
    <xf numFmtId="0" fontId="6" fillId="0" borderId="0" applyNumberFormat="0" applyFill="0" applyBorder="0" applyAlignment="0" applyProtection="0"/>
    <xf numFmtId="44" fontId="22" fillId="0" borderId="0" applyFont="0" applyFill="0" applyBorder="0" applyAlignment="0" applyProtection="0"/>
    <xf numFmtId="164" fontId="22" fillId="0" borderId="0" applyFont="0" applyFill="0" applyBorder="0" applyAlignment="0" applyProtection="0"/>
    <xf numFmtId="43" fontId="22" fillId="0" borderId="0" applyFont="0" applyFill="0" applyBorder="0" applyAlignment="0" applyProtection="0"/>
    <xf numFmtId="42" fontId="22" fillId="0" borderId="0" applyFont="0" applyFill="0" applyBorder="0" applyAlignment="0" applyProtection="0"/>
    <xf numFmtId="44" fontId="22" fillId="0" borderId="0" applyFont="0" applyFill="0" applyBorder="0" applyAlignment="0" applyProtection="0"/>
    <xf numFmtId="0" fontId="24" fillId="0" borderId="0"/>
    <xf numFmtId="0" fontId="22" fillId="0" borderId="0"/>
    <xf numFmtId="44" fontId="22" fillId="0" borderId="0" applyFont="0" applyFill="0" applyBorder="0" applyAlignment="0" applyProtection="0"/>
    <xf numFmtId="44" fontId="22" fillId="0" borderId="0" applyFont="0" applyFill="0" applyBorder="0" applyAlignment="0" applyProtection="0"/>
    <xf numFmtId="42" fontId="22" fillId="0" borderId="0" applyFont="0" applyFill="0" applyBorder="0" applyAlignment="0" applyProtection="0"/>
    <xf numFmtId="9" fontId="22" fillId="0" borderId="0" applyFont="0" applyFill="0" applyBorder="0" applyAlignment="0" applyProtection="0"/>
  </cellStyleXfs>
  <cellXfs count="303">
    <xf numFmtId="0" fontId="0" fillId="0" borderId="0" xfId="0"/>
    <xf numFmtId="0" fontId="0" fillId="0" borderId="1" xfId="0" applyBorder="1"/>
    <xf numFmtId="0" fontId="0" fillId="0" borderId="1" xfId="0" applyBorder="1" applyAlignment="1">
      <alignment horizontal="center"/>
    </xf>
    <xf numFmtId="0" fontId="4" fillId="0" borderId="1" xfId="0" applyFont="1" applyBorder="1"/>
    <xf numFmtId="0" fontId="0" fillId="0" borderId="6" xfId="0" applyBorder="1" applyAlignment="1">
      <alignment horizontal="center" vertical="center"/>
    </xf>
    <xf numFmtId="16" fontId="0" fillId="0" borderId="1" xfId="0" applyNumberFormat="1" applyBorder="1" applyAlignment="1">
      <alignment horizontal="center" vertical="center"/>
    </xf>
    <xf numFmtId="0" fontId="0" fillId="0" borderId="0" xfId="0" applyFill="1"/>
    <xf numFmtId="15" fontId="0" fillId="0" borderId="0" xfId="0" applyNumberFormat="1"/>
    <xf numFmtId="0" fontId="8" fillId="0" borderId="0" xfId="0" applyFont="1"/>
    <xf numFmtId="16" fontId="0" fillId="0" borderId="0" xfId="0" applyNumberFormat="1"/>
    <xf numFmtId="0" fontId="2" fillId="0" borderId="0" xfId="0" applyFont="1"/>
    <xf numFmtId="0" fontId="0" fillId="0" borderId="0" xfId="0" applyFont="1"/>
    <xf numFmtId="0" fontId="0" fillId="5" borderId="0" xfId="0" applyFill="1"/>
    <xf numFmtId="0" fontId="9" fillId="0" borderId="0" xfId="0" applyFont="1" applyAlignment="1">
      <alignment wrapText="1"/>
    </xf>
    <xf numFmtId="0" fontId="0" fillId="4" borderId="0" xfId="0" applyFill="1"/>
    <xf numFmtId="0" fontId="9" fillId="4" borderId="0" xfId="0" applyFont="1" applyFill="1" applyAlignment="1">
      <alignment wrapText="1"/>
    </xf>
    <xf numFmtId="0" fontId="11" fillId="0" borderId="0" xfId="0" applyFont="1" applyAlignment="1">
      <alignment wrapText="1"/>
    </xf>
    <xf numFmtId="0" fontId="8" fillId="4" borderId="0" xfId="0" applyFont="1" applyFill="1" applyAlignment="1">
      <alignment horizontal="left" vertical="center" wrapText="1" indent="1"/>
    </xf>
    <xf numFmtId="0" fontId="9" fillId="0" borderId="7" xfId="0" applyFont="1" applyBorder="1" applyAlignment="1">
      <alignment wrapText="1"/>
    </xf>
    <xf numFmtId="0" fontId="10" fillId="0" borderId="7" xfId="0" applyFont="1" applyBorder="1" applyAlignment="1">
      <alignment wrapText="1"/>
    </xf>
    <xf numFmtId="0" fontId="12" fillId="4" borderId="9" xfId="0" applyFont="1" applyFill="1" applyBorder="1" applyAlignment="1">
      <alignment wrapText="1"/>
    </xf>
    <xf numFmtId="0" fontId="12" fillId="4" borderId="11" xfId="0" applyFont="1" applyFill="1" applyBorder="1" applyAlignment="1">
      <alignment wrapText="1"/>
    </xf>
    <xf numFmtId="0" fontId="13" fillId="0" borderId="7" xfId="0" applyFont="1" applyBorder="1" applyAlignment="1">
      <alignment wrapText="1"/>
    </xf>
    <xf numFmtId="0" fontId="14" fillId="0" borderId="0" xfId="0" applyFont="1" applyAlignment="1">
      <alignment wrapText="1"/>
    </xf>
    <xf numFmtId="0" fontId="15" fillId="0" borderId="0" xfId="0" applyFont="1" applyAlignment="1">
      <alignment wrapText="1"/>
    </xf>
    <xf numFmtId="0" fontId="12" fillId="4" borderId="13" xfId="0" applyFont="1" applyFill="1" applyBorder="1" applyAlignment="1">
      <alignment wrapText="1"/>
    </xf>
    <xf numFmtId="0" fontId="6" fillId="4" borderId="14" xfId="1" applyFill="1" applyBorder="1" applyAlignment="1">
      <alignment wrapText="1"/>
    </xf>
    <xf numFmtId="0" fontId="11" fillId="4" borderId="0" xfId="0" applyFont="1" applyFill="1" applyAlignment="1">
      <alignment wrapText="1"/>
    </xf>
    <xf numFmtId="0" fontId="13" fillId="5" borderId="8" xfId="0" applyFont="1" applyFill="1" applyBorder="1" applyAlignment="1">
      <alignment wrapText="1"/>
    </xf>
    <xf numFmtId="0" fontId="12" fillId="0" borderId="0" xfId="0" applyFont="1" applyAlignment="1">
      <alignment wrapText="1"/>
    </xf>
    <xf numFmtId="0" fontId="17" fillId="4" borderId="0" xfId="0" applyFont="1" applyFill="1" applyAlignment="1">
      <alignment wrapText="1"/>
    </xf>
    <xf numFmtId="0" fontId="0" fillId="0" borderId="0" xfId="0" applyAlignment="1">
      <alignment wrapText="1"/>
    </xf>
    <xf numFmtId="0" fontId="9" fillId="4" borderId="8" xfId="0" applyFont="1" applyFill="1" applyBorder="1" applyAlignment="1">
      <alignment wrapText="1"/>
    </xf>
    <xf numFmtId="0" fontId="6" fillId="4" borderId="15" xfId="1" applyFill="1" applyBorder="1" applyAlignment="1">
      <alignment wrapText="1"/>
    </xf>
    <xf numFmtId="0" fontId="6" fillId="4" borderId="0" xfId="1" applyFill="1" applyAlignment="1">
      <alignment wrapText="1"/>
    </xf>
    <xf numFmtId="0" fontId="6" fillId="0" borderId="0" xfId="1" applyAlignment="1">
      <alignment wrapText="1"/>
    </xf>
    <xf numFmtId="0" fontId="18" fillId="4" borderId="13" xfId="0" applyFont="1" applyFill="1" applyBorder="1" applyAlignment="1">
      <alignment wrapText="1"/>
    </xf>
    <xf numFmtId="0" fontId="12" fillId="6" borderId="16" xfId="0" applyFont="1" applyFill="1" applyBorder="1" applyAlignment="1">
      <alignment wrapText="1"/>
    </xf>
    <xf numFmtId="0" fontId="19" fillId="0" borderId="0" xfId="0" applyFont="1" applyAlignment="1">
      <alignment wrapText="1"/>
    </xf>
    <xf numFmtId="0" fontId="16" fillId="4" borderId="0" xfId="0" applyFont="1" applyFill="1" applyAlignment="1">
      <alignment wrapText="1"/>
    </xf>
    <xf numFmtId="0" fontId="6" fillId="4" borderId="12" xfId="1" applyFill="1" applyBorder="1" applyAlignment="1">
      <alignment wrapText="1"/>
    </xf>
    <xf numFmtId="0" fontId="6" fillId="4" borderId="10" xfId="1" applyFill="1" applyBorder="1" applyAlignment="1">
      <alignment wrapText="1"/>
    </xf>
    <xf numFmtId="0" fontId="1" fillId="4" borderId="0" xfId="0" applyFont="1" applyFill="1"/>
    <xf numFmtId="0" fontId="9" fillId="5" borderId="0" xfId="0" applyFont="1" applyFill="1" applyAlignment="1">
      <alignment wrapText="1"/>
    </xf>
    <xf numFmtId="0" fontId="20" fillId="0" borderId="0" xfId="0" applyFont="1" applyAlignment="1">
      <alignment wrapText="1"/>
    </xf>
    <xf numFmtId="0" fontId="10" fillId="4" borderId="8" xfId="0" applyFont="1" applyFill="1" applyBorder="1" applyAlignment="1">
      <alignment wrapText="1"/>
    </xf>
    <xf numFmtId="0" fontId="6" fillId="4" borderId="13" xfId="1" applyFill="1" applyBorder="1" applyAlignment="1">
      <alignment wrapText="1"/>
    </xf>
    <xf numFmtId="0" fontId="1" fillId="0" borderId="0" xfId="0" applyFont="1"/>
    <xf numFmtId="0" fontId="1" fillId="0" borderId="0" xfId="0" applyFont="1" applyAlignment="1">
      <alignment wrapText="1"/>
    </xf>
    <xf numFmtId="0" fontId="10" fillId="0" borderId="0" xfId="0" applyFont="1" applyAlignment="1">
      <alignment wrapText="1"/>
    </xf>
    <xf numFmtId="0" fontId="12" fillId="4" borderId="0" xfId="0" applyFont="1" applyFill="1" applyAlignment="1">
      <alignment wrapText="1"/>
    </xf>
    <xf numFmtId="0" fontId="10" fillId="4" borderId="0" xfId="0" applyFont="1" applyFill="1" applyAlignment="1">
      <alignment wrapText="1"/>
    </xf>
    <xf numFmtId="0" fontId="21" fillId="0" borderId="17" xfId="0" applyFont="1" applyBorder="1" applyAlignment="1">
      <alignment wrapText="1"/>
    </xf>
    <xf numFmtId="0" fontId="21" fillId="0" borderId="5" xfId="0" applyFont="1" applyBorder="1" applyAlignment="1">
      <alignment wrapText="1"/>
    </xf>
    <xf numFmtId="0" fontId="21" fillId="0" borderId="7" xfId="0" applyFont="1" applyBorder="1" applyAlignment="1">
      <alignment wrapText="1"/>
    </xf>
    <xf numFmtId="0" fontId="21" fillId="0" borderId="8" xfId="0" applyFont="1" applyBorder="1" applyAlignment="1">
      <alignment wrapText="1"/>
    </xf>
    <xf numFmtId="0" fontId="13" fillId="4" borderId="8" xfId="0" applyFont="1" applyFill="1" applyBorder="1" applyAlignment="1">
      <alignment wrapText="1"/>
    </xf>
    <xf numFmtId="0" fontId="9" fillId="0" borderId="0" xfId="0" applyFont="1" applyFill="1" applyAlignment="1">
      <alignment wrapText="1"/>
    </xf>
    <xf numFmtId="0" fontId="6" fillId="0" borderId="15" xfId="1" applyFill="1" applyBorder="1" applyAlignment="1">
      <alignment wrapText="1"/>
    </xf>
    <xf numFmtId="0" fontId="23" fillId="0" borderId="0" xfId="0" applyFont="1"/>
    <xf numFmtId="0" fontId="23" fillId="0" borderId="0" xfId="0" applyFont="1" applyBorder="1"/>
    <xf numFmtId="0" fontId="23" fillId="0" borderId="1" xfId="0" applyFont="1" applyBorder="1"/>
    <xf numFmtId="0" fontId="23" fillId="0" borderId="0" xfId="0" applyFont="1" applyAlignment="1">
      <alignment horizontal="center" vertical="center"/>
    </xf>
    <xf numFmtId="0" fontId="23" fillId="0" borderId="0" xfId="0" applyFont="1" applyAlignment="1">
      <alignment horizontal="center"/>
    </xf>
    <xf numFmtId="0" fontId="23" fillId="0" borderId="1" xfId="0" applyFont="1" applyBorder="1" applyAlignment="1">
      <alignment horizontal="center" vertical="center"/>
    </xf>
    <xf numFmtId="0" fontId="23" fillId="0" borderId="1" xfId="0" applyFont="1" applyBorder="1" applyAlignment="1">
      <alignment vertical="center" wrapText="1"/>
    </xf>
    <xf numFmtId="0" fontId="23" fillId="0" borderId="1" xfId="0" applyFont="1" applyBorder="1" applyAlignment="1">
      <alignment horizontal="center" vertical="center" wrapText="1"/>
    </xf>
    <xf numFmtId="0" fontId="23" fillId="0" borderId="1" xfId="0" applyFont="1" applyBorder="1" applyAlignment="1">
      <alignment wrapText="1"/>
    </xf>
    <xf numFmtId="0" fontId="23" fillId="0" borderId="1" xfId="0" applyFont="1" applyBorder="1" applyAlignment="1">
      <alignment vertical="center"/>
    </xf>
    <xf numFmtId="44" fontId="4" fillId="0" borderId="0" xfId="3" applyNumberFormat="1" applyFont="1"/>
    <xf numFmtId="44" fontId="23" fillId="0" borderId="0" xfId="0" applyNumberFormat="1" applyFont="1"/>
    <xf numFmtId="0" fontId="23" fillId="0" borderId="1" xfId="0" applyFont="1" applyBorder="1" applyAlignment="1">
      <alignment horizontal="center"/>
    </xf>
    <xf numFmtId="0" fontId="23" fillId="0" borderId="0" xfId="0" applyFont="1" applyBorder="1" applyAlignment="1">
      <alignment horizontal="center"/>
    </xf>
    <xf numFmtId="0" fontId="23" fillId="0" borderId="0" xfId="0" applyFont="1" applyBorder="1" applyAlignment="1">
      <alignment horizontal="center" vertical="center"/>
    </xf>
    <xf numFmtId="0" fontId="4" fillId="0" borderId="1" xfId="0" applyFont="1" applyBorder="1" applyAlignment="1">
      <alignment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44" fontId="0" fillId="0" borderId="1" xfId="3" applyNumberFormat="1" applyFont="1" applyBorder="1" applyAlignment="1">
      <alignment vertical="center"/>
    </xf>
    <xf numFmtId="15" fontId="4" fillId="0" borderId="1" xfId="0" applyNumberFormat="1" applyFont="1" applyBorder="1" applyAlignment="1">
      <alignment vertical="center"/>
    </xf>
    <xf numFmtId="44" fontId="4" fillId="0" borderId="1" xfId="3" applyNumberFormat="1" applyFont="1" applyBorder="1" applyAlignment="1">
      <alignment vertical="center"/>
    </xf>
    <xf numFmtId="44" fontId="23" fillId="0" borderId="1" xfId="3" applyNumberFormat="1" applyFont="1" applyBorder="1" applyAlignment="1">
      <alignment vertical="center"/>
    </xf>
    <xf numFmtId="0" fontId="0" fillId="0" borderId="1" xfId="0" applyFont="1" applyFill="1" applyBorder="1" applyAlignment="1">
      <alignment horizontal="center" vertical="center" wrapText="1"/>
    </xf>
    <xf numFmtId="0" fontId="23" fillId="0" borderId="6" xfId="0" applyFont="1" applyBorder="1" applyAlignment="1">
      <alignment horizontal="center"/>
    </xf>
    <xf numFmtId="0" fontId="4" fillId="0" borderId="6" xfId="0" applyFont="1" applyBorder="1" applyAlignment="1">
      <alignment wrapText="1"/>
    </xf>
    <xf numFmtId="0" fontId="0" fillId="0" borderId="6" xfId="0" applyFont="1" applyFill="1" applyBorder="1" applyAlignment="1">
      <alignment horizontal="center" vertical="center" wrapText="1"/>
    </xf>
    <xf numFmtId="0" fontId="23" fillId="0" borderId="6" xfId="0" applyFont="1" applyBorder="1" applyAlignment="1">
      <alignment horizontal="center" vertical="center"/>
    </xf>
    <xf numFmtId="15" fontId="4" fillId="0" borderId="6" xfId="0" applyNumberFormat="1" applyFont="1" applyBorder="1" applyAlignment="1">
      <alignment vertical="center"/>
    </xf>
    <xf numFmtId="44" fontId="4" fillId="0" borderId="6" xfId="3" applyNumberFormat="1" applyFont="1" applyBorder="1" applyAlignment="1">
      <alignment vertical="center"/>
    </xf>
    <xf numFmtId="44" fontId="23" fillId="0" borderId="2" xfId="0" applyNumberFormat="1" applyFont="1" applyBorder="1"/>
    <xf numFmtId="44" fontId="0" fillId="0" borderId="18" xfId="3" applyNumberFormat="1" applyFont="1" applyBorder="1" applyAlignment="1">
      <alignment vertical="center"/>
    </xf>
    <xf numFmtId="0" fontId="23" fillId="0" borderId="3" xfId="0" applyFont="1" applyBorder="1" applyAlignment="1">
      <alignment horizontal="center"/>
    </xf>
    <xf numFmtId="0" fontId="4" fillId="0" borderId="3" xfId="0" applyFont="1" applyBorder="1" applyAlignment="1">
      <alignment vertical="center"/>
    </xf>
    <xf numFmtId="0" fontId="4" fillId="0" borderId="3" xfId="0" applyFont="1" applyBorder="1" applyAlignment="1">
      <alignment wrapText="1"/>
    </xf>
    <xf numFmtId="0" fontId="4" fillId="0" borderId="3" xfId="0" applyFont="1" applyBorder="1" applyAlignment="1">
      <alignment horizontal="center" vertical="center"/>
    </xf>
    <xf numFmtId="164" fontId="23" fillId="0" borderId="0" xfId="3" applyFont="1"/>
    <xf numFmtId="0" fontId="26" fillId="0" borderId="8" xfId="0" applyFont="1" applyBorder="1" applyAlignment="1">
      <alignment vertical="center"/>
    </xf>
    <xf numFmtId="0" fontId="27" fillId="4" borderId="0" xfId="0" applyFont="1" applyFill="1" applyAlignment="1">
      <alignment horizontal="left" vertical="center" wrapText="1" indent="1"/>
    </xf>
    <xf numFmtId="0" fontId="28" fillId="0" borderId="1" xfId="0" applyFont="1" applyBorder="1"/>
    <xf numFmtId="165" fontId="29" fillId="0" borderId="1" xfId="0" applyNumberFormat="1" applyFont="1" applyBorder="1" applyAlignment="1">
      <alignment horizontal="center" vertical="center" wrapText="1"/>
    </xf>
    <xf numFmtId="3" fontId="0" fillId="0" borderId="0" xfId="0" applyNumberFormat="1"/>
    <xf numFmtId="0" fontId="28" fillId="0" borderId="19" xfId="0" applyFont="1" applyBorder="1"/>
    <xf numFmtId="3" fontId="0" fillId="0" borderId="1" xfId="0" applyNumberFormat="1" applyBorder="1"/>
    <xf numFmtId="164" fontId="0" fillId="0" borderId="1" xfId="3" applyFont="1" applyBorder="1"/>
    <xf numFmtId="10" fontId="0" fillId="0" borderId="0" xfId="0" applyNumberFormat="1"/>
    <xf numFmtId="9" fontId="0" fillId="0" borderId="0" xfId="12" applyFont="1"/>
    <xf numFmtId="9" fontId="0" fillId="0" borderId="0" xfId="0" applyNumberFormat="1"/>
    <xf numFmtId="164" fontId="0" fillId="0" borderId="1" xfId="0" applyNumberFormat="1" applyBorder="1"/>
    <xf numFmtId="164" fontId="0" fillId="2" borderId="1" xfId="0" applyNumberFormat="1" applyFill="1" applyBorder="1"/>
    <xf numFmtId="42" fontId="0" fillId="0" borderId="0" xfId="11" applyFont="1"/>
    <xf numFmtId="44" fontId="0" fillId="0" borderId="0" xfId="0" applyNumberFormat="1"/>
    <xf numFmtId="167" fontId="0" fillId="0" borderId="0" xfId="3" applyNumberFormat="1" applyFont="1"/>
    <xf numFmtId="167" fontId="0" fillId="0" borderId="0" xfId="0" applyNumberFormat="1"/>
    <xf numFmtId="164" fontId="2" fillId="0" borderId="0" xfId="3" applyFont="1"/>
    <xf numFmtId="49" fontId="0" fillId="3" borderId="1" xfId="0" applyNumberFormat="1" applyFill="1" applyBorder="1" applyAlignment="1">
      <alignment horizontal="left" wrapText="1"/>
    </xf>
    <xf numFmtId="166" fontId="0" fillId="0" borderId="0" xfId="0" applyNumberFormat="1"/>
    <xf numFmtId="0" fontId="0" fillId="2" borderId="0" xfId="0" applyFill="1"/>
    <xf numFmtId="164" fontId="0" fillId="0" borderId="0" xfId="3" applyFont="1"/>
    <xf numFmtId="0" fontId="23" fillId="0" borderId="1" xfId="0" applyFont="1" applyBorder="1" applyAlignment="1">
      <alignment vertical="center" wrapText="1"/>
    </xf>
    <xf numFmtId="1" fontId="0" fillId="0" borderId="0" xfId="0" applyNumberFormat="1"/>
    <xf numFmtId="164" fontId="2" fillId="0" borderId="1" xfId="3" applyFont="1" applyBorder="1"/>
    <xf numFmtId="0" fontId="8" fillId="0" borderId="21" xfId="0" applyFont="1" applyBorder="1" applyAlignment="1">
      <alignment vertical="center" wrapText="1"/>
    </xf>
    <xf numFmtId="0" fontId="22" fillId="0" borderId="7" xfId="0" applyFont="1" applyBorder="1" applyAlignment="1">
      <alignment vertical="center" wrapText="1"/>
    </xf>
    <xf numFmtId="0" fontId="8" fillId="0" borderId="7" xfId="0" applyFont="1" applyBorder="1" applyAlignment="1">
      <alignment vertical="center" wrapText="1"/>
    </xf>
    <xf numFmtId="0" fontId="31" fillId="0" borderId="21" xfId="0" applyFont="1" applyBorder="1" applyAlignment="1">
      <alignment vertical="center" wrapText="1"/>
    </xf>
    <xf numFmtId="0" fontId="31" fillId="0" borderId="7" xfId="0" applyFont="1" applyBorder="1" applyAlignment="1">
      <alignment vertical="center" wrapText="1"/>
    </xf>
    <xf numFmtId="0" fontId="22" fillId="0" borderId="0" xfId="0" applyFont="1" applyBorder="1" applyAlignment="1">
      <alignment vertical="center" wrapText="1"/>
    </xf>
    <xf numFmtId="0" fontId="31" fillId="0" borderId="22" xfId="0" applyFont="1" applyBorder="1" applyAlignment="1">
      <alignment vertical="center" wrapText="1"/>
    </xf>
    <xf numFmtId="0" fontId="8" fillId="0" borderId="22" xfId="0" applyFont="1" applyBorder="1" applyAlignment="1">
      <alignment vertical="center" wrapText="1"/>
    </xf>
    <xf numFmtId="0" fontId="2" fillId="0" borderId="17" xfId="0" applyFont="1" applyBorder="1" applyAlignment="1">
      <alignment vertical="center" wrapText="1"/>
    </xf>
    <xf numFmtId="0" fontId="2" fillId="0" borderId="4" xfId="0" applyFont="1" applyBorder="1" applyAlignment="1">
      <alignment vertical="center" wrapText="1"/>
    </xf>
    <xf numFmtId="0" fontId="2" fillId="0" borderId="1" xfId="0" applyFont="1" applyBorder="1"/>
    <xf numFmtId="0" fontId="0" fillId="0" borderId="1" xfId="0" applyBorder="1" applyAlignment="1">
      <alignment wrapText="1"/>
    </xf>
    <xf numFmtId="0" fontId="8" fillId="2" borderId="1" xfId="0" applyFont="1" applyFill="1" applyBorder="1" applyAlignment="1">
      <alignment vertical="center" wrapText="1"/>
    </xf>
    <xf numFmtId="0" fontId="0" fillId="2" borderId="1" xfId="0" applyFill="1" applyBorder="1" applyAlignment="1">
      <alignment wrapText="1"/>
    </xf>
    <xf numFmtId="0" fontId="33" fillId="0" borderId="1" xfId="0" applyFont="1" applyBorder="1" applyAlignment="1">
      <alignment wrapText="1"/>
    </xf>
    <xf numFmtId="0" fontId="8" fillId="0" borderId="1" xfId="0" applyFont="1" applyBorder="1" applyAlignment="1">
      <alignment vertical="center" wrapText="1"/>
    </xf>
    <xf numFmtId="0" fontId="8" fillId="0" borderId="1" xfId="0" applyFont="1" applyBorder="1" applyAlignment="1">
      <alignment wrapText="1"/>
    </xf>
    <xf numFmtId="0" fontId="8" fillId="4" borderId="1" xfId="0" applyFont="1" applyFill="1" applyBorder="1" applyAlignment="1">
      <alignment horizontal="left" vertical="center" wrapText="1" indent="1"/>
    </xf>
    <xf numFmtId="0" fontId="23" fillId="9" borderId="1" xfId="0" applyFont="1" applyFill="1" applyBorder="1" applyAlignment="1">
      <alignment horizontal="center"/>
    </xf>
    <xf numFmtId="0" fontId="23" fillId="9" borderId="1" xfId="0" applyFont="1" applyFill="1" applyBorder="1" applyAlignment="1">
      <alignment horizontal="center" vertical="center"/>
    </xf>
    <xf numFmtId="15" fontId="4" fillId="9" borderId="1" xfId="0" applyNumberFormat="1" applyFont="1" applyFill="1" applyBorder="1" applyAlignment="1">
      <alignment vertical="center"/>
    </xf>
    <xf numFmtId="44" fontId="4" fillId="9" borderId="1" xfId="3" applyNumberFormat="1" applyFont="1" applyFill="1" applyBorder="1" applyAlignment="1">
      <alignment vertical="center"/>
    </xf>
    <xf numFmtId="0" fontId="4" fillId="9" borderId="1" xfId="0" applyFont="1" applyFill="1" applyBorder="1" applyAlignment="1">
      <alignment vertical="center" wrapText="1"/>
    </xf>
    <xf numFmtId="164" fontId="0" fillId="9" borderId="1" xfId="0" applyNumberFormat="1" applyFill="1" applyBorder="1" applyAlignment="1">
      <alignment horizontal="center" vertical="center"/>
    </xf>
    <xf numFmtId="0" fontId="23" fillId="10" borderId="0" xfId="0" applyFont="1" applyFill="1" applyBorder="1" applyAlignment="1">
      <alignment horizontal="center"/>
    </xf>
    <xf numFmtId="0" fontId="23" fillId="10" borderId="0" xfId="0" applyFont="1" applyFill="1" applyBorder="1"/>
    <xf numFmtId="0" fontId="23" fillId="10" borderId="1" xfId="0" applyFont="1" applyFill="1" applyBorder="1" applyAlignment="1">
      <alignment horizontal="center"/>
    </xf>
    <xf numFmtId="0" fontId="23" fillId="10" borderId="1" xfId="0" applyFont="1" applyFill="1" applyBorder="1"/>
    <xf numFmtId="0" fontId="23" fillId="10" borderId="19" xfId="0" applyFont="1" applyFill="1" applyBorder="1" applyAlignment="1">
      <alignment horizontal="center" vertical="center"/>
    </xf>
    <xf numFmtId="0" fontId="23" fillId="10" borderId="2" xfId="0" applyFont="1" applyFill="1" applyBorder="1"/>
    <xf numFmtId="0" fontId="35" fillId="9" borderId="0" xfId="0" applyFont="1" applyFill="1" applyAlignment="1">
      <alignment horizontal="center" vertical="center" wrapText="1"/>
    </xf>
    <xf numFmtId="0" fontId="7" fillId="0" borderId="0" xfId="0" applyFont="1" applyAlignment="1">
      <alignment wrapText="1"/>
    </xf>
    <xf numFmtId="16" fontId="2" fillId="2" borderId="1" xfId="0" applyNumberFormat="1" applyFont="1" applyFill="1" applyBorder="1" applyAlignment="1">
      <alignment horizontal="center"/>
    </xf>
    <xf numFmtId="0" fontId="2" fillId="2" borderId="1" xfId="0" applyFont="1" applyFill="1" applyBorder="1" applyAlignment="1">
      <alignment horizontal="center"/>
    </xf>
    <xf numFmtId="0" fontId="0" fillId="0" borderId="1" xfId="0" applyBorder="1" applyAlignment="1">
      <alignment wrapText="1"/>
    </xf>
    <xf numFmtId="164" fontId="0" fillId="0" borderId="1" xfId="0" applyNumberFormat="1" applyBorder="1" applyAlignment="1">
      <alignment wrapText="1"/>
    </xf>
    <xf numFmtId="0" fontId="8" fillId="2" borderId="21" xfId="0" applyFont="1" applyFill="1" applyBorder="1" applyAlignment="1">
      <alignment vertical="center" wrapText="1"/>
    </xf>
    <xf numFmtId="0" fontId="0" fillId="8" borderId="0" xfId="0" applyFill="1"/>
    <xf numFmtId="0" fontId="0" fillId="11" borderId="0" xfId="0" applyFill="1"/>
    <xf numFmtId="0" fontId="0" fillId="12" borderId="0" xfId="0" applyFill="1"/>
    <xf numFmtId="0" fontId="2" fillId="12" borderId="0" xfId="0" applyFont="1" applyFill="1"/>
    <xf numFmtId="0" fontId="2" fillId="11" borderId="0" xfId="0" applyFont="1" applyFill="1"/>
    <xf numFmtId="164" fontId="0" fillId="11" borderId="0" xfId="3" applyFont="1" applyFill="1"/>
    <xf numFmtId="164" fontId="34" fillId="11" borderId="0" xfId="3" applyFont="1" applyFill="1"/>
    <xf numFmtId="164" fontId="0" fillId="12" borderId="0" xfId="3" applyFont="1" applyFill="1"/>
    <xf numFmtId="0" fontId="0" fillId="0" borderId="1" xfId="0" applyBorder="1" applyAlignment="1">
      <alignment horizontal="center" vertical="center"/>
    </xf>
    <xf numFmtId="16" fontId="0" fillId="0" borderId="1" xfId="0" applyNumberFormat="1" applyBorder="1" applyAlignment="1">
      <alignment horizontal="center"/>
    </xf>
    <xf numFmtId="0" fontId="2" fillId="8" borderId="1" xfId="0" applyFont="1" applyFill="1" applyBorder="1"/>
    <xf numFmtId="0" fontId="2" fillId="8" borderId="1" xfId="0" applyFont="1" applyFill="1" applyBorder="1" applyAlignment="1">
      <alignment horizontal="center" vertical="center"/>
    </xf>
    <xf numFmtId="164" fontId="2" fillId="8" borderId="1" xfId="3" applyFont="1" applyFill="1" applyBorder="1" applyAlignment="1">
      <alignment horizontal="center" vertical="center"/>
    </xf>
    <xf numFmtId="164" fontId="2" fillId="8" borderId="1" xfId="3" applyFont="1" applyFill="1" applyBorder="1" applyAlignment="1"/>
    <xf numFmtId="0" fontId="2" fillId="7" borderId="1" xfId="0" applyFont="1" applyFill="1" applyBorder="1"/>
    <xf numFmtId="0" fontId="2" fillId="7" borderId="1" xfId="0" applyFont="1" applyFill="1" applyBorder="1" applyAlignment="1">
      <alignment horizontal="center"/>
    </xf>
    <xf numFmtId="164" fontId="2" fillId="7" borderId="1" xfId="3" applyFont="1" applyFill="1" applyBorder="1"/>
    <xf numFmtId="0" fontId="2" fillId="2" borderId="1" xfId="0" applyFont="1" applyFill="1" applyBorder="1"/>
    <xf numFmtId="0" fontId="0" fillId="2" borderId="1" xfId="0" applyFill="1" applyBorder="1"/>
    <xf numFmtId="164" fontId="2" fillId="2" borderId="1" xfId="3" applyFont="1" applyFill="1" applyBorder="1" applyAlignment="1">
      <alignment horizontal="center"/>
    </xf>
    <xf numFmtId="164" fontId="0" fillId="0" borderId="0" xfId="3" applyFont="1" applyAlignment="1">
      <alignment wrapText="1"/>
    </xf>
    <xf numFmtId="0" fontId="0" fillId="0" borderId="0" xfId="0" applyAlignment="1">
      <alignment horizontal="center"/>
    </xf>
    <xf numFmtId="0" fontId="2" fillId="2" borderId="0" xfId="0" applyFont="1" applyFill="1"/>
    <xf numFmtId="0" fontId="0" fillId="0" borderId="0" xfId="0" applyFill="1" applyBorder="1" applyAlignment="1">
      <alignment horizontal="center"/>
    </xf>
    <xf numFmtId="14" fontId="0" fillId="0" borderId="0" xfId="0" applyNumberFormat="1"/>
    <xf numFmtId="14" fontId="0" fillId="0" borderId="0" xfId="0" applyNumberFormat="1" applyAlignment="1">
      <alignment horizontal="center"/>
    </xf>
    <xf numFmtId="0" fontId="26" fillId="0" borderId="7" xfId="0" applyFont="1" applyBorder="1" applyAlignment="1">
      <alignment vertical="center"/>
    </xf>
    <xf numFmtId="44" fontId="0" fillId="8" borderId="0" xfId="0" applyNumberFormat="1" applyFill="1"/>
    <xf numFmtId="0" fontId="2" fillId="8" borderId="0" xfId="0" applyFont="1" applyFill="1"/>
    <xf numFmtId="164" fontId="2" fillId="8" borderId="0" xfId="3" applyFont="1" applyFill="1"/>
    <xf numFmtId="0" fontId="2" fillId="8" borderId="0" xfId="0" applyFont="1" applyFill="1" applyBorder="1" applyAlignment="1">
      <alignment horizontal="center"/>
    </xf>
    <xf numFmtId="0" fontId="3" fillId="0" borderId="1" xfId="0" applyFont="1" applyBorder="1" applyAlignment="1">
      <alignment horizontal="justify" vertical="center" wrapText="1"/>
    </xf>
    <xf numFmtId="0" fontId="7" fillId="0" borderId="1" xfId="0" applyFont="1" applyBorder="1" applyAlignment="1">
      <alignment wrapText="1"/>
    </xf>
    <xf numFmtId="0" fontId="7" fillId="0" borderId="1" xfId="0" applyFont="1" applyBorder="1" applyAlignment="1">
      <alignment horizontal="justify" vertical="center"/>
    </xf>
    <xf numFmtId="0" fontId="0" fillId="0" borderId="1" xfId="0" applyFill="1" applyBorder="1"/>
    <xf numFmtId="0" fontId="0" fillId="5" borderId="1" xfId="0" applyFill="1" applyBorder="1"/>
    <xf numFmtId="0" fontId="0" fillId="8" borderId="1" xfId="0" applyFill="1" applyBorder="1"/>
    <xf numFmtId="16" fontId="0" fillId="0" borderId="1" xfId="0" applyNumberFormat="1" applyBorder="1"/>
    <xf numFmtId="0" fontId="5" fillId="0" borderId="1" xfId="0" applyFont="1" applyBorder="1" applyAlignment="1">
      <alignment horizontal="left" vertical="center" wrapText="1" indent="1"/>
    </xf>
    <xf numFmtId="164" fontId="0" fillId="0" borderId="0" xfId="0" applyNumberFormat="1"/>
    <xf numFmtId="44" fontId="38" fillId="0" borderId="24" xfId="2" applyFont="1" applyBorder="1" applyAlignment="1"/>
    <xf numFmtId="166" fontId="0" fillId="0" borderId="1" xfId="3" applyNumberFormat="1" applyFont="1" applyBorder="1"/>
    <xf numFmtId="166" fontId="0" fillId="0" borderId="1" xfId="0" applyNumberFormat="1" applyBorder="1"/>
    <xf numFmtId="166" fontId="0" fillId="2" borderId="0" xfId="0" applyNumberFormat="1" applyFill="1"/>
    <xf numFmtId="14" fontId="0" fillId="5" borderId="0" xfId="0" applyNumberFormat="1" applyFill="1"/>
    <xf numFmtId="165" fontId="29" fillId="0" borderId="1" xfId="0" applyNumberFormat="1" applyFont="1" applyBorder="1" applyAlignment="1">
      <alignment horizontal="center" vertical="center" wrapText="1"/>
    </xf>
    <xf numFmtId="165" fontId="29" fillId="0" borderId="1" xfId="0" applyNumberFormat="1" applyFont="1" applyBorder="1" applyAlignment="1">
      <alignment horizontal="center" vertical="center" wrapText="1"/>
    </xf>
    <xf numFmtId="3" fontId="7" fillId="7" borderId="1" xfId="0" applyNumberFormat="1" applyFont="1" applyFill="1" applyBorder="1"/>
    <xf numFmtId="10" fontId="0" fillId="0" borderId="1" xfId="12" applyNumberFormat="1" applyFont="1" applyBorder="1" applyAlignment="1">
      <alignment horizontal="center"/>
    </xf>
    <xf numFmtId="164" fontId="8" fillId="0" borderId="0" xfId="3" applyFont="1"/>
    <xf numFmtId="0" fontId="0" fillId="0" borderId="0" xfId="0" applyNumberFormat="1"/>
    <xf numFmtId="164" fontId="4" fillId="0" borderId="0" xfId="3" applyFont="1" applyAlignment="1">
      <alignment wrapText="1"/>
    </xf>
    <xf numFmtId="0" fontId="40" fillId="0" borderId="1" xfId="0" applyFont="1" applyBorder="1" applyAlignment="1">
      <alignment horizontal="left" vertical="center" wrapText="1"/>
    </xf>
    <xf numFmtId="0" fontId="0" fillId="0" borderId="0" xfId="0" pivotButton="1"/>
    <xf numFmtId="0" fontId="0" fillId="0" borderId="0" xfId="0" applyAlignment="1">
      <alignment horizontal="left"/>
    </xf>
    <xf numFmtId="0" fontId="0" fillId="13" borderId="27" xfId="0" applyNumberFormat="1" applyFont="1" applyFill="1" applyBorder="1"/>
    <xf numFmtId="0" fontId="0" fillId="13" borderId="28" xfId="0" applyNumberFormat="1" applyFont="1" applyFill="1" applyBorder="1"/>
    <xf numFmtId="0" fontId="0" fillId="0" borderId="27" xfId="0" applyNumberFormat="1" applyFont="1" applyBorder="1"/>
    <xf numFmtId="0" fontId="0" fillId="0" borderId="28" xfId="0" applyNumberFormat="1" applyFont="1" applyBorder="1"/>
    <xf numFmtId="0" fontId="23" fillId="10" borderId="1" xfId="0" applyFont="1" applyFill="1" applyBorder="1" applyAlignment="1">
      <alignment vertical="center" wrapText="1"/>
    </xf>
    <xf numFmtId="0" fontId="23" fillId="10" borderId="1" xfId="0" applyFont="1" applyFill="1" applyBorder="1" applyAlignment="1">
      <alignment horizontal="center" vertical="center" wrapText="1"/>
    </xf>
    <xf numFmtId="6" fontId="0" fillId="0" borderId="0" xfId="0" applyNumberFormat="1"/>
    <xf numFmtId="164" fontId="0" fillId="14" borderId="0" xfId="3" applyFont="1" applyFill="1"/>
    <xf numFmtId="164" fontId="0" fillId="14" borderId="1" xfId="3" applyFont="1" applyFill="1" applyBorder="1"/>
    <xf numFmtId="164" fontId="8" fillId="14" borderId="1" xfId="3" applyFont="1" applyFill="1" applyBorder="1"/>
    <xf numFmtId="164" fontId="0" fillId="14" borderId="19" xfId="3" applyFont="1" applyFill="1" applyBorder="1"/>
    <xf numFmtId="164" fontId="0" fillId="15" borderId="1" xfId="3" applyFont="1" applyFill="1" applyBorder="1"/>
    <xf numFmtId="164" fontId="2" fillId="14" borderId="1" xfId="3" applyFont="1" applyFill="1" applyBorder="1"/>
    <xf numFmtId="164" fontId="41" fillId="14" borderId="1" xfId="3" applyFont="1" applyFill="1" applyBorder="1"/>
    <xf numFmtId="164" fontId="2" fillId="14" borderId="19" xfId="3" applyFont="1" applyFill="1" applyBorder="1"/>
    <xf numFmtId="164" fontId="2" fillId="15" borderId="1" xfId="3" applyFont="1" applyFill="1" applyBorder="1"/>
    <xf numFmtId="164" fontId="0" fillId="15" borderId="19" xfId="3" applyFont="1" applyFill="1" applyBorder="1" applyAlignment="1">
      <alignment wrapText="1"/>
    </xf>
    <xf numFmtId="164" fontId="2" fillId="15" borderId="19" xfId="3" applyFont="1" applyFill="1" applyBorder="1" applyAlignment="1">
      <alignment horizontal="center" wrapText="1"/>
    </xf>
    <xf numFmtId="164" fontId="2" fillId="15" borderId="19" xfId="3" applyFont="1" applyFill="1" applyBorder="1" applyAlignment="1">
      <alignment wrapText="1"/>
    </xf>
    <xf numFmtId="0" fontId="0" fillId="15" borderId="1" xfId="0" applyFill="1" applyBorder="1" applyAlignment="1">
      <alignment horizontal="center" wrapText="1"/>
    </xf>
    <xf numFmtId="0" fontId="0" fillId="15" borderId="1" xfId="0" applyFill="1" applyBorder="1" applyAlignment="1">
      <alignment wrapText="1"/>
    </xf>
    <xf numFmtId="164" fontId="0" fillId="0" borderId="0" xfId="3" applyFont="1" applyFill="1" applyBorder="1" applyAlignment="1">
      <alignment wrapText="1"/>
    </xf>
    <xf numFmtId="0" fontId="0" fillId="14" borderId="0" xfId="0" applyFill="1" applyAlignment="1">
      <alignment wrapText="1"/>
    </xf>
    <xf numFmtId="0" fontId="0" fillId="14" borderId="1" xfId="0" applyFill="1" applyBorder="1" applyAlignment="1">
      <alignment wrapText="1"/>
    </xf>
    <xf numFmtId="164" fontId="42" fillId="15" borderId="1" xfId="3" applyFont="1" applyFill="1" applyBorder="1" applyAlignment="1">
      <alignment wrapText="1"/>
    </xf>
    <xf numFmtId="44" fontId="2" fillId="10" borderId="1" xfId="2" applyFont="1" applyFill="1" applyBorder="1" applyAlignment="1">
      <alignment horizontal="center" vertical="center" wrapText="1"/>
    </xf>
    <xf numFmtId="44" fontId="2" fillId="10" borderId="1" xfId="2" applyFont="1" applyFill="1" applyBorder="1" applyAlignment="1">
      <alignment horizontal="center" vertical="center"/>
    </xf>
    <xf numFmtId="4" fontId="2" fillId="10" borderId="1" xfId="0" applyNumberFormat="1" applyFont="1" applyFill="1" applyBorder="1" applyAlignment="1">
      <alignment horizontal="center" vertical="center" wrapText="1"/>
    </xf>
    <xf numFmtId="49" fontId="2" fillId="10" borderId="1" xfId="0" applyNumberFormat="1" applyFont="1" applyFill="1" applyBorder="1" applyAlignment="1">
      <alignment horizontal="center" vertical="center" wrapText="1"/>
    </xf>
    <xf numFmtId="0" fontId="27" fillId="4" borderId="1" xfId="0" applyFont="1" applyFill="1" applyBorder="1" applyAlignment="1">
      <alignment vertical="top" wrapText="1" indent="1"/>
    </xf>
    <xf numFmtId="44" fontId="0" fillId="0" borderId="1" xfId="2" applyFont="1" applyFill="1" applyBorder="1" applyAlignment="1">
      <alignment vertical="center"/>
    </xf>
    <xf numFmtId="44" fontId="0" fillId="0" borderId="0" xfId="2" applyFont="1"/>
    <xf numFmtId="10" fontId="0" fillId="0" borderId="1" xfId="12" applyNumberFormat="1" applyFont="1" applyBorder="1" applyAlignment="1">
      <alignment horizontal="center" vertical="center"/>
    </xf>
    <xf numFmtId="49" fontId="0" fillId="0" borderId="1" xfId="12" applyNumberFormat="1" applyFont="1" applyFill="1" applyBorder="1" applyAlignment="1">
      <alignment horizontal="right" vertical="center" wrapText="1"/>
    </xf>
    <xf numFmtId="10" fontId="0" fillId="0" borderId="1" xfId="12" applyNumberFormat="1" applyFont="1" applyFill="1" applyBorder="1" applyAlignment="1">
      <alignment horizontal="center" vertical="center"/>
    </xf>
    <xf numFmtId="49" fontId="0" fillId="0" borderId="1" xfId="0" applyNumberFormat="1" applyBorder="1" applyAlignment="1">
      <alignment horizontal="right" vertical="center" wrapText="1"/>
    </xf>
    <xf numFmtId="44" fontId="0" fillId="0" borderId="1" xfId="2" applyFont="1" applyBorder="1" applyAlignment="1">
      <alignment vertical="center"/>
    </xf>
    <xf numFmtId="44" fontId="2" fillId="0" borderId="1" xfId="2" applyFont="1" applyFill="1" applyBorder="1"/>
    <xf numFmtId="0" fontId="4" fillId="0" borderId="0" xfId="0" applyFont="1" applyAlignment="1">
      <alignment wrapText="1"/>
    </xf>
    <xf numFmtId="44" fontId="0" fillId="0" borderId="0" xfId="2" applyFont="1" applyAlignment="1">
      <alignment wrapText="1"/>
    </xf>
    <xf numFmtId="49" fontId="0" fillId="0" borderId="0" xfId="0" applyNumberFormat="1" applyAlignment="1">
      <alignment wrapText="1"/>
    </xf>
    <xf numFmtId="44" fontId="2" fillId="0" borderId="1" xfId="2" applyFont="1" applyBorder="1" applyAlignment="1">
      <alignment vertical="center"/>
    </xf>
    <xf numFmtId="4" fontId="0" fillId="0" borderId="0" xfId="0" applyNumberFormat="1"/>
    <xf numFmtId="44" fontId="2" fillId="0" borderId="0" xfId="2" applyFont="1"/>
    <xf numFmtId="44" fontId="0" fillId="0" borderId="0" xfId="2" applyFont="1" applyAlignment="1">
      <alignment vertical="center"/>
    </xf>
    <xf numFmtId="4" fontId="0" fillId="0" borderId="0" xfId="0" applyNumberFormat="1" applyAlignment="1">
      <alignment vertical="center"/>
    </xf>
    <xf numFmtId="49" fontId="0" fillId="0" borderId="0" xfId="0" applyNumberFormat="1" applyAlignment="1">
      <alignment vertical="center" wrapText="1"/>
    </xf>
    <xf numFmtId="0" fontId="4" fillId="0" borderId="0" xfId="0" applyFont="1" applyAlignment="1">
      <alignment vertical="center" wrapText="1"/>
    </xf>
    <xf numFmtId="0" fontId="0" fillId="0" borderId="0" xfId="0" applyAlignment="1">
      <alignment vertical="center"/>
    </xf>
    <xf numFmtId="44" fontId="2" fillId="8" borderId="1" xfId="2" applyFont="1" applyFill="1" applyBorder="1" applyAlignment="1">
      <alignment vertical="center"/>
    </xf>
    <xf numFmtId="0" fontId="28" fillId="0" borderId="1" xfId="0" applyFont="1" applyBorder="1" applyAlignment="1">
      <alignment horizontal="center"/>
    </xf>
    <xf numFmtId="1" fontId="36" fillId="2" borderId="19" xfId="0" applyNumberFormat="1" applyFont="1" applyFill="1" applyBorder="1" applyAlignment="1" applyProtection="1">
      <alignment horizontal="center" vertical="center"/>
      <protection hidden="1"/>
    </xf>
    <xf numFmtId="166" fontId="28" fillId="0" borderId="1" xfId="3" applyNumberFormat="1" applyFont="1" applyBorder="1"/>
    <xf numFmtId="166" fontId="28" fillId="0" borderId="1" xfId="3" applyNumberFormat="1" applyFont="1" applyBorder="1" applyAlignment="1">
      <alignment horizontal="center"/>
    </xf>
    <xf numFmtId="15" fontId="28" fillId="0" borderId="1" xfId="3" applyNumberFormat="1" applyFont="1" applyBorder="1"/>
    <xf numFmtId="6" fontId="2" fillId="0" borderId="1" xfId="0" applyNumberFormat="1" applyFont="1" applyBorder="1"/>
    <xf numFmtId="0" fontId="2" fillId="16" borderId="1" xfId="0" applyFont="1" applyFill="1" applyBorder="1" applyAlignment="1">
      <alignment wrapText="1"/>
    </xf>
    <xf numFmtId="0" fontId="2" fillId="16" borderId="1" xfId="0" applyFont="1" applyFill="1" applyBorder="1"/>
    <xf numFmtId="44" fontId="0" fillId="0" borderId="1" xfId="0" applyNumberFormat="1" applyBorder="1"/>
    <xf numFmtId="10" fontId="0" fillId="0" borderId="1" xfId="0" applyNumberFormat="1" applyBorder="1"/>
    <xf numFmtId="44" fontId="2" fillId="16" borderId="1" xfId="0" applyNumberFormat="1" applyFont="1" applyFill="1" applyBorder="1"/>
    <xf numFmtId="164" fontId="2" fillId="14" borderId="1" xfId="3" applyFont="1" applyFill="1" applyBorder="1" applyAlignment="1">
      <alignment horizontal="center"/>
    </xf>
    <xf numFmtId="164" fontId="2" fillId="14" borderId="19" xfId="3" applyFont="1" applyFill="1" applyBorder="1" applyAlignment="1">
      <alignment horizontal="center"/>
    </xf>
    <xf numFmtId="164" fontId="2" fillId="15" borderId="1" xfId="3" applyFont="1" applyFill="1" applyBorder="1" applyAlignment="1">
      <alignment horizontal="center"/>
    </xf>
    <xf numFmtId="0" fontId="0" fillId="0" borderId="25" xfId="0" applyBorder="1" applyAlignment="1">
      <alignment horizontal="center"/>
    </xf>
    <xf numFmtId="0" fontId="0" fillId="0" borderId="0" xfId="0" applyAlignment="1">
      <alignment horizontal="center"/>
    </xf>
    <xf numFmtId="0" fontId="0" fillId="0" borderId="26"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xf numFmtId="0" fontId="30" fillId="4" borderId="0" xfId="0" applyFont="1" applyFill="1" applyAlignment="1">
      <alignment horizontal="center" vertical="center" wrapText="1"/>
    </xf>
    <xf numFmtId="0" fontId="0" fillId="0" borderId="23" xfId="0" applyBorder="1" applyAlignment="1"/>
    <xf numFmtId="16"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xf numFmtId="0" fontId="28" fillId="0" borderId="1" xfId="0" applyFont="1" applyBorder="1" applyAlignment="1">
      <alignment horizontal="center"/>
    </xf>
    <xf numFmtId="164" fontId="23" fillId="0" borderId="1" xfId="3" applyFont="1" applyBorder="1" applyAlignment="1">
      <alignment horizontal="center" wrapText="1"/>
    </xf>
    <xf numFmtId="0" fontId="2" fillId="0" borderId="1" xfId="0" applyFont="1" applyBorder="1" applyAlignment="1">
      <alignment horizontal="center"/>
    </xf>
    <xf numFmtId="0" fontId="2" fillId="16" borderId="1" xfId="0" applyFont="1" applyFill="1" applyBorder="1" applyAlignment="1">
      <alignment horizontal="center"/>
    </xf>
    <xf numFmtId="0" fontId="4" fillId="0" borderId="1" xfId="0" applyFont="1" applyBorder="1" applyAlignment="1">
      <alignment horizontal="center" wrapText="1"/>
    </xf>
    <xf numFmtId="0" fontId="28" fillId="2" borderId="19" xfId="0" applyFont="1" applyFill="1" applyBorder="1" applyAlignment="1">
      <alignment horizontal="center"/>
    </xf>
    <xf numFmtId="0" fontId="28" fillId="2" borderId="20" xfId="0" applyFont="1" applyFill="1" applyBorder="1" applyAlignment="1">
      <alignment horizontal="center"/>
    </xf>
    <xf numFmtId="0" fontId="28" fillId="2" borderId="2" xfId="0" applyFont="1" applyFill="1" applyBorder="1" applyAlignment="1">
      <alignment horizontal="center"/>
    </xf>
    <xf numFmtId="165" fontId="29" fillId="0" borderId="1" xfId="0" applyNumberFormat="1" applyFont="1" applyBorder="1" applyAlignment="1">
      <alignment horizontal="center" vertical="center" wrapText="1"/>
    </xf>
    <xf numFmtId="0" fontId="2" fillId="0" borderId="1" xfId="0" applyFont="1" applyBorder="1" applyAlignment="1">
      <alignment horizontal="center" wrapText="1"/>
    </xf>
    <xf numFmtId="0" fontId="23" fillId="0" borderId="6" xfId="0" applyFont="1" applyBorder="1" applyAlignment="1">
      <alignment horizontal="center" vertical="center"/>
    </xf>
    <xf numFmtId="0" fontId="23" fillId="0" borderId="1" xfId="0" applyFont="1" applyBorder="1" applyAlignment="1">
      <alignment horizontal="center" vertical="center" wrapText="1"/>
    </xf>
    <xf numFmtId="0" fontId="23" fillId="10" borderId="1" xfId="0" applyFont="1" applyFill="1" applyBorder="1" applyAlignment="1">
      <alignment vertical="center" wrapText="1"/>
    </xf>
    <xf numFmtId="0" fontId="23" fillId="10" borderId="1" xfId="0" applyFont="1" applyFill="1" applyBorder="1" applyAlignment="1">
      <alignment vertical="center"/>
    </xf>
    <xf numFmtId="0" fontId="23" fillId="10" borderId="2" xfId="0" applyFont="1" applyFill="1" applyBorder="1" applyAlignment="1">
      <alignment horizontal="center" wrapText="1"/>
    </xf>
    <xf numFmtId="0" fontId="23" fillId="10" borderId="1" xfId="0" applyFont="1" applyFill="1" applyBorder="1" applyAlignment="1">
      <alignment horizontal="center" wrapText="1"/>
    </xf>
    <xf numFmtId="0" fontId="23" fillId="10" borderId="1" xfId="0" applyFont="1" applyFill="1" applyBorder="1" applyAlignment="1">
      <alignment horizontal="center" vertical="center" wrapText="1"/>
    </xf>
  </cellXfs>
  <cellStyles count="13">
    <cellStyle name="Hyperlink" xfId="1" xr:uid="{00000000-000B-0000-0000-000008000000}"/>
    <cellStyle name="Millares 2" xfId="4" xr:uid="{7CAA547E-E8F5-467E-8A31-558693AC6F27}"/>
    <cellStyle name="Moneda" xfId="3" builtinId="4"/>
    <cellStyle name="Moneda [0]" xfId="11" builtinId="7"/>
    <cellStyle name="Moneda [0] 2" xfId="5" xr:uid="{51B8E766-4C23-4BE5-920E-51AA3E36B0FD}"/>
    <cellStyle name="Moneda 2" xfId="2" xr:uid="{92713FDC-BBE9-482C-B5A4-E6B408780C69}"/>
    <cellStyle name="Moneda 3" xfId="6" xr:uid="{BAB4B534-509A-4F1B-B26C-D80DBC3B6642}"/>
    <cellStyle name="Moneda 4" xfId="9" xr:uid="{C09B2F7B-A3B4-4265-AC94-EE5894E0AD9A}"/>
    <cellStyle name="Moneda 5" xfId="10" xr:uid="{9298C5AE-376E-42EB-8DB1-3915FF3D1D20}"/>
    <cellStyle name="Normal" xfId="0" builtinId="0"/>
    <cellStyle name="Normal 2" xfId="7" xr:uid="{A9214D48-9AF9-409E-9D6C-2C1A7F654F47}"/>
    <cellStyle name="Normal 2 2" xfId="8" xr:uid="{E21A6442-E306-4377-ADC8-805EB33C7B5A}"/>
    <cellStyle name="Porcentaje" xfId="12" builtinId="5"/>
  </cellStyles>
  <dxfs count="67">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pivotTable" Target="pivotTables/pivotTable2.xml"/><Relationship Id="rId42" Type="http://schemas.openxmlformats.org/officeDocument/2006/relationships/calcChain" Target="calcChain.xml"/><Relationship Id="rId47" Type="http://schemas.openxmlformats.org/officeDocument/2006/relationships/customXml" Target="../customXml/item5.xml"/><Relationship Id="rId50" Type="http://schemas.openxmlformats.org/officeDocument/2006/relationships/customXml" Target="../customXml/item8.xml"/><Relationship Id="rId55" Type="http://schemas.openxmlformats.org/officeDocument/2006/relationships/customXml" Target="../customXml/item13.xml"/><Relationship Id="rId63" Type="http://schemas.openxmlformats.org/officeDocument/2006/relationships/customXml" Target="../customXml/item2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pivotCacheDefinition" Target="pivotCache/pivotCacheDefinition3.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pivotCacheDefinition" Target="pivotCache/pivotCacheDefinition6.xml"/><Relationship Id="rId37" Type="http://schemas.openxmlformats.org/officeDocument/2006/relationships/theme" Target="theme/theme1.xml"/><Relationship Id="rId40" Type="http://schemas.openxmlformats.org/officeDocument/2006/relationships/sharedStrings" Target="sharedStrings.xml"/><Relationship Id="rId45" Type="http://schemas.openxmlformats.org/officeDocument/2006/relationships/customXml" Target="../customXml/item3.xml"/><Relationship Id="rId53" Type="http://schemas.openxmlformats.org/officeDocument/2006/relationships/customXml" Target="../customXml/item11.xml"/><Relationship Id="rId58" Type="http://schemas.openxmlformats.org/officeDocument/2006/relationships/customXml" Target="../customXml/item16.xml"/><Relationship Id="rId5" Type="http://schemas.openxmlformats.org/officeDocument/2006/relationships/worksheet" Target="worksheets/sheet5.xml"/><Relationship Id="rId61" Type="http://schemas.openxmlformats.org/officeDocument/2006/relationships/customXml" Target="../customXml/item19.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pivotCacheDefinition" Target="pivotCache/pivotCacheDefinition1.xml"/><Relationship Id="rId30" Type="http://schemas.openxmlformats.org/officeDocument/2006/relationships/pivotCacheDefinition" Target="pivotCache/pivotCacheDefinition4.xml"/><Relationship Id="rId35" Type="http://schemas.openxmlformats.org/officeDocument/2006/relationships/pivotTable" Target="pivotTables/pivotTable3.xml"/><Relationship Id="rId43" Type="http://schemas.openxmlformats.org/officeDocument/2006/relationships/customXml" Target="../customXml/item1.xml"/><Relationship Id="rId48" Type="http://schemas.openxmlformats.org/officeDocument/2006/relationships/customXml" Target="../customXml/item6.xml"/><Relationship Id="rId56" Type="http://schemas.openxmlformats.org/officeDocument/2006/relationships/customXml" Target="../customXml/item14.xml"/><Relationship Id="rId8" Type="http://schemas.openxmlformats.org/officeDocument/2006/relationships/worksheet" Target="worksheets/sheet8.xml"/><Relationship Id="rId51" Type="http://schemas.openxmlformats.org/officeDocument/2006/relationships/customXml" Target="../customXml/item9.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pivotTable" Target="pivotTables/pivotTable1.xml"/><Relationship Id="rId38" Type="http://schemas.openxmlformats.org/officeDocument/2006/relationships/connections" Target="connections.xml"/><Relationship Id="rId46" Type="http://schemas.openxmlformats.org/officeDocument/2006/relationships/customXml" Target="../customXml/item4.xml"/><Relationship Id="rId59" Type="http://schemas.openxmlformats.org/officeDocument/2006/relationships/customXml" Target="../customXml/item17.xml"/><Relationship Id="rId20" Type="http://schemas.openxmlformats.org/officeDocument/2006/relationships/worksheet" Target="worksheets/sheet20.xml"/><Relationship Id="rId41" Type="http://schemas.openxmlformats.org/officeDocument/2006/relationships/powerPivotData" Target="model/item.data"/><Relationship Id="rId54" Type="http://schemas.openxmlformats.org/officeDocument/2006/relationships/customXml" Target="../customXml/item12.xml"/><Relationship Id="rId62" Type="http://schemas.openxmlformats.org/officeDocument/2006/relationships/customXml" Target="../customXml/item20.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pivotCacheDefinition" Target="pivotCache/pivotCacheDefinition2.xml"/><Relationship Id="rId36" Type="http://schemas.openxmlformats.org/officeDocument/2006/relationships/pivotTable" Target="pivotTables/pivotTable4.xml"/><Relationship Id="rId49" Type="http://schemas.openxmlformats.org/officeDocument/2006/relationships/customXml" Target="../customXml/item7.xml"/><Relationship Id="rId57" Type="http://schemas.openxmlformats.org/officeDocument/2006/relationships/customXml" Target="../customXml/item15.xml"/><Relationship Id="rId10" Type="http://schemas.openxmlformats.org/officeDocument/2006/relationships/worksheet" Target="worksheets/sheet10.xml"/><Relationship Id="rId31" Type="http://schemas.openxmlformats.org/officeDocument/2006/relationships/pivotCacheDefinition" Target="pivotCache/pivotCacheDefinition5.xml"/><Relationship Id="rId44" Type="http://schemas.openxmlformats.org/officeDocument/2006/relationships/customXml" Target="../customXml/item2.xml"/><Relationship Id="rId52" Type="http://schemas.openxmlformats.org/officeDocument/2006/relationships/customXml" Target="../customXml/item10.xml"/><Relationship Id="rId60" Type="http://schemas.openxmlformats.org/officeDocument/2006/relationships/customXml" Target="../customXml/item18.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O"/>
        </a:p>
      </c:txPr>
    </c:title>
    <c:autoTitleDeleted val="0"/>
    <c:pivotFmts>
      <c:pivotFmt>
        <c:idx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dLblPos val="ctr"/>
          <c:showLegendKey val="0"/>
          <c:showVal val="0"/>
          <c:showCatName val="0"/>
          <c:showSerName val="0"/>
          <c:showPercent val="1"/>
          <c:showBubbleSize val="0"/>
          <c:extLst>
            <c:ext xmlns:c15="http://schemas.microsoft.com/office/drawing/2012/chart" uri="{CE6537A1-D6FC-4f65-9D91-7224C49458BB}"/>
          </c:extLst>
        </c:dLbl>
      </c:pivotFmt>
      <c:pivotFmt>
        <c:idx val="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
        <c:idx val="2"/>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
        <c:idx val="3"/>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
        <c:idx val="4"/>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
        <c:idx val="5"/>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
        <c:idx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pivotFmt>
    </c:pivotFmts>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tx>
            <c:v>Total</c:v>
          </c:tx>
          <c:dPt>
            <c:idx val="0"/>
            <c:bubble3D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1-E7F1-4CC3-9EF2-CF3DFB3D5CC9}"/>
              </c:ext>
            </c:extLst>
          </c:dPt>
          <c:dPt>
            <c:idx val="1"/>
            <c:bubble3D val="0"/>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3-E7F1-4CC3-9EF2-CF3DFB3D5CC9}"/>
              </c:ext>
            </c:extLst>
          </c:dPt>
          <c:dPt>
            <c:idx val="2"/>
            <c:bubble3D val="0"/>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5-E7F1-4CC3-9EF2-CF3DFB3D5CC9}"/>
              </c:ext>
            </c:extLst>
          </c:dPt>
          <c:dPt>
            <c:idx val="3"/>
            <c:bubble3D val="0"/>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7-E7F1-4CC3-9EF2-CF3DFB3D5CC9}"/>
              </c:ext>
            </c:extLst>
          </c:dPt>
          <c:dPt>
            <c:idx val="4"/>
            <c:bubble3D val="0"/>
            <c:spPr>
              <a:gradFill rotWithShape="1">
                <a:gsLst>
                  <a:gs pos="0">
                    <a:schemeClr val="accent5">
                      <a:satMod val="103000"/>
                      <a:lumMod val="102000"/>
                      <a:tint val="94000"/>
                    </a:schemeClr>
                  </a:gs>
                  <a:gs pos="50000">
                    <a:schemeClr val="accent5">
                      <a:satMod val="110000"/>
                      <a:lumMod val="100000"/>
                      <a:shade val="100000"/>
                    </a:schemeClr>
                  </a:gs>
                  <a:gs pos="100000">
                    <a:schemeClr val="accent5">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9-E7F1-4CC3-9EF2-CF3DFB3D5CC9}"/>
              </c:ext>
            </c:extLst>
          </c:dPt>
          <c:dPt>
            <c:idx val="5"/>
            <c:bubble3D val="0"/>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extLst>
              <c:ext xmlns:c16="http://schemas.microsoft.com/office/drawing/2014/chart" uri="{C3380CC4-5D6E-409C-BE32-E72D297353CC}">
                <c16:uniqueId val="{0000000B-E7F1-4CC3-9EF2-CF3DFB3D5CC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dLblPos val="ctr"/>
            <c:showLegendKey val="0"/>
            <c:showVal val="0"/>
            <c:showCatName val="0"/>
            <c:showSerName val="0"/>
            <c:showPercent val="1"/>
            <c:showBubbleSize val="0"/>
            <c:showLeaderLines val="1"/>
            <c:leaderLines>
              <c:spPr>
                <a:ln w="9525">
                  <a:solidFill>
                    <a:schemeClr val="lt1">
                      <a:lumMod val="95000"/>
                      <a:alpha val="54000"/>
                    </a:schemeClr>
                  </a:solidFill>
                </a:ln>
                <a:effectLst/>
              </c:spPr>
            </c:leaderLines>
            <c:extLst>
              <c:ext xmlns:c15="http://schemas.microsoft.com/office/drawing/2012/chart" uri="{CE6537A1-D6FC-4f65-9D91-7224C49458BB}"/>
            </c:extLst>
          </c:dLbls>
          <c:cat>
            <c:strLit>
              <c:ptCount val="6"/>
              <c:pt idx="0">
                <c:v>Especial</c:v>
              </c:pt>
              <c:pt idx="1">
                <c:v>hawaiana</c:v>
              </c:pt>
              <c:pt idx="2">
                <c:v>Holandesa</c:v>
              </c:pt>
              <c:pt idx="3">
                <c:v>pepperoni</c:v>
              </c:pt>
              <c:pt idx="4">
                <c:v>Pollo</c:v>
              </c:pt>
              <c:pt idx="5">
                <c:v>Pollo Miel</c:v>
              </c:pt>
            </c:strLit>
          </c:cat>
          <c:val>
            <c:numLit>
              <c:formatCode>\$\ #,##0.00;\-\$\ #,##0.00;\$\ #,##0.00</c:formatCode>
              <c:ptCount val="6"/>
              <c:pt idx="0">
                <c:v>55454.032299999999</c:v>
              </c:pt>
              <c:pt idx="1">
                <c:v>65091</c:v>
              </c:pt>
              <c:pt idx="2">
                <c:v>44564.2376</c:v>
              </c:pt>
              <c:pt idx="3">
                <c:v>53568.826300000001</c:v>
              </c:pt>
              <c:pt idx="4">
                <c:v>68455.930900000007</c:v>
              </c:pt>
              <c:pt idx="5">
                <c:v>62465.157099999997</c:v>
              </c:pt>
            </c:numLit>
          </c:val>
          <c:extLst>
            <c:ext xmlns:c16="http://schemas.microsoft.com/office/drawing/2014/chart" uri="{C3380CC4-5D6E-409C-BE32-E72D297353CC}">
              <c16:uniqueId val="{00000000-4EF3-452A-9333-169742FC99A5}"/>
            </c:ext>
          </c:extLst>
        </c:ser>
        <c:dLbls>
          <c:dLblPos val="ctr"/>
          <c:showLegendKey val="0"/>
          <c:showVal val="0"/>
          <c:showCatName val="0"/>
          <c:showSerName val="0"/>
          <c:showPercent val="1"/>
          <c:showBubbleSize val="0"/>
          <c:showLeaderLines val="1"/>
        </c:dLbls>
      </c:pie3DChart>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O"/>
    </a:p>
  </c:txPr>
  <c:extLst>
    <c:ext xmlns:c15="http://schemas.microsoft.com/office/drawing/2012/chart" uri="{723BEF56-08C2-4564-9609-F4CBC75E7E54}">
      <c15:pivotSource>
        <c15:name>[plan pagos COMPLEMENTARIA 4.xlsx]PivotChartTable1</c15:name>
        <c15:fmtId val="0"/>
      </c15:pivotSource>
      <c15:pivotOptions>
        <c15:dropZoneFilter val="1"/>
        <c15:dropZoneCategories val="1"/>
        <c15:dropZoneData val="1"/>
        <c15:dropZoneSeries val="1"/>
        <c15:dropZonesVisible val="1"/>
      </c15: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v>Total</c:v>
          </c:tx>
          <c:spPr>
            <a:solidFill>
              <a:schemeClr val="accent6"/>
            </a:solidFill>
            <a:ln>
              <a:noFill/>
            </a:ln>
            <a:effectLst/>
          </c:spPr>
          <c:invertIfNegative val="0"/>
          <c:cat>
            <c:strLit>
              <c:ptCount val="6"/>
              <c:pt idx="0">
                <c:v>Alba Mercado</c:v>
              </c:pt>
              <c:pt idx="1">
                <c:v>Alejandro Maraby</c:v>
              </c:pt>
              <c:pt idx="2">
                <c:v>Mercedes Anaya</c:v>
              </c:pt>
              <c:pt idx="3">
                <c:v>Miguel Merlano</c:v>
              </c:pt>
              <c:pt idx="4">
                <c:v>Victor Larios</c:v>
              </c:pt>
              <c:pt idx="5">
                <c:v>Zunilda Arroyo</c:v>
              </c:pt>
            </c:strLit>
          </c:cat>
          <c:val>
            <c:numLit>
              <c:formatCode>\$\ #,##0.00;\-\$\ #,##0.00;\$\ #,##0.00</c:formatCode>
              <c:ptCount val="6"/>
              <c:pt idx="0">
                <c:v>51509.9594</c:v>
              </c:pt>
              <c:pt idx="1">
                <c:v>57206.290200000003</c:v>
              </c:pt>
              <c:pt idx="2">
                <c:v>49823.878900000003</c:v>
              </c:pt>
              <c:pt idx="3">
                <c:v>67930.556400000001</c:v>
              </c:pt>
              <c:pt idx="4">
                <c:v>47373.515800000001</c:v>
              </c:pt>
              <c:pt idx="5">
                <c:v>75754.983500000002</c:v>
              </c:pt>
            </c:numLit>
          </c:val>
          <c:extLst>
            <c:ext xmlns:c16="http://schemas.microsoft.com/office/drawing/2014/chart" uri="{C3380CC4-5D6E-409C-BE32-E72D297353CC}">
              <c16:uniqueId val="{00000000-A7D5-4146-8A54-B75A80DC18D7}"/>
            </c:ext>
          </c:extLst>
        </c:ser>
        <c:dLbls>
          <c:showLegendKey val="0"/>
          <c:showVal val="0"/>
          <c:showCatName val="0"/>
          <c:showSerName val="0"/>
          <c:showPercent val="0"/>
          <c:showBubbleSize val="0"/>
        </c:dLbls>
        <c:gapWidth val="219"/>
        <c:overlap val="-27"/>
        <c:axId val="949547696"/>
        <c:axId val="949546032"/>
      </c:barChart>
      <c:catAx>
        <c:axId val="94954769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9546032"/>
        <c:crosses val="autoZero"/>
        <c:auto val="1"/>
        <c:lblAlgn val="ctr"/>
        <c:lblOffset val="100"/>
        <c:noMultiLvlLbl val="0"/>
        <c:extLst>
          <c:ext xmlns:c15="http://schemas.microsoft.com/office/drawing/2012/chart" uri="{F40574EE-89B7-4290-83BB-5DA773EAF853}">
            <c15:numFmt c:formatCode="General" c:sourceLinked="1"/>
          </c:ext>
        </c:extLst>
      </c:catAx>
      <c:valAx>
        <c:axId val="949546032"/>
        <c:scaling>
          <c:orientation val="minMax"/>
        </c:scaling>
        <c:delete val="0"/>
        <c:axPos val="l"/>
        <c:majorGridlines>
          <c:spPr>
            <a:ln w="9525" cap="flat" cmpd="sng" algn="ctr">
              <a:solidFill>
                <a:schemeClr val="tx1">
                  <a:lumMod val="15000"/>
                  <a:lumOff val="85000"/>
                </a:schemeClr>
              </a:solidFill>
              <a:round/>
            </a:ln>
            <a:effectLst/>
          </c:spPr>
        </c:majorGridlines>
        <c:numFmt formatCode="\$\ #,##0.00;\-\$\ #,##0.00;\$\ #,##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9547696"/>
        <c:crosses val="autoZero"/>
        <c:crossBetween val="between"/>
        <c:extLst>
          <c:ext xmlns:c15="http://schemas.microsoft.com/office/drawing/2012/chart" uri="{F40574EE-89B7-4290-83BB-5DA773EAF853}">
            <c15:numFmt c:formatCode="\$\ #,##0.00;\-\$\ #,##0.00;\$\ #,##0.00" c:sourceLinked="1"/>
          </c:ext>
        </c:extLs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extLst>
    <c:ext xmlns:c15="http://schemas.microsoft.com/office/drawing/2012/chart" uri="{723BEF56-08C2-4564-9609-F4CBC75E7E54}">
      <c15:pivotSource>
        <c15:name>[plan pagos COMPLEMENTARIA 4.xlsx]PivotChartTable2</c15:name>
        <c15:fmtId val="0"/>
      </c15:pivotSource>
      <c15:pivotOptions>
        <c15:dropZoneFilter val="1"/>
        <c15:dropZoneCategories val="1"/>
        <c15:dropZoneData val="1"/>
        <c15:dropZoneSeries val="1"/>
        <c15:dropZonesVisible val="1"/>
      </c15: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2"/>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v>Total</c:v>
          </c:tx>
          <c:spPr>
            <a:solidFill>
              <a:schemeClr val="accent2"/>
            </a:solidFill>
            <a:ln>
              <a:noFill/>
            </a:ln>
            <a:effectLst/>
          </c:spPr>
          <c:invertIfNegative val="0"/>
          <c:cat>
            <c:strLit>
              <c:ptCount val="4"/>
              <c:pt idx="0">
                <c:v>Barranquilla</c:v>
              </c:pt>
              <c:pt idx="1">
                <c:v>Bogotá</c:v>
              </c:pt>
              <c:pt idx="2">
                <c:v>Brasilia</c:v>
              </c:pt>
              <c:pt idx="3">
                <c:v>Medellín</c:v>
              </c:pt>
            </c:strLit>
          </c:cat>
          <c:val>
            <c:numLit>
              <c:formatCode>\$\ #,##0.00;\-\$\ #,##0.00;\$\ #,##0.00</c:formatCode>
              <c:ptCount val="4"/>
              <c:pt idx="0">
                <c:v>39081</c:v>
              </c:pt>
              <c:pt idx="1">
                <c:v>200908</c:v>
              </c:pt>
              <c:pt idx="2">
                <c:v>51456.184200000003</c:v>
              </c:pt>
              <c:pt idx="3">
                <c:v>58154</c:v>
              </c:pt>
            </c:numLit>
          </c:val>
          <c:extLst>
            <c:ext xmlns:c16="http://schemas.microsoft.com/office/drawing/2014/chart" uri="{C3380CC4-5D6E-409C-BE32-E72D297353CC}">
              <c16:uniqueId val="{00000000-2A77-412A-AA92-D286ADBE8AA4}"/>
            </c:ext>
          </c:extLst>
        </c:ser>
        <c:dLbls>
          <c:showLegendKey val="0"/>
          <c:showVal val="0"/>
          <c:showCatName val="0"/>
          <c:showSerName val="0"/>
          <c:showPercent val="0"/>
          <c:showBubbleSize val="0"/>
        </c:dLbls>
        <c:gapWidth val="219"/>
        <c:overlap val="-27"/>
        <c:axId val="1871962608"/>
        <c:axId val="1871960944"/>
      </c:barChart>
      <c:catAx>
        <c:axId val="1871962608"/>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871960944"/>
        <c:crosses val="autoZero"/>
        <c:auto val="1"/>
        <c:lblAlgn val="ctr"/>
        <c:lblOffset val="100"/>
        <c:noMultiLvlLbl val="0"/>
        <c:extLst>
          <c:ext xmlns:c15="http://schemas.microsoft.com/office/drawing/2012/chart" uri="{F40574EE-89B7-4290-83BB-5DA773EAF853}">
            <c15:numFmt c:formatCode="General" c:sourceLinked="1"/>
          </c:ext>
        </c:extLst>
      </c:catAx>
      <c:valAx>
        <c:axId val="1871960944"/>
        <c:scaling>
          <c:orientation val="minMax"/>
        </c:scaling>
        <c:delete val="0"/>
        <c:axPos val="l"/>
        <c:majorGridlines>
          <c:spPr>
            <a:ln w="9525" cap="flat" cmpd="sng" algn="ctr">
              <a:solidFill>
                <a:schemeClr val="tx1">
                  <a:lumMod val="15000"/>
                  <a:lumOff val="85000"/>
                </a:schemeClr>
              </a:solidFill>
              <a:round/>
            </a:ln>
            <a:effectLst/>
          </c:spPr>
        </c:majorGridlines>
        <c:numFmt formatCode="\$\ #,##0.00;\-\$\ #,##0.00;\$\ #,##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871962608"/>
        <c:crosses val="autoZero"/>
        <c:crossBetween val="between"/>
        <c:extLst>
          <c:ext xmlns:c15="http://schemas.microsoft.com/office/drawing/2012/chart" uri="{F40574EE-89B7-4290-83BB-5DA773EAF853}">
            <c15:numFmt c:formatCode="\$\ #,##0.00;\-\$\ #,##0.00;\$\ #,##0.00" c:sourceLinked="1"/>
          </c:ext>
        </c:extLs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extLst>
    <c:ext xmlns:c15="http://schemas.microsoft.com/office/drawing/2012/chart" uri="{723BEF56-08C2-4564-9609-F4CBC75E7E54}">
      <c15:pivotSource>
        <c15:name>[plan pagos COMPLEMENTARIA 4.xlsx]PivotChartTable3</c15:name>
        <c15:fmtId val="0"/>
      </c15:pivotSource>
      <c15:pivotOptions>
        <c15:dropZoneFilter val="1"/>
        <c15:dropZoneCategories val="1"/>
        <c15:dropZoneData val="1"/>
        <c15:dropZoneSeries val="1"/>
        <c15:dropZonesVisible val="1"/>
      </c15: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v>Total</c:v>
          </c:tx>
          <c:spPr>
            <a:solidFill>
              <a:schemeClr val="accent1"/>
            </a:solidFill>
            <a:ln>
              <a:noFill/>
            </a:ln>
            <a:effectLst/>
          </c:spPr>
          <c:invertIfNegative val="0"/>
          <c:cat>
            <c:strLit>
              <c:ptCount val="2"/>
              <c:pt idx="0">
                <c:v>Brasil</c:v>
              </c:pt>
              <c:pt idx="1">
                <c:v>Colombia</c:v>
              </c:pt>
            </c:strLit>
          </c:cat>
          <c:val>
            <c:numLit>
              <c:formatCode>\$\ #,##0.00;\-\$\ #,##0.00;\$\ #,##0.00</c:formatCode>
              <c:ptCount val="2"/>
              <c:pt idx="0">
                <c:v>51456.184200000003</c:v>
              </c:pt>
              <c:pt idx="1">
                <c:v>298143</c:v>
              </c:pt>
            </c:numLit>
          </c:val>
          <c:extLst>
            <c:ext xmlns:c16="http://schemas.microsoft.com/office/drawing/2014/chart" uri="{C3380CC4-5D6E-409C-BE32-E72D297353CC}">
              <c16:uniqueId val="{00000000-CD1D-4ED6-9183-38939C654ED8}"/>
            </c:ext>
          </c:extLst>
        </c:ser>
        <c:dLbls>
          <c:showLegendKey val="0"/>
          <c:showVal val="0"/>
          <c:showCatName val="0"/>
          <c:showSerName val="0"/>
          <c:showPercent val="0"/>
          <c:showBubbleSize val="0"/>
        </c:dLbls>
        <c:gapWidth val="219"/>
        <c:overlap val="-27"/>
        <c:axId val="949549360"/>
        <c:axId val="949548528"/>
      </c:barChart>
      <c:catAx>
        <c:axId val="949549360"/>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9548528"/>
        <c:crosses val="autoZero"/>
        <c:auto val="1"/>
        <c:lblAlgn val="ctr"/>
        <c:lblOffset val="100"/>
        <c:noMultiLvlLbl val="0"/>
        <c:extLst>
          <c:ext xmlns:c15="http://schemas.microsoft.com/office/drawing/2012/chart" uri="{F40574EE-89B7-4290-83BB-5DA773EAF853}">
            <c15:numFmt c:formatCode="General" c:sourceLinked="1"/>
          </c:ext>
        </c:extLst>
      </c:catAx>
      <c:valAx>
        <c:axId val="949548528"/>
        <c:scaling>
          <c:orientation val="minMax"/>
        </c:scaling>
        <c:delete val="0"/>
        <c:axPos val="l"/>
        <c:majorGridlines>
          <c:spPr>
            <a:ln w="9525" cap="flat" cmpd="sng" algn="ctr">
              <a:solidFill>
                <a:schemeClr val="tx1">
                  <a:lumMod val="15000"/>
                  <a:lumOff val="85000"/>
                </a:schemeClr>
              </a:solidFill>
              <a:round/>
            </a:ln>
            <a:effectLst/>
          </c:spPr>
        </c:majorGridlines>
        <c:numFmt formatCode="\$\ #,##0.00;\-\$\ #,##0.00;\$\ #,##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9549360"/>
        <c:crosses val="autoZero"/>
        <c:crossBetween val="between"/>
        <c:extLst>
          <c:ext xmlns:c15="http://schemas.microsoft.com/office/drawing/2012/chart" uri="{F40574EE-89B7-4290-83BB-5DA773EAF853}">
            <c15:numFmt c:formatCode="\$\ #,##0.00;\-\$\ #,##0.00;\$\ #,##0.00" c:sourceLinked="1"/>
          </c:ext>
        </c:extLs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extLst>
    <c:ext xmlns:c15="http://schemas.microsoft.com/office/drawing/2012/chart" uri="{723BEF56-08C2-4564-9609-F4CBC75E7E54}">
      <c15:pivotSource>
        <c15:name>[plan pagos COMPLEMENTARIA 4.xlsx]PivotChartTable4</c15:name>
        <c15:fmtId val="0"/>
      </c15:pivotSource>
      <c15:pivotOptions>
        <c15:dropZoneFilter val="1"/>
        <c15:dropZoneCategories val="1"/>
        <c15:dropZoneData val="1"/>
        <c15:dropZoneSeries val="1"/>
        <c15:dropZonesVisible val="1"/>
      </c15: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O"/>
        </a:p>
      </c:txPr>
    </c:title>
    <c:autoTitleDeleted val="0"/>
    <c:plotArea>
      <c:layout/>
      <c:barChart>
        <c:barDir val="col"/>
        <c:grouping val="clustered"/>
        <c:varyColors val="0"/>
        <c:ser>
          <c:idx val="0"/>
          <c:order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Hoja14!$F$13:$F$16</c:f>
              <c:strCache>
                <c:ptCount val="4"/>
                <c:pt idx="0">
                  <c:v>Amazonas</c:v>
                </c:pt>
                <c:pt idx="1">
                  <c:v>Antioquia</c:v>
                </c:pt>
                <c:pt idx="2">
                  <c:v>Arauca</c:v>
                </c:pt>
                <c:pt idx="3">
                  <c:v>Atlántico</c:v>
                </c:pt>
              </c:strCache>
            </c:strRef>
          </c:cat>
          <c:val>
            <c:numRef>
              <c:f>Hoja14!$G$13:$G$16</c:f>
              <c:numCache>
                <c:formatCode>General</c:formatCode>
                <c:ptCount val="4"/>
                <c:pt idx="0">
                  <c:v>12883</c:v>
                </c:pt>
                <c:pt idx="1">
                  <c:v>942005</c:v>
                </c:pt>
                <c:pt idx="2">
                  <c:v>32082</c:v>
                </c:pt>
                <c:pt idx="3">
                  <c:v>672832</c:v>
                </c:pt>
              </c:numCache>
            </c:numRef>
          </c:val>
          <c:extLst>
            <c:ext xmlns:c16="http://schemas.microsoft.com/office/drawing/2014/chart" uri="{C3380CC4-5D6E-409C-BE32-E72D297353CC}">
              <c16:uniqueId val="{00000000-4696-4733-861E-F19C4BED265D}"/>
            </c:ext>
          </c:extLst>
        </c:ser>
        <c:dLbls>
          <c:dLblPos val="inEnd"/>
          <c:showLegendKey val="0"/>
          <c:showVal val="1"/>
          <c:showCatName val="0"/>
          <c:showSerName val="0"/>
          <c:showPercent val="0"/>
          <c:showBubbleSize val="0"/>
        </c:dLbls>
        <c:gapWidth val="100"/>
        <c:overlap val="-24"/>
        <c:axId val="416529775"/>
        <c:axId val="416547663"/>
      </c:barChart>
      <c:catAx>
        <c:axId val="416529775"/>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crossAx val="416547663"/>
        <c:crosses val="autoZero"/>
        <c:auto val="1"/>
        <c:lblAlgn val="ctr"/>
        <c:lblOffset val="100"/>
        <c:noMultiLvlLbl val="0"/>
      </c:catAx>
      <c:valAx>
        <c:axId val="416547663"/>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crossAx val="416529775"/>
        <c:crosses val="autoZero"/>
        <c:crossBetween val="between"/>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68">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6</xdr:col>
      <xdr:colOff>838200</xdr:colOff>
      <xdr:row>7</xdr:row>
      <xdr:rowOff>142875</xdr:rowOff>
    </xdr:from>
    <xdr:to>
      <xdr:col>6</xdr:col>
      <xdr:colOff>1524000</xdr:colOff>
      <xdr:row>8</xdr:row>
      <xdr:rowOff>12562</xdr:rowOff>
    </xdr:to>
    <xdr:pic>
      <xdr:nvPicPr>
        <xdr:cNvPr id="3" name="Imagen 2">
          <a:extLst>
            <a:ext uri="{FF2B5EF4-FFF2-40B4-BE49-F238E27FC236}">
              <a16:creationId xmlns:a16="http://schemas.microsoft.com/office/drawing/2014/main" id="{C1E55BC1-7071-414F-8660-CFC130A32E55}"/>
            </a:ext>
          </a:extLst>
        </xdr:cNvPr>
        <xdr:cNvPicPr>
          <a:picLocks noChangeAspect="1"/>
        </xdr:cNvPicPr>
      </xdr:nvPicPr>
      <xdr:blipFill>
        <a:blip xmlns:r="http://schemas.openxmlformats.org/officeDocument/2006/relationships" r:embed="rId1"/>
        <a:stretch>
          <a:fillRect/>
        </a:stretch>
      </xdr:blipFill>
      <xdr:spPr>
        <a:xfrm>
          <a:off x="7353300" y="1476375"/>
          <a:ext cx="685800" cy="2190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314325</xdr:colOff>
      <xdr:row>23</xdr:row>
      <xdr:rowOff>266700</xdr:rowOff>
    </xdr:from>
    <xdr:to>
      <xdr:col>9</xdr:col>
      <xdr:colOff>185420</xdr:colOff>
      <xdr:row>23</xdr:row>
      <xdr:rowOff>487680</xdr:rowOff>
    </xdr:to>
    <xdr:pic>
      <xdr:nvPicPr>
        <xdr:cNvPr id="2" name="Imagen 1">
          <a:extLst>
            <a:ext uri="{FF2B5EF4-FFF2-40B4-BE49-F238E27FC236}">
              <a16:creationId xmlns:a16="http://schemas.microsoft.com/office/drawing/2014/main" id="{1D3CB871-1C60-40D4-AD27-C9BFDBB5D48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63075" y="4724400"/>
          <a:ext cx="690245" cy="2209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0</xdr:colOff>
      <xdr:row>16</xdr:row>
      <xdr:rowOff>0</xdr:rowOff>
    </xdr:from>
    <xdr:to>
      <xdr:col>17</xdr:col>
      <xdr:colOff>635000</xdr:colOff>
      <xdr:row>30</xdr:row>
      <xdr:rowOff>63500</xdr:rowOff>
    </xdr:to>
    <xdr:graphicFrame macro="">
      <xdr:nvGraphicFramePr>
        <xdr:cNvPr id="2" name="Gráfico 1">
          <a:extLst>
            <a:ext uri="{FF2B5EF4-FFF2-40B4-BE49-F238E27FC236}">
              <a16:creationId xmlns:a16="http://schemas.microsoft.com/office/drawing/2014/main" id="{0C174DDB-4D3D-31E8-57A6-69E3DB8FBF6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31</xdr:row>
      <xdr:rowOff>0</xdr:rowOff>
    </xdr:from>
    <xdr:to>
      <xdr:col>17</xdr:col>
      <xdr:colOff>635000</xdr:colOff>
      <xdr:row>45</xdr:row>
      <xdr:rowOff>63500</xdr:rowOff>
    </xdr:to>
    <xdr:graphicFrame macro="">
      <xdr:nvGraphicFramePr>
        <xdr:cNvPr id="3" name="Gráfico 2">
          <a:extLst>
            <a:ext uri="{FF2B5EF4-FFF2-40B4-BE49-F238E27FC236}">
              <a16:creationId xmlns:a16="http://schemas.microsoft.com/office/drawing/2014/main" id="{F49EDEC7-F893-2F45-25B4-DDC7FD21F4E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18</xdr:col>
      <xdr:colOff>0</xdr:colOff>
      <xdr:row>16</xdr:row>
      <xdr:rowOff>0</xdr:rowOff>
    </xdr:from>
    <xdr:to>
      <xdr:col>25</xdr:col>
      <xdr:colOff>635000</xdr:colOff>
      <xdr:row>30</xdr:row>
      <xdr:rowOff>63500</xdr:rowOff>
    </xdr:to>
    <xdr:graphicFrame macro="">
      <xdr:nvGraphicFramePr>
        <xdr:cNvPr id="4" name="Gráfico 3">
          <a:extLst>
            <a:ext uri="{FF2B5EF4-FFF2-40B4-BE49-F238E27FC236}">
              <a16:creationId xmlns:a16="http://schemas.microsoft.com/office/drawing/2014/main" id="{99B92D7D-06E7-401F-BDD1-79DB1764644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18</xdr:col>
      <xdr:colOff>0</xdr:colOff>
      <xdr:row>31</xdr:row>
      <xdr:rowOff>0</xdr:rowOff>
    </xdr:from>
    <xdr:to>
      <xdr:col>25</xdr:col>
      <xdr:colOff>635000</xdr:colOff>
      <xdr:row>45</xdr:row>
      <xdr:rowOff>63500</xdr:rowOff>
    </xdr:to>
    <xdr:graphicFrame macro="">
      <xdr:nvGraphicFramePr>
        <xdr:cNvPr id="5" name="Gráfico 4">
          <a:extLst>
            <a:ext uri="{FF2B5EF4-FFF2-40B4-BE49-F238E27FC236}">
              <a16:creationId xmlns:a16="http://schemas.microsoft.com/office/drawing/2014/main" id="{EAB6294F-FF9F-8D4A-79E6-1B8D52D5F39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8</xdr:col>
      <xdr:colOff>342900</xdr:colOff>
      <xdr:row>4</xdr:row>
      <xdr:rowOff>166687</xdr:rowOff>
    </xdr:from>
    <xdr:to>
      <xdr:col>14</xdr:col>
      <xdr:colOff>342900</xdr:colOff>
      <xdr:row>19</xdr:row>
      <xdr:rowOff>52387</xdr:rowOff>
    </xdr:to>
    <xdr:graphicFrame macro="">
      <xdr:nvGraphicFramePr>
        <xdr:cNvPr id="2" name="Gráfico 1">
          <a:extLst>
            <a:ext uri="{FF2B5EF4-FFF2-40B4-BE49-F238E27FC236}">
              <a16:creationId xmlns:a16="http://schemas.microsoft.com/office/drawing/2014/main" id="{023BF0B0-0EAC-48CF-058C-0E6A66D8756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duardo Jose Charris Villanueva" refreshedDate="44868.495852893517" createdVersion="8" refreshedVersion="8" minRefreshableVersion="3" recordCount="40" xr:uid="{CC7F0FB0-B44B-4829-812C-1E94028E9EDC}">
  <cacheSource type="worksheet">
    <worksheetSource ref="A1:K1048576" sheet="Por departamento_editar_"/>
  </cacheSource>
  <cacheFields count="11">
    <cacheField name="Columna1" numFmtId="0">
      <sharedItems containsBlank="1"/>
    </cacheField>
    <cacheField name="Petro Márquez Votos" numFmtId="0">
      <sharedItems containsBlank="1" count="39">
        <s v="Petro"/>
        <s v="Márquez"/>
        <m/>
        <s v="Votos"/>
        <s v="12 883"/>
        <s v="942 005"/>
        <s v="32 082"/>
        <s v="672 832"/>
        <s v="2 253 997"/>
        <s v="493 041"/>
        <s v="264 270"/>
        <s v="187 346"/>
        <s v="72 816"/>
        <s v="57 331"/>
        <s v="515 074"/>
        <s v="250 499"/>
        <s v="127 846"/>
        <s v="114 610"/>
        <s v="437 016"/>
        <s v="624 965"/>
        <s v="6 536"/>
        <s v="14 708"/>
        <s v="216 533"/>
        <s v="162 849"/>
        <s v="302 439"/>
        <s v="180 923"/>
        <s v="592 170"/>
        <s v="149 413"/>
        <s v="110 118"/>
        <s v="113 537"/>
        <s v="216 227"/>
        <s v="8 545"/>
        <s v="310 240"/>
        <s v="262 135"/>
        <s v="251 710"/>
        <s v="1 310 236"/>
        <s v="6 647"/>
        <s v="7 634"/>
        <s v="Fuente: Registraduría​"/>
      </sharedItems>
    </cacheField>
    <cacheField name="Petro Márquez %" numFmtId="0">
      <sharedItems containsBlank="1"/>
    </cacheField>
    <cacheField name="Hernández Castillo Votos" numFmtId="0">
      <sharedItems containsBlank="1" count="39">
        <s v="Hernández"/>
        <s v="Castillo"/>
        <m/>
        <s v="Votos"/>
        <s v="10 250"/>
        <s v="1 822 700"/>
        <s v="69 473"/>
        <s v="314 551"/>
        <s v="1 480 198"/>
        <s v="301 952"/>
        <s v="378 899"/>
        <s v="267 988"/>
        <s v="88 922"/>
        <s v="143 796"/>
        <s v="122 693"/>
        <s v="215 080"/>
        <s v="25 736"/>
        <s v="185 557"/>
        <s v="266 999"/>
        <s v="756 454"/>
        <s v="5 716"/>
        <s v="17 601"/>
        <s v="305 799"/>
        <s v="85 101"/>
        <s v="191 500"/>
        <s v="307 137"/>
        <s v="126 198"/>
        <s v="557 406"/>
        <s v="25 549"/>
        <s v="151 653"/>
        <s v="238 963"/>
        <s v="7 449"/>
        <s v="871 291"/>
        <s v="140 507"/>
        <s v="388 640"/>
        <s v="695 059"/>
        <s v="2 148"/>
        <s v="11 447"/>
        <s v="Fuente: Registraduría​"/>
      </sharedItems>
    </cacheField>
    <cacheField name="Hernández Castillo %" numFmtId="0">
      <sharedItems containsBlank="1"/>
    </cacheField>
    <cacheField name="En Blanco Votos" numFmtId="0">
      <sharedItems containsBlank="1"/>
    </cacheField>
    <cacheField name="En Blanco %" numFmtId="0">
      <sharedItems containsBlank="1"/>
    </cacheField>
    <cacheField name="Nulos Votos" numFmtId="0">
      <sharedItems containsBlank="1"/>
    </cacheField>
    <cacheField name="No marcados Votos" numFmtId="0">
      <sharedItems containsBlank="1"/>
    </cacheField>
    <cacheField name="Total Votos" numFmtId="0">
      <sharedItems containsBlank="1" count="38">
        <s v="Total"/>
        <s v="Votos"/>
        <s v="23 851"/>
        <s v="2 897 749"/>
        <s v="104 866"/>
        <s v="1 009 424"/>
        <s v="3 887 345"/>
        <s v="815 621"/>
        <s v="664 456"/>
        <s v="483 795"/>
        <s v="168 911"/>
        <s v="207 416"/>
        <s v="666 066"/>
        <s v="478 266"/>
        <s v="159 360"/>
        <s v="306 061"/>
        <s v="722 037"/>
        <s v="1 438 386"/>
        <s v="12 571"/>
        <s v="34 094"/>
        <s v="589 813"/>
        <s v="255 574"/>
        <s v="506 988"/>
        <s v="505 550"/>
        <s v="743 013"/>
        <s v="721 905"/>
        <s v="140 104"/>
        <s v="279 721"/>
        <s v="479 002"/>
        <s v="16 771"/>
        <s v="1 201 606"/>
        <s v="413 094"/>
        <s v="663 662"/>
        <s v="2 083 258"/>
        <s v="8 762"/>
        <s v="19 596"/>
        <s v="Fuente: Registraduría​"/>
        <m/>
      </sharedItems>
    </cacheField>
    <cacheField name="Total %" numFmtId="0">
      <sharedItems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duardo Jose Charris Villanueva" refreshedDate="44868.499827662039" createdVersion="8" refreshedVersion="8" minRefreshableVersion="3" recordCount="39" xr:uid="{CF7E5E4F-78BB-4212-9C72-213285045136}">
  <cacheSource type="worksheet">
    <worksheetSource name="Por_departamento_editar"/>
  </cacheSource>
  <cacheFields count="11">
    <cacheField name="Columna1" numFmtId="0">
      <sharedItems/>
    </cacheField>
    <cacheField name="Petro Márquez Votos" numFmtId="0">
      <sharedItems containsBlank="1" count="39">
        <s v="Petro"/>
        <s v="Márquez"/>
        <m/>
        <s v="Votos"/>
        <s v="12 883"/>
        <s v="942 005"/>
        <s v="32 082"/>
        <s v="672 832"/>
        <s v="2 253 997"/>
        <s v="493 041"/>
        <s v="264 270"/>
        <s v="187 346"/>
        <s v="72 816"/>
        <s v="57 331"/>
        <s v="515 074"/>
        <s v="250 499"/>
        <s v="127 846"/>
        <s v="114 610"/>
        <s v="437 016"/>
        <s v="624 965"/>
        <s v="6 536"/>
        <s v="14 708"/>
        <s v="216 533"/>
        <s v="162 849"/>
        <s v="302 439"/>
        <s v="180 923"/>
        <s v="592 170"/>
        <s v="149 413"/>
        <s v="110 118"/>
        <s v="113 537"/>
        <s v="216 227"/>
        <s v="8 545"/>
        <s v="310 240"/>
        <s v="262 135"/>
        <s v="251 710"/>
        <s v="1 310 236"/>
        <s v="6 647"/>
        <s v="7 634"/>
        <s v="Fuente: Registraduría​"/>
      </sharedItems>
    </cacheField>
    <cacheField name="Petro Márquez %" numFmtId="0">
      <sharedItems containsBlank="1"/>
    </cacheField>
    <cacheField name="Hernández Castillo Votos" numFmtId="0">
      <sharedItems containsBlank="1"/>
    </cacheField>
    <cacheField name="Hernández Castillo %" numFmtId="0">
      <sharedItems containsBlank="1"/>
    </cacheField>
    <cacheField name="En Blanco Votos" numFmtId="0">
      <sharedItems/>
    </cacheField>
    <cacheField name="En Blanco %" numFmtId="0">
      <sharedItems/>
    </cacheField>
    <cacheField name="Nulos Votos" numFmtId="0">
      <sharedItems/>
    </cacheField>
    <cacheField name="No marcados Votos" numFmtId="0">
      <sharedItems/>
    </cacheField>
    <cacheField name="Total Votos" numFmtId="0">
      <sharedItems/>
    </cacheField>
    <cacheField name="Total %" numFmtId="0">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Eduardo Jose Charris Villanueva" refreshedDate="44868.45150625" createdVersion="5" refreshedVersion="8" minRefreshableVersion="3" recordCount="0" supportSubquery="1" supportAdvancedDrill="1" xr:uid="{60772865-804B-404A-9016-8F8E471DC0CC}">
  <cacheSource type="external" connectionId="14">
    <extLst>
      <ext xmlns:x14="http://schemas.microsoft.com/office/spreadsheetml/2009/9/main" uri="{F057638F-6D5F-4e77-A914-E7F072B9BCA8}">
        <x14:sourceConnection name="ThisWorkbookDataModel"/>
      </ext>
    </extLst>
  </cacheSource>
  <cacheFields count="2">
    <cacheField name="[Measures].[Suma de Ingreso Total]" caption="Suma de Ingreso Total" numFmtId="0" hierarchy="23" level="32767"/>
    <cacheField name="[Pizzas Detalle].[Sabores].[Sabores]" caption="Sabores" numFmtId="0" hierarchy="13" level="1">
      <sharedItems count="6">
        <s v="Especial"/>
        <s v="hawaiana"/>
        <s v="Holandesa"/>
        <s v="pepperoni"/>
        <s v="Pollo"/>
        <s v="Pollo Miel"/>
      </sharedItems>
    </cacheField>
  </cacheFields>
  <cacheHierarchies count="24">
    <cacheHierarchy uniqueName="[Ciudades].[Código Ciudad]" caption="Código Ciudad" attribute="1" defaultMemberUniqueName="[Ciudades].[Código Ciudad].[All]" allUniqueName="[Ciudades].[Código Ciudad].[All]" dimensionUniqueName="[Ciudades]" displayFolder="" count="0" memberValueDatatype="5" unbalanced="0"/>
    <cacheHierarchy uniqueName="[Ciudades].[Ciudad]" caption="Ciudad" attribute="1" defaultMemberUniqueName="[Ciudades].[Ciudad].[All]" allUniqueName="[Ciudades].[Ciudad].[All]" dimensionUniqueName="[Ciudades]" displayFolder="" count="0" memberValueDatatype="130" unbalanced="0"/>
    <cacheHierarchy uniqueName="[Ingresos].[Código Pizza]" caption="Código Pizza" attribute="1" defaultMemberUniqueName="[Ingresos].[Código Pizza].[All]" allUniqueName="[Ingresos].[Código Pizza].[All]" dimensionUniqueName="[Ingresos]" displayFolder="" count="0" memberValueDatatype="5" unbalanced="0"/>
    <cacheHierarchy uniqueName="[Ingresos].[Fecha]" caption="Fecha" attribute="1" time="1" defaultMemberUniqueName="[Ingresos].[Fecha].[All]" allUniqueName="[Ingresos].[Fecha].[All]" dimensionUniqueName="[Ingresos]" displayFolder="" count="0" memberValueDatatype="7" unbalanced="0"/>
    <cacheHierarchy uniqueName="[Ingresos].[Año]" caption="Año" attribute="1" defaultMemberUniqueName="[Ingresos].[Año].[All]" allUniqueName="[Ingresos].[Año].[All]" dimensionUniqueName="[Ingresos]" displayFolder="" count="0" memberValueDatatype="5" unbalanced="0"/>
    <cacheHierarchy uniqueName="[Ingresos].[Código País]" caption="Código País" attribute="1" defaultMemberUniqueName="[Ingresos].[Código País].[All]" allUniqueName="[Ingresos].[Código País].[All]" dimensionUniqueName="[Ingresos]" displayFolder="" count="0" memberValueDatatype="5" unbalanced="0"/>
    <cacheHierarchy uniqueName="[Ingresos].[Código Ciudad]" caption="Código Ciudad" attribute="1" defaultMemberUniqueName="[Ingresos].[Código Ciudad].[All]" allUniqueName="[Ingresos].[Código Ciudad].[All]" dimensionUniqueName="[Ingresos]" displayFolder="" count="0" memberValueDatatype="5" unbalanced="0"/>
    <cacheHierarchy uniqueName="[Ingresos].[Cantidad]" caption="Cantidad" attribute="1" defaultMemberUniqueName="[Ingresos].[Cantidad].[All]" allUniqueName="[Ingresos].[Cantidad].[All]" dimensionUniqueName="[Ingresos]" displayFolder="" count="0" memberValueDatatype="5" unbalanced="0"/>
    <cacheHierarchy uniqueName="[Ingresos].[Código Vendedor]" caption="Código Vendedor" attribute="1" defaultMemberUniqueName="[Ingresos].[Código Vendedor].[All]" allUniqueName="[Ingresos].[Código Vendedor].[All]" dimensionUniqueName="[Ingresos]" displayFolder="" count="0" memberValueDatatype="5" unbalanced="0"/>
    <cacheHierarchy uniqueName="[Ingresos].[Ingreso Total]" caption="Ingreso Total" attribute="1" defaultMemberUniqueName="[Ingresos].[Ingreso Total].[All]" allUniqueName="[Ingresos].[Ingreso Total].[All]" dimensionUniqueName="[Ingresos]" displayFolder="" count="0" memberValueDatatype="6" unbalanced="0"/>
    <cacheHierarchy uniqueName="[Paises de Venta].[Código País]" caption="Código País" attribute="1" defaultMemberUniqueName="[Paises de Venta].[Código País].[All]" allUniqueName="[Paises de Venta].[Código País].[All]" dimensionUniqueName="[Paises de Venta]" displayFolder="" count="0" memberValueDatatype="5" unbalanced="0"/>
    <cacheHierarchy uniqueName="[Paises de Venta].[País]" caption="País" attribute="1" defaultMemberUniqueName="[Paises de Venta].[País].[All]" allUniqueName="[Paises de Venta].[País].[All]" dimensionUniqueName="[Paises de Venta]" displayFolder="" count="0" memberValueDatatype="130" unbalanced="0"/>
    <cacheHierarchy uniqueName="[Pizzas Detalle].[Código Pizza]" caption="Código Pizza" attribute="1" defaultMemberUniqueName="[Pizzas Detalle].[Código Pizza].[All]" allUniqueName="[Pizzas Detalle].[Código Pizza].[All]" dimensionUniqueName="[Pizzas Detalle]" displayFolder="" count="0" memberValueDatatype="5" unbalanced="0"/>
    <cacheHierarchy uniqueName="[Pizzas Detalle].[Sabores]" caption="Sabores" attribute="1" defaultMemberUniqueName="[Pizzas Detalle].[Sabores].[All]" allUniqueName="[Pizzas Detalle].[Sabores].[All]" dimensionUniqueName="[Pizzas Detalle]" displayFolder="" count="2" memberValueDatatype="130" unbalanced="0">
      <fieldsUsage count="2">
        <fieldUsage x="-1"/>
        <fieldUsage x="1"/>
      </fieldsUsage>
    </cacheHierarchy>
    <cacheHierarchy uniqueName="[Pizzas Detalle].[Precio]" caption="Precio" attribute="1" defaultMemberUniqueName="[Pizzas Detalle].[Precio].[All]" allUniqueName="[Pizzas Detalle].[Precio].[All]" dimensionUniqueName="[Pizzas Detalle]" displayFolder="" count="0" memberValueDatatype="6" unbalanced="0"/>
    <cacheHierarchy uniqueName="[Vendedores].[Código Vendedor]" caption="Código Vendedor" attribute="1" defaultMemberUniqueName="[Vendedores].[Código Vendedor].[All]" allUniqueName="[Vendedores].[Código Vendedor].[All]" dimensionUniqueName="[Vendedores]" displayFolder="" count="0" memberValueDatatype="5" unbalanced="0"/>
    <cacheHierarchy uniqueName="[Vendedores].[Vendedores]" caption="Vendedores" attribute="1" defaultMemberUniqueName="[Vendedores].[Vendedores].[All]" allUniqueName="[Vendedores].[Vendedores].[All]" dimensionUniqueName="[Vendedores]" displayFolder="" count="0" memberValueDatatype="130" unbalanced="0"/>
    <cacheHierarchy uniqueName="[Measures].[__XL_Count Ciudades]" caption="__XL_Count Ciudades" measure="1" displayFolder="" measureGroup="Ciudades" count="0" hidden="1"/>
    <cacheHierarchy uniqueName="[Measures].[__XL_Count Paises de Venta]" caption="__XL_Count Paises de Venta" measure="1" displayFolder="" measureGroup="Paises de Venta" count="0" hidden="1"/>
    <cacheHierarchy uniqueName="[Measures].[__XL_Count Ingresos]" caption="__XL_Count Ingresos" measure="1" displayFolder="" measureGroup="Ingresos" count="0" hidden="1"/>
    <cacheHierarchy uniqueName="[Measures].[__XL_Count Pizzas Detalle]" caption="__XL_Count Pizzas Detalle" measure="1" displayFolder="" measureGroup="Pizzas Detalle" count="0" hidden="1"/>
    <cacheHierarchy uniqueName="[Measures].[__XL_Count Vendedores]" caption="__XL_Count Vendedores" measure="1" displayFolder="" measureGroup="Vendedores" count="0" hidden="1"/>
    <cacheHierarchy uniqueName="[Measures].[__No hay medidas definidas]" caption="__No hay medidas definidas" measure="1" displayFolder="" count="0" hidden="1"/>
    <cacheHierarchy uniqueName="[Measures].[Suma de Ingreso Total]" caption="Suma de Ingreso Total" measure="1" displayFolder="" measureGroup="Ingresos" count="0" oneField="1" hidden="1">
      <fieldsUsage count="1">
        <fieldUsage x="0"/>
      </fieldsUsage>
      <extLst>
        <ext xmlns:x15="http://schemas.microsoft.com/office/spreadsheetml/2010/11/main" uri="{B97F6D7D-B522-45F9-BDA1-12C45D357490}">
          <x15:cacheHierarchy aggregatedColumn="9"/>
        </ext>
      </extLst>
    </cacheHierarchy>
  </cacheHierarchies>
  <kpis count="0"/>
  <dimensions count="6">
    <dimension name="Ciudades" uniqueName="[Ciudades]" caption="Ciudades"/>
    <dimension name="Ingresos" uniqueName="[Ingresos]" caption="Ingresos"/>
    <dimension measure="1" name="Measures" uniqueName="[Measures]" caption="Measures"/>
    <dimension name="Paises de Venta" uniqueName="[Paises de Venta]" caption="Paises de Venta"/>
    <dimension name="Pizzas Detalle" uniqueName="[Pizzas Detalle]" caption="Pizzas Detalle"/>
    <dimension name="Vendedores" uniqueName="[Vendedores]" caption="Vendedores"/>
  </dimensions>
  <measureGroups count="5">
    <measureGroup name="Ciudades" caption="Ciudades"/>
    <measureGroup name="Ingresos" caption="Ingresos"/>
    <measureGroup name="Paises de Venta" caption="Paises de Venta"/>
    <measureGroup name="Pizzas Detalle" caption="Pizzas Detalle"/>
    <measureGroup name="Vendedores" caption="Vendedores"/>
  </measureGroups>
  <maps count="9">
    <map measureGroup="0" dimension="0"/>
    <map measureGroup="1" dimension="0"/>
    <map measureGroup="1" dimension="1"/>
    <map measureGroup="1" dimension="3"/>
    <map measureGroup="1" dimension="4"/>
    <map measureGroup="1" dimension="5"/>
    <map measureGroup="2" dimension="3"/>
    <map measureGroup="3" dimension="4"/>
    <map measureGroup="4" dimension="5"/>
  </maps>
  <extLst>
    <ext xmlns:x14="http://schemas.microsoft.com/office/spreadsheetml/2009/9/main" uri="{725AE2AE-9491-48be-B2B4-4EB974FC3084}">
      <x14:pivotCacheDefinition pivotCacheId="904673007" supportSubqueryNonVisual="1" supportSubqueryCalcMem="1" supportAddCalcMems="1"/>
    </ext>
    <ext xmlns:x15="http://schemas.microsoft.com/office/spreadsheetml/2010/11/main" uri="{ABF5C744-AB39-4b91-8756-CFA1BBC848D5}">
      <x15:pivotCacheIdVersion cacheIdSupportedVersion="6" cacheIdCreatedVersion="7"/>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Eduardo Jose Charris Villanueva" refreshedDate="44868.456739467591" createdVersion="5" refreshedVersion="8" minRefreshableVersion="3" recordCount="0" supportSubquery="1" supportAdvancedDrill="1" xr:uid="{DB88AA75-7D3C-413D-8452-897B7A19AD46}">
  <cacheSource type="external" connectionId="14">
    <extLst>
      <ext xmlns:x14="http://schemas.microsoft.com/office/spreadsheetml/2009/9/main" uri="{F057638F-6D5F-4e77-A914-E7F072B9BCA8}">
        <x14:sourceConnection name="ThisWorkbookDataModel"/>
      </ext>
    </extLst>
  </cacheSource>
  <cacheFields count="2">
    <cacheField name="[Measures].[Suma de Ingreso Total]" caption="Suma de Ingreso Total" numFmtId="0" hierarchy="23" level="32767"/>
    <cacheField name="[Ciudades].[Ciudad].[Ciudad]" caption="Ciudad" numFmtId="0" hierarchy="1" level="1">
      <sharedItems count="4">
        <s v="Barranquilla"/>
        <s v="Bogotá"/>
        <s v="Brasilia"/>
        <s v="Medellín"/>
      </sharedItems>
    </cacheField>
  </cacheFields>
  <cacheHierarchies count="24">
    <cacheHierarchy uniqueName="[Ciudades].[Código Ciudad]" caption="Código Ciudad" attribute="1" defaultMemberUniqueName="[Ciudades].[Código Ciudad].[All]" allUniqueName="[Ciudades].[Código Ciudad].[All]" dimensionUniqueName="[Ciudades]" displayFolder="" count="0" memberValueDatatype="5" unbalanced="0"/>
    <cacheHierarchy uniqueName="[Ciudades].[Ciudad]" caption="Ciudad" attribute="1" defaultMemberUniqueName="[Ciudades].[Ciudad].[All]" allUniqueName="[Ciudades].[Ciudad].[All]" dimensionUniqueName="[Ciudades]" displayFolder="" count="2" memberValueDatatype="130" unbalanced="0">
      <fieldsUsage count="2">
        <fieldUsage x="-1"/>
        <fieldUsage x="1"/>
      </fieldsUsage>
    </cacheHierarchy>
    <cacheHierarchy uniqueName="[Ingresos].[Código Pizza]" caption="Código Pizza" attribute="1" defaultMemberUniqueName="[Ingresos].[Código Pizza].[All]" allUniqueName="[Ingresos].[Código Pizza].[All]" dimensionUniqueName="[Ingresos]" displayFolder="" count="0" memberValueDatatype="5" unbalanced="0"/>
    <cacheHierarchy uniqueName="[Ingresos].[Fecha]" caption="Fecha" attribute="1" time="1" defaultMemberUniqueName="[Ingresos].[Fecha].[All]" allUniqueName="[Ingresos].[Fecha].[All]" dimensionUniqueName="[Ingresos]" displayFolder="" count="0" memberValueDatatype="7" unbalanced="0"/>
    <cacheHierarchy uniqueName="[Ingresos].[Año]" caption="Año" attribute="1" defaultMemberUniqueName="[Ingresos].[Año].[All]" allUniqueName="[Ingresos].[Año].[All]" dimensionUniqueName="[Ingresos]" displayFolder="" count="0" memberValueDatatype="5" unbalanced="0"/>
    <cacheHierarchy uniqueName="[Ingresos].[Código País]" caption="Código País" attribute="1" defaultMemberUniqueName="[Ingresos].[Código País].[All]" allUniqueName="[Ingresos].[Código País].[All]" dimensionUniqueName="[Ingresos]" displayFolder="" count="0" memberValueDatatype="5" unbalanced="0"/>
    <cacheHierarchy uniqueName="[Ingresos].[Código Ciudad]" caption="Código Ciudad" attribute="1" defaultMemberUniqueName="[Ingresos].[Código Ciudad].[All]" allUniqueName="[Ingresos].[Código Ciudad].[All]" dimensionUniqueName="[Ingresos]" displayFolder="" count="0" memberValueDatatype="5" unbalanced="0"/>
    <cacheHierarchy uniqueName="[Ingresos].[Cantidad]" caption="Cantidad" attribute="1" defaultMemberUniqueName="[Ingresos].[Cantidad].[All]" allUniqueName="[Ingresos].[Cantidad].[All]" dimensionUniqueName="[Ingresos]" displayFolder="" count="0" memberValueDatatype="5" unbalanced="0"/>
    <cacheHierarchy uniqueName="[Ingresos].[Código Vendedor]" caption="Código Vendedor" attribute="1" defaultMemberUniqueName="[Ingresos].[Código Vendedor].[All]" allUniqueName="[Ingresos].[Código Vendedor].[All]" dimensionUniqueName="[Ingresos]" displayFolder="" count="0" memberValueDatatype="5" unbalanced="0"/>
    <cacheHierarchy uniqueName="[Ingresos].[Ingreso Total]" caption="Ingreso Total" attribute="1" defaultMemberUniqueName="[Ingresos].[Ingreso Total].[All]" allUniqueName="[Ingresos].[Ingreso Total].[All]" dimensionUniqueName="[Ingresos]" displayFolder="" count="0" memberValueDatatype="6" unbalanced="0"/>
    <cacheHierarchy uniqueName="[Paises de Venta].[Código País]" caption="Código País" attribute="1" defaultMemberUniqueName="[Paises de Venta].[Código País].[All]" allUniqueName="[Paises de Venta].[Código País].[All]" dimensionUniqueName="[Paises de Venta]" displayFolder="" count="0" memberValueDatatype="5" unbalanced="0"/>
    <cacheHierarchy uniqueName="[Paises de Venta].[País]" caption="País" attribute="1" defaultMemberUniqueName="[Paises de Venta].[País].[All]" allUniqueName="[Paises de Venta].[País].[All]" dimensionUniqueName="[Paises de Venta]" displayFolder="" count="0" memberValueDatatype="130" unbalanced="0"/>
    <cacheHierarchy uniqueName="[Pizzas Detalle].[Código Pizza]" caption="Código Pizza" attribute="1" defaultMemberUniqueName="[Pizzas Detalle].[Código Pizza].[All]" allUniqueName="[Pizzas Detalle].[Código Pizza].[All]" dimensionUniqueName="[Pizzas Detalle]" displayFolder="" count="0" memberValueDatatype="5" unbalanced="0"/>
    <cacheHierarchy uniqueName="[Pizzas Detalle].[Sabores]" caption="Sabores" attribute="1" defaultMemberUniqueName="[Pizzas Detalle].[Sabores].[All]" allUniqueName="[Pizzas Detalle].[Sabores].[All]" dimensionUniqueName="[Pizzas Detalle]" displayFolder="" count="0" memberValueDatatype="130" unbalanced="0"/>
    <cacheHierarchy uniqueName="[Pizzas Detalle].[Precio]" caption="Precio" attribute="1" defaultMemberUniqueName="[Pizzas Detalle].[Precio].[All]" allUniqueName="[Pizzas Detalle].[Precio].[All]" dimensionUniqueName="[Pizzas Detalle]" displayFolder="" count="0" memberValueDatatype="6" unbalanced="0"/>
    <cacheHierarchy uniqueName="[Vendedores].[Código Vendedor]" caption="Código Vendedor" attribute="1" defaultMemberUniqueName="[Vendedores].[Código Vendedor].[All]" allUniqueName="[Vendedores].[Código Vendedor].[All]" dimensionUniqueName="[Vendedores]" displayFolder="" count="0" memberValueDatatype="5" unbalanced="0"/>
    <cacheHierarchy uniqueName="[Vendedores].[Vendedores]" caption="Vendedores" attribute="1" defaultMemberUniqueName="[Vendedores].[Vendedores].[All]" allUniqueName="[Vendedores].[Vendedores].[All]" dimensionUniqueName="[Vendedores]" displayFolder="" count="0" memberValueDatatype="130" unbalanced="0"/>
    <cacheHierarchy uniqueName="[Measures].[__XL_Count Ciudades]" caption="__XL_Count Ciudades" measure="1" displayFolder="" measureGroup="Ciudades" count="0" hidden="1"/>
    <cacheHierarchy uniqueName="[Measures].[__XL_Count Paises de Venta]" caption="__XL_Count Paises de Venta" measure="1" displayFolder="" measureGroup="Paises de Venta" count="0" hidden="1"/>
    <cacheHierarchy uniqueName="[Measures].[__XL_Count Ingresos]" caption="__XL_Count Ingresos" measure="1" displayFolder="" measureGroup="Ingresos" count="0" hidden="1"/>
    <cacheHierarchy uniqueName="[Measures].[__XL_Count Pizzas Detalle]" caption="__XL_Count Pizzas Detalle" measure="1" displayFolder="" measureGroup="Pizzas Detalle" count="0" hidden="1"/>
    <cacheHierarchy uniqueName="[Measures].[__XL_Count Vendedores]" caption="__XL_Count Vendedores" measure="1" displayFolder="" measureGroup="Vendedores" count="0" hidden="1"/>
    <cacheHierarchy uniqueName="[Measures].[__No hay medidas definidas]" caption="__No hay medidas definidas" measure="1" displayFolder="" count="0" hidden="1"/>
    <cacheHierarchy uniqueName="[Measures].[Suma de Ingreso Total]" caption="Suma de Ingreso Total" measure="1" displayFolder="" measureGroup="Ingresos" count="0" oneField="1" hidden="1">
      <fieldsUsage count="1">
        <fieldUsage x="0"/>
      </fieldsUsage>
      <extLst>
        <ext xmlns:x15="http://schemas.microsoft.com/office/spreadsheetml/2010/11/main" uri="{B97F6D7D-B522-45F9-BDA1-12C45D357490}">
          <x15:cacheHierarchy aggregatedColumn="9"/>
        </ext>
      </extLst>
    </cacheHierarchy>
  </cacheHierarchies>
  <kpis count="0"/>
  <dimensions count="6">
    <dimension name="Ciudades" uniqueName="[Ciudades]" caption="Ciudades"/>
    <dimension name="Ingresos" uniqueName="[Ingresos]" caption="Ingresos"/>
    <dimension measure="1" name="Measures" uniqueName="[Measures]" caption="Measures"/>
    <dimension name="Paises de Venta" uniqueName="[Paises de Venta]" caption="Paises de Venta"/>
    <dimension name="Pizzas Detalle" uniqueName="[Pizzas Detalle]" caption="Pizzas Detalle"/>
    <dimension name="Vendedores" uniqueName="[Vendedores]" caption="Vendedores"/>
  </dimensions>
  <measureGroups count="5">
    <measureGroup name="Ciudades" caption="Ciudades"/>
    <measureGroup name="Ingresos" caption="Ingresos"/>
    <measureGroup name="Paises de Venta" caption="Paises de Venta"/>
    <measureGroup name="Pizzas Detalle" caption="Pizzas Detalle"/>
    <measureGroup name="Vendedores" caption="Vendedores"/>
  </measureGroups>
  <maps count="9">
    <map measureGroup="0" dimension="0"/>
    <map measureGroup="1" dimension="0"/>
    <map measureGroup="1" dimension="1"/>
    <map measureGroup="1" dimension="3"/>
    <map measureGroup="1" dimension="4"/>
    <map measureGroup="1" dimension="5"/>
    <map measureGroup="2" dimension="3"/>
    <map measureGroup="3" dimension="4"/>
    <map measureGroup="4" dimension="5"/>
  </maps>
  <extLst>
    <ext xmlns:x14="http://schemas.microsoft.com/office/spreadsheetml/2009/9/main" uri="{725AE2AE-9491-48be-B2B4-4EB974FC3084}">
      <x14:pivotCacheDefinition pivotCacheId="462167684" supportSubqueryNonVisual="1" supportSubqueryCalcMem="1" supportAddCalcMems="1"/>
    </ext>
    <ext xmlns:x15="http://schemas.microsoft.com/office/spreadsheetml/2010/11/main" uri="{ABF5C744-AB39-4b91-8756-CFA1BBC848D5}">
      <x15:pivotCacheIdVersion cacheIdSupportedVersion="6" cacheIdCreatedVersion="7"/>
    </ext>
  </extLst>
</pivotCacheDefinition>
</file>

<file path=xl/pivotCache/pivotCacheDefinition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Eduardo Jose Charris Villanueva" refreshedDate="44868.4571" createdVersion="5" refreshedVersion="8" minRefreshableVersion="3" recordCount="0" supportSubquery="1" supportAdvancedDrill="1" xr:uid="{6027B010-291C-4352-BB5C-A41CB37253BB}">
  <cacheSource type="external" connectionId="14">
    <extLst>
      <ext xmlns:x14="http://schemas.microsoft.com/office/spreadsheetml/2009/9/main" uri="{F057638F-6D5F-4e77-A914-E7F072B9BCA8}">
        <x14:sourceConnection name="ThisWorkbookDataModel"/>
      </ext>
    </extLst>
  </cacheSource>
  <cacheFields count="2">
    <cacheField name="[Vendedores].[Vendedores].[Vendedores]" caption="Vendedores" numFmtId="0" hierarchy="16" level="1">
      <sharedItems count="6">
        <s v="Alba Mercado"/>
        <s v="Alejandro Maraby"/>
        <s v="Mercedes Anaya"/>
        <s v="Miguel Merlano"/>
        <s v="Victor Larios"/>
        <s v="Zunilda Arroyo"/>
      </sharedItems>
    </cacheField>
    <cacheField name="[Measures].[Suma de Ingreso Total]" caption="Suma de Ingreso Total" numFmtId="0" hierarchy="23" level="32767"/>
  </cacheFields>
  <cacheHierarchies count="24">
    <cacheHierarchy uniqueName="[Ciudades].[Código Ciudad]" caption="Código Ciudad" attribute="1" defaultMemberUniqueName="[Ciudades].[Código Ciudad].[All]" allUniqueName="[Ciudades].[Código Ciudad].[All]" dimensionUniqueName="[Ciudades]" displayFolder="" count="0" memberValueDatatype="5" unbalanced="0"/>
    <cacheHierarchy uniqueName="[Ciudades].[Ciudad]" caption="Ciudad" attribute="1" defaultMemberUniqueName="[Ciudades].[Ciudad].[All]" allUniqueName="[Ciudades].[Ciudad].[All]" dimensionUniqueName="[Ciudades]" displayFolder="" count="0" memberValueDatatype="130" unbalanced="0"/>
    <cacheHierarchy uniqueName="[Ingresos].[Código Pizza]" caption="Código Pizza" attribute="1" defaultMemberUniqueName="[Ingresos].[Código Pizza].[All]" allUniqueName="[Ingresos].[Código Pizza].[All]" dimensionUniqueName="[Ingresos]" displayFolder="" count="0" memberValueDatatype="5" unbalanced="0"/>
    <cacheHierarchy uniqueName="[Ingresos].[Fecha]" caption="Fecha" attribute="1" time="1" defaultMemberUniqueName="[Ingresos].[Fecha].[All]" allUniqueName="[Ingresos].[Fecha].[All]" dimensionUniqueName="[Ingresos]" displayFolder="" count="0" memberValueDatatype="7" unbalanced="0"/>
    <cacheHierarchy uniqueName="[Ingresos].[Año]" caption="Año" attribute="1" defaultMemberUniqueName="[Ingresos].[Año].[All]" allUniqueName="[Ingresos].[Año].[All]" dimensionUniqueName="[Ingresos]" displayFolder="" count="0" memberValueDatatype="5" unbalanced="0"/>
    <cacheHierarchy uniqueName="[Ingresos].[Código País]" caption="Código País" attribute="1" defaultMemberUniqueName="[Ingresos].[Código País].[All]" allUniqueName="[Ingresos].[Código País].[All]" dimensionUniqueName="[Ingresos]" displayFolder="" count="0" memberValueDatatype="5" unbalanced="0"/>
    <cacheHierarchy uniqueName="[Ingresos].[Código Ciudad]" caption="Código Ciudad" attribute="1" defaultMemberUniqueName="[Ingresos].[Código Ciudad].[All]" allUniqueName="[Ingresos].[Código Ciudad].[All]" dimensionUniqueName="[Ingresos]" displayFolder="" count="0" memberValueDatatype="5" unbalanced="0"/>
    <cacheHierarchy uniqueName="[Ingresos].[Cantidad]" caption="Cantidad" attribute="1" defaultMemberUniqueName="[Ingresos].[Cantidad].[All]" allUniqueName="[Ingresos].[Cantidad].[All]" dimensionUniqueName="[Ingresos]" displayFolder="" count="0" memberValueDatatype="5" unbalanced="0"/>
    <cacheHierarchy uniqueName="[Ingresos].[Código Vendedor]" caption="Código Vendedor" attribute="1" defaultMemberUniqueName="[Ingresos].[Código Vendedor].[All]" allUniqueName="[Ingresos].[Código Vendedor].[All]" dimensionUniqueName="[Ingresos]" displayFolder="" count="0" memberValueDatatype="5" unbalanced="0"/>
    <cacheHierarchy uniqueName="[Ingresos].[Ingreso Total]" caption="Ingreso Total" attribute="1" defaultMemberUniqueName="[Ingresos].[Ingreso Total].[All]" allUniqueName="[Ingresos].[Ingreso Total].[All]" dimensionUniqueName="[Ingresos]" displayFolder="" count="0" memberValueDatatype="6" unbalanced="0"/>
    <cacheHierarchy uniqueName="[Paises de Venta].[Código País]" caption="Código País" attribute="1" defaultMemberUniqueName="[Paises de Venta].[Código País].[All]" allUniqueName="[Paises de Venta].[Código País].[All]" dimensionUniqueName="[Paises de Venta]" displayFolder="" count="0" memberValueDatatype="5" unbalanced="0"/>
    <cacheHierarchy uniqueName="[Paises de Venta].[País]" caption="País" attribute="1" defaultMemberUniqueName="[Paises de Venta].[País].[All]" allUniqueName="[Paises de Venta].[País].[All]" dimensionUniqueName="[Paises de Venta]" displayFolder="" count="0" memberValueDatatype="130" unbalanced="0"/>
    <cacheHierarchy uniqueName="[Pizzas Detalle].[Código Pizza]" caption="Código Pizza" attribute="1" defaultMemberUniqueName="[Pizzas Detalle].[Código Pizza].[All]" allUniqueName="[Pizzas Detalle].[Código Pizza].[All]" dimensionUniqueName="[Pizzas Detalle]" displayFolder="" count="0" memberValueDatatype="5" unbalanced="0"/>
    <cacheHierarchy uniqueName="[Pizzas Detalle].[Sabores]" caption="Sabores" attribute="1" defaultMemberUniqueName="[Pizzas Detalle].[Sabores].[All]" allUniqueName="[Pizzas Detalle].[Sabores].[All]" dimensionUniqueName="[Pizzas Detalle]" displayFolder="" count="0" memberValueDatatype="130" unbalanced="0"/>
    <cacheHierarchy uniqueName="[Pizzas Detalle].[Precio]" caption="Precio" attribute="1" defaultMemberUniqueName="[Pizzas Detalle].[Precio].[All]" allUniqueName="[Pizzas Detalle].[Precio].[All]" dimensionUniqueName="[Pizzas Detalle]" displayFolder="" count="0" memberValueDatatype="6" unbalanced="0"/>
    <cacheHierarchy uniqueName="[Vendedores].[Código Vendedor]" caption="Código Vendedor" attribute="1" defaultMemberUniqueName="[Vendedores].[Código Vendedor].[All]" allUniqueName="[Vendedores].[Código Vendedor].[All]" dimensionUniqueName="[Vendedores]" displayFolder="" count="0" memberValueDatatype="5" unbalanced="0"/>
    <cacheHierarchy uniqueName="[Vendedores].[Vendedores]" caption="Vendedores" attribute="1" defaultMemberUniqueName="[Vendedores].[Vendedores].[All]" allUniqueName="[Vendedores].[Vendedores].[All]" dimensionUniqueName="[Vendedores]" displayFolder="" count="2" memberValueDatatype="130" unbalanced="0">
      <fieldsUsage count="2">
        <fieldUsage x="-1"/>
        <fieldUsage x="0"/>
      </fieldsUsage>
    </cacheHierarchy>
    <cacheHierarchy uniqueName="[Measures].[__XL_Count Ciudades]" caption="__XL_Count Ciudades" measure="1" displayFolder="" measureGroup="Ciudades" count="0" hidden="1"/>
    <cacheHierarchy uniqueName="[Measures].[__XL_Count Paises de Venta]" caption="__XL_Count Paises de Venta" measure="1" displayFolder="" measureGroup="Paises de Venta" count="0" hidden="1"/>
    <cacheHierarchy uniqueName="[Measures].[__XL_Count Ingresos]" caption="__XL_Count Ingresos" measure="1" displayFolder="" measureGroup="Ingresos" count="0" hidden="1"/>
    <cacheHierarchy uniqueName="[Measures].[__XL_Count Pizzas Detalle]" caption="__XL_Count Pizzas Detalle" measure="1" displayFolder="" measureGroup="Pizzas Detalle" count="0" hidden="1"/>
    <cacheHierarchy uniqueName="[Measures].[__XL_Count Vendedores]" caption="__XL_Count Vendedores" measure="1" displayFolder="" measureGroup="Vendedores" count="0" hidden="1"/>
    <cacheHierarchy uniqueName="[Measures].[__No hay medidas definidas]" caption="__No hay medidas definidas" measure="1" displayFolder="" count="0" hidden="1"/>
    <cacheHierarchy uniqueName="[Measures].[Suma de Ingreso Total]" caption="Suma de Ingreso Total" measure="1" displayFolder="" measureGroup="Ingresos" count="0" oneField="1" hidden="1">
      <fieldsUsage count="1">
        <fieldUsage x="1"/>
      </fieldsUsage>
      <extLst>
        <ext xmlns:x15="http://schemas.microsoft.com/office/spreadsheetml/2010/11/main" uri="{B97F6D7D-B522-45F9-BDA1-12C45D357490}">
          <x15:cacheHierarchy aggregatedColumn="9"/>
        </ext>
      </extLst>
    </cacheHierarchy>
  </cacheHierarchies>
  <kpis count="0"/>
  <dimensions count="6">
    <dimension name="Ciudades" uniqueName="[Ciudades]" caption="Ciudades"/>
    <dimension name="Ingresos" uniqueName="[Ingresos]" caption="Ingresos"/>
    <dimension measure="1" name="Measures" uniqueName="[Measures]" caption="Measures"/>
    <dimension name="Paises de Venta" uniqueName="[Paises de Venta]" caption="Paises de Venta"/>
    <dimension name="Pizzas Detalle" uniqueName="[Pizzas Detalle]" caption="Pizzas Detalle"/>
    <dimension name="Vendedores" uniqueName="[Vendedores]" caption="Vendedores"/>
  </dimensions>
  <measureGroups count="5">
    <measureGroup name="Ciudades" caption="Ciudades"/>
    <measureGroup name="Ingresos" caption="Ingresos"/>
    <measureGroup name="Paises de Venta" caption="Paises de Venta"/>
    <measureGroup name="Pizzas Detalle" caption="Pizzas Detalle"/>
    <measureGroup name="Vendedores" caption="Vendedores"/>
  </measureGroups>
  <maps count="9">
    <map measureGroup="0" dimension="0"/>
    <map measureGroup="1" dimension="0"/>
    <map measureGroup="1" dimension="1"/>
    <map measureGroup="1" dimension="3"/>
    <map measureGroup="1" dimension="4"/>
    <map measureGroup="1" dimension="5"/>
    <map measureGroup="2" dimension="3"/>
    <map measureGroup="3" dimension="4"/>
    <map measureGroup="4" dimension="5"/>
  </maps>
  <extLst>
    <ext xmlns:x14="http://schemas.microsoft.com/office/spreadsheetml/2009/9/main" uri="{725AE2AE-9491-48be-B2B4-4EB974FC3084}">
      <x14:pivotCacheDefinition pivotCacheId="803548797" supportSubqueryNonVisual="1" supportSubqueryCalcMem="1" supportAddCalcMems="1"/>
    </ext>
    <ext xmlns:x15="http://schemas.microsoft.com/office/spreadsheetml/2010/11/main" uri="{ABF5C744-AB39-4b91-8756-CFA1BBC848D5}">
      <x15:pivotCacheIdVersion cacheIdSupportedVersion="6" cacheIdCreatedVersion="7"/>
    </ext>
  </extLst>
</pivotCacheDefinition>
</file>

<file path=xl/pivotCache/pivotCacheDefinition6.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Eduardo Jose Charris Villanueva" refreshedDate="44868.457823842589" createdVersion="5" refreshedVersion="8" minRefreshableVersion="3" recordCount="0" supportSubquery="1" supportAdvancedDrill="1" xr:uid="{8F8D3DAB-13BB-4FA1-AD4C-F55ABC639528}">
  <cacheSource type="external" connectionId="14">
    <extLst>
      <ext xmlns:x14="http://schemas.microsoft.com/office/spreadsheetml/2009/9/main" uri="{F057638F-6D5F-4e77-A914-E7F072B9BCA8}">
        <x14:sourceConnection name="ThisWorkbookDataModel"/>
      </ext>
    </extLst>
  </cacheSource>
  <cacheFields count="2">
    <cacheField name="[Measures].[Suma de Ingreso Total]" caption="Suma de Ingreso Total" numFmtId="0" hierarchy="23" level="32767"/>
    <cacheField name="[Paises de Venta].[País].[País]" caption="País" numFmtId="0" hierarchy="11" level="1">
      <sharedItems count="2">
        <s v="Brasil"/>
        <s v="Colombia"/>
      </sharedItems>
    </cacheField>
  </cacheFields>
  <cacheHierarchies count="24">
    <cacheHierarchy uniqueName="[Ciudades].[Código Ciudad]" caption="Código Ciudad" attribute="1" defaultMemberUniqueName="[Ciudades].[Código Ciudad].[All]" allUniqueName="[Ciudades].[Código Ciudad].[All]" dimensionUniqueName="[Ciudades]" displayFolder="" count="0" memberValueDatatype="5" unbalanced="0"/>
    <cacheHierarchy uniqueName="[Ciudades].[Ciudad]" caption="Ciudad" attribute="1" defaultMemberUniqueName="[Ciudades].[Ciudad].[All]" allUniqueName="[Ciudades].[Ciudad].[All]" dimensionUniqueName="[Ciudades]" displayFolder="" count="0" memberValueDatatype="130" unbalanced="0"/>
    <cacheHierarchy uniqueName="[Ingresos].[Código Pizza]" caption="Código Pizza" attribute="1" defaultMemberUniqueName="[Ingresos].[Código Pizza].[All]" allUniqueName="[Ingresos].[Código Pizza].[All]" dimensionUniqueName="[Ingresos]" displayFolder="" count="0" memberValueDatatype="5" unbalanced="0"/>
    <cacheHierarchy uniqueName="[Ingresos].[Fecha]" caption="Fecha" attribute="1" time="1" defaultMemberUniqueName="[Ingresos].[Fecha].[All]" allUniqueName="[Ingresos].[Fecha].[All]" dimensionUniqueName="[Ingresos]" displayFolder="" count="0" memberValueDatatype="7" unbalanced="0"/>
    <cacheHierarchy uniqueName="[Ingresos].[Año]" caption="Año" attribute="1" defaultMemberUniqueName="[Ingresos].[Año].[All]" allUniqueName="[Ingresos].[Año].[All]" dimensionUniqueName="[Ingresos]" displayFolder="" count="0" memberValueDatatype="5" unbalanced="0"/>
    <cacheHierarchy uniqueName="[Ingresos].[Código País]" caption="Código País" attribute="1" defaultMemberUniqueName="[Ingresos].[Código País].[All]" allUniqueName="[Ingresos].[Código País].[All]" dimensionUniqueName="[Ingresos]" displayFolder="" count="0" memberValueDatatype="5" unbalanced="0"/>
    <cacheHierarchy uniqueName="[Ingresos].[Código Ciudad]" caption="Código Ciudad" attribute="1" defaultMemberUniqueName="[Ingresos].[Código Ciudad].[All]" allUniqueName="[Ingresos].[Código Ciudad].[All]" dimensionUniqueName="[Ingresos]" displayFolder="" count="0" memberValueDatatype="5" unbalanced="0"/>
    <cacheHierarchy uniqueName="[Ingresos].[Cantidad]" caption="Cantidad" attribute="1" defaultMemberUniqueName="[Ingresos].[Cantidad].[All]" allUniqueName="[Ingresos].[Cantidad].[All]" dimensionUniqueName="[Ingresos]" displayFolder="" count="0" memberValueDatatype="5" unbalanced="0"/>
    <cacheHierarchy uniqueName="[Ingresos].[Código Vendedor]" caption="Código Vendedor" attribute="1" defaultMemberUniqueName="[Ingresos].[Código Vendedor].[All]" allUniqueName="[Ingresos].[Código Vendedor].[All]" dimensionUniqueName="[Ingresos]" displayFolder="" count="0" memberValueDatatype="5" unbalanced="0"/>
    <cacheHierarchy uniqueName="[Ingresos].[Ingreso Total]" caption="Ingreso Total" attribute="1" defaultMemberUniqueName="[Ingresos].[Ingreso Total].[All]" allUniqueName="[Ingresos].[Ingreso Total].[All]" dimensionUniqueName="[Ingresos]" displayFolder="" count="0" memberValueDatatype="6" unbalanced="0"/>
    <cacheHierarchy uniqueName="[Paises de Venta].[Código País]" caption="Código País" attribute="1" defaultMemberUniqueName="[Paises de Venta].[Código País].[All]" allUniqueName="[Paises de Venta].[Código País].[All]" dimensionUniqueName="[Paises de Venta]" displayFolder="" count="0" memberValueDatatype="5" unbalanced="0"/>
    <cacheHierarchy uniqueName="[Paises de Venta].[País]" caption="País" attribute="1" defaultMemberUniqueName="[Paises de Venta].[País].[All]" allUniqueName="[Paises de Venta].[País].[All]" dimensionUniqueName="[Paises de Venta]" displayFolder="" count="2" memberValueDatatype="130" unbalanced="0">
      <fieldsUsage count="2">
        <fieldUsage x="-1"/>
        <fieldUsage x="1"/>
      </fieldsUsage>
    </cacheHierarchy>
    <cacheHierarchy uniqueName="[Pizzas Detalle].[Código Pizza]" caption="Código Pizza" attribute="1" defaultMemberUniqueName="[Pizzas Detalle].[Código Pizza].[All]" allUniqueName="[Pizzas Detalle].[Código Pizza].[All]" dimensionUniqueName="[Pizzas Detalle]" displayFolder="" count="0" memberValueDatatype="5" unbalanced="0"/>
    <cacheHierarchy uniqueName="[Pizzas Detalle].[Sabores]" caption="Sabores" attribute="1" defaultMemberUniqueName="[Pizzas Detalle].[Sabores].[All]" allUniqueName="[Pizzas Detalle].[Sabores].[All]" dimensionUniqueName="[Pizzas Detalle]" displayFolder="" count="0" memberValueDatatype="130" unbalanced="0"/>
    <cacheHierarchy uniqueName="[Pizzas Detalle].[Precio]" caption="Precio" attribute="1" defaultMemberUniqueName="[Pizzas Detalle].[Precio].[All]" allUniqueName="[Pizzas Detalle].[Precio].[All]" dimensionUniqueName="[Pizzas Detalle]" displayFolder="" count="0" memberValueDatatype="6" unbalanced="0"/>
    <cacheHierarchy uniqueName="[Vendedores].[Código Vendedor]" caption="Código Vendedor" attribute="1" defaultMemberUniqueName="[Vendedores].[Código Vendedor].[All]" allUniqueName="[Vendedores].[Código Vendedor].[All]" dimensionUniqueName="[Vendedores]" displayFolder="" count="0" memberValueDatatype="5" unbalanced="0"/>
    <cacheHierarchy uniqueName="[Vendedores].[Vendedores]" caption="Vendedores" attribute="1" defaultMemberUniqueName="[Vendedores].[Vendedores].[All]" allUniqueName="[Vendedores].[Vendedores].[All]" dimensionUniqueName="[Vendedores]" displayFolder="" count="0" memberValueDatatype="130" unbalanced="0"/>
    <cacheHierarchy uniqueName="[Measures].[__XL_Count Ciudades]" caption="__XL_Count Ciudades" measure="1" displayFolder="" measureGroup="Ciudades" count="0" hidden="1"/>
    <cacheHierarchy uniqueName="[Measures].[__XL_Count Paises de Venta]" caption="__XL_Count Paises de Venta" measure="1" displayFolder="" measureGroup="Paises de Venta" count="0" hidden="1"/>
    <cacheHierarchy uniqueName="[Measures].[__XL_Count Ingresos]" caption="__XL_Count Ingresos" measure="1" displayFolder="" measureGroup="Ingresos" count="0" hidden="1"/>
    <cacheHierarchy uniqueName="[Measures].[__XL_Count Pizzas Detalle]" caption="__XL_Count Pizzas Detalle" measure="1" displayFolder="" measureGroup="Pizzas Detalle" count="0" hidden="1"/>
    <cacheHierarchy uniqueName="[Measures].[__XL_Count Vendedores]" caption="__XL_Count Vendedores" measure="1" displayFolder="" measureGroup="Vendedores" count="0" hidden="1"/>
    <cacheHierarchy uniqueName="[Measures].[__No hay medidas definidas]" caption="__No hay medidas definidas" measure="1" displayFolder="" count="0" hidden="1"/>
    <cacheHierarchy uniqueName="[Measures].[Suma de Ingreso Total]" caption="Suma de Ingreso Total" measure="1" displayFolder="" measureGroup="Ingresos" count="0" oneField="1" hidden="1">
      <fieldsUsage count="1">
        <fieldUsage x="0"/>
      </fieldsUsage>
      <extLst>
        <ext xmlns:x15="http://schemas.microsoft.com/office/spreadsheetml/2010/11/main" uri="{B97F6D7D-B522-45F9-BDA1-12C45D357490}">
          <x15:cacheHierarchy aggregatedColumn="9"/>
        </ext>
      </extLst>
    </cacheHierarchy>
  </cacheHierarchies>
  <kpis count="0"/>
  <dimensions count="6">
    <dimension name="Ciudades" uniqueName="[Ciudades]" caption="Ciudades"/>
    <dimension name="Ingresos" uniqueName="[Ingresos]" caption="Ingresos"/>
    <dimension measure="1" name="Measures" uniqueName="[Measures]" caption="Measures"/>
    <dimension name="Paises de Venta" uniqueName="[Paises de Venta]" caption="Paises de Venta"/>
    <dimension name="Pizzas Detalle" uniqueName="[Pizzas Detalle]" caption="Pizzas Detalle"/>
    <dimension name="Vendedores" uniqueName="[Vendedores]" caption="Vendedores"/>
  </dimensions>
  <measureGroups count="5">
    <measureGroup name="Ciudades" caption="Ciudades"/>
    <measureGroup name="Ingresos" caption="Ingresos"/>
    <measureGroup name="Paises de Venta" caption="Paises de Venta"/>
    <measureGroup name="Pizzas Detalle" caption="Pizzas Detalle"/>
    <measureGroup name="Vendedores" caption="Vendedores"/>
  </measureGroups>
  <maps count="9">
    <map measureGroup="0" dimension="0"/>
    <map measureGroup="1" dimension="0"/>
    <map measureGroup="1" dimension="1"/>
    <map measureGroup="1" dimension="3"/>
    <map measureGroup="1" dimension="4"/>
    <map measureGroup="1" dimension="5"/>
    <map measureGroup="2" dimension="3"/>
    <map measureGroup="3" dimension="4"/>
    <map measureGroup="4" dimension="5"/>
  </maps>
  <extLst>
    <ext xmlns:x14="http://schemas.microsoft.com/office/spreadsheetml/2009/9/main" uri="{725AE2AE-9491-48be-B2B4-4EB974FC3084}">
      <x14:pivotCacheDefinition pivotCacheId="1755668593" supportSubqueryNonVisual="1" supportSubqueryCalcMem="1" supportAddCalcMems="1"/>
    </ext>
    <ext xmlns:x15="http://schemas.microsoft.com/office/spreadsheetml/2010/11/main" uri="{ABF5C744-AB39-4b91-8756-CFA1BBC848D5}">
      <x15:pivotCacheIdVersion cacheIdSupportedVersion="6" cacheIdCreatedVersion="7"/>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0">
  <r>
    <s v="Departamento"/>
    <x v="0"/>
    <s v="Petro"/>
    <x v="0"/>
    <s v="Hernández"/>
    <s v="En Blanco"/>
    <s v="En Blanco"/>
    <s v="Nulos"/>
    <s v="No marcados"/>
    <x v="0"/>
    <s v="Total"/>
  </r>
  <r>
    <s v="Departamento"/>
    <x v="1"/>
    <s v="Márquez"/>
    <x v="1"/>
    <s v="Castillo"/>
    <s v="En Blanco"/>
    <s v="En Blanco"/>
    <s v="Nulos"/>
    <s v="No marcados"/>
    <x v="0"/>
    <s v="Total"/>
  </r>
  <r>
    <s v="Departamento"/>
    <x v="2"/>
    <m/>
    <x v="2"/>
    <m/>
    <s v="En Blanco"/>
    <s v="En Blanco"/>
    <s v="Nulos"/>
    <s v="No marcados"/>
    <x v="0"/>
    <s v="Total"/>
  </r>
  <r>
    <s v="Departamento"/>
    <x v="3"/>
    <s v="%"/>
    <x v="3"/>
    <s v="%"/>
    <s v="Votos"/>
    <s v="%"/>
    <s v="Votos"/>
    <s v="Votos"/>
    <x v="1"/>
    <s v="%"/>
  </r>
  <r>
    <s v="Amazonas"/>
    <x v="4"/>
    <s v="54,61"/>
    <x v="4"/>
    <s v="43,45"/>
    <s v="456"/>
    <s v="1,93"/>
    <s v="214"/>
    <s v="48"/>
    <x v="2"/>
    <s v="46,24"/>
  </r>
  <r>
    <s v="Antioquia"/>
    <x v="5"/>
    <s v="33,04"/>
    <x v="5"/>
    <s v="63,93"/>
    <s v="86 367"/>
    <s v="3,02"/>
    <s v="42 431"/>
    <s v="4 246"/>
    <x v="3"/>
    <s v="56,65"/>
  </r>
  <r>
    <s v="Arauca"/>
    <x v="6"/>
    <s v="30,96"/>
    <x v="6"/>
    <s v="67,06"/>
    <s v="2 041"/>
    <s v="1,97"/>
    <s v="1 138"/>
    <s v="132"/>
    <x v="4"/>
    <s v="49,82"/>
  </r>
  <r>
    <s v="Atlántico"/>
    <x v="7"/>
    <s v="67,06"/>
    <x v="7"/>
    <s v="31,35"/>
    <s v="15 915"/>
    <s v="1,58"/>
    <s v="5 362"/>
    <s v="764"/>
    <x v="5"/>
    <s v="50,06"/>
  </r>
  <r>
    <s v="Bogotá"/>
    <x v="8"/>
    <s v="58,59"/>
    <x v="8"/>
    <s v="38,48"/>
    <s v="112 293"/>
    <s v="2,91"/>
    <s v="39 436"/>
    <s v="1 421"/>
    <x v="6"/>
    <s v="65,49"/>
  </r>
  <r>
    <s v="Bolívar"/>
    <x v="9"/>
    <s v="60,88"/>
    <x v="9"/>
    <s v="37,28"/>
    <s v="14 758"/>
    <s v="1,82"/>
    <s v="4 749"/>
    <s v="1 121"/>
    <x v="7"/>
    <s v="48,20"/>
  </r>
  <r>
    <s v="Boyacá"/>
    <x v="10"/>
    <s v="40,29"/>
    <x v="10"/>
    <s v="57,76"/>
    <s v="12 718"/>
    <s v="1,93"/>
    <s v="7 934"/>
    <s v="635"/>
    <x v="8"/>
    <s v="66,68"/>
  </r>
  <r>
    <s v="Caldas"/>
    <x v="11"/>
    <s v="39,81"/>
    <x v="11"/>
    <s v="59,64"/>
    <s v="15 170"/>
    <s v="3,22"/>
    <s v="12 135"/>
    <s v="1 156"/>
    <x v="9"/>
    <s v="59,64"/>
  </r>
  <r>
    <s v="Caquetá"/>
    <x v="12"/>
    <s v="43,78"/>
    <x v="12"/>
    <s v="53,46"/>
    <s v="4 578"/>
    <s v="2,75"/>
    <s v="2 266"/>
    <s v="329"/>
    <x v="10"/>
    <s v="54,60"/>
  </r>
  <r>
    <s v="Casanare"/>
    <x v="13"/>
    <s v="28,01"/>
    <x v="13"/>
    <s v="70,26"/>
    <s v="3 534"/>
    <s v="1,72"/>
    <s v="2 542"/>
    <s v="213"/>
    <x v="11"/>
    <s v="68,02"/>
  </r>
  <r>
    <s v="Cauca"/>
    <x v="14"/>
    <s v="79,02"/>
    <x v="14"/>
    <s v="18,82"/>
    <s v="13 994"/>
    <s v="2,14"/>
    <s v="12 755"/>
    <s v="1 550"/>
    <x v="12"/>
    <s v="65,07"/>
  </r>
  <r>
    <s v="Cesar"/>
    <x v="15"/>
    <s v="53,00"/>
    <x v="15"/>
    <s v="45,51"/>
    <s v="7 011"/>
    <s v="1,48"/>
    <s v="5 304"/>
    <s v="372"/>
    <x v="13"/>
    <s v="54,95"/>
  </r>
  <r>
    <s v="Chocó"/>
    <x v="16"/>
    <s v="81,94"/>
    <x v="16"/>
    <s v="16,49"/>
    <s v="2 440"/>
    <s v="1,56"/>
    <s v="2 711"/>
    <s v="627"/>
    <x v="14"/>
    <s v="47,83"/>
  </r>
  <r>
    <s v="Consulados"/>
    <x v="17"/>
    <s v="37,52"/>
    <x v="17"/>
    <s v="60,75"/>
    <s v="5 209"/>
    <s v="1,72"/>
    <s v="578"/>
    <s v="47"/>
    <x v="15"/>
    <s v="31,46"/>
  </r>
  <r>
    <s v="Córdoba"/>
    <x v="18"/>
    <s v="61,08"/>
    <x v="18"/>
    <s v="37,31"/>
    <s v="11 422"/>
    <s v="1,59"/>
    <s v="5 750"/>
    <s v="850"/>
    <x v="16"/>
    <s v="54,70"/>
  </r>
  <r>
    <s v="Cundinamarca"/>
    <x v="19"/>
    <s v="44,16"/>
    <x v="19"/>
    <s v="53,45"/>
    <s v="33 608"/>
    <s v="2,37"/>
    <s v="22 400"/>
    <s v="959"/>
    <x v="17"/>
    <s v="67,68"/>
  </r>
  <r>
    <s v="Guainía"/>
    <x v="20"/>
    <s v="52,51"/>
    <x v="20"/>
    <s v="45,92"/>
    <s v="195"/>
    <s v="1,56"/>
    <s v="100"/>
    <s v="24"/>
    <x v="18"/>
    <s v="39,06"/>
  </r>
  <r>
    <s v="Guaviare"/>
    <x v="21"/>
    <s v="44,15"/>
    <x v="21"/>
    <s v="52,84"/>
    <s v="1 000"/>
    <s v="3,00"/>
    <s v="588"/>
    <s v="197"/>
    <x v="19"/>
    <s v="52,85"/>
  </r>
  <r>
    <s v="Huila"/>
    <x v="22"/>
    <s v="40,65"/>
    <x v="22"/>
    <s v="57,41"/>
    <s v="10 318"/>
    <s v="1,93"/>
    <s v="6 674"/>
    <s v="489"/>
    <x v="20"/>
    <s v="61,13"/>
  </r>
  <r>
    <s v="La Guajira"/>
    <x v="23"/>
    <s v="64,56"/>
    <x v="23"/>
    <s v="33,73"/>
    <s v="4 284"/>
    <s v="1,69"/>
    <s v="3 027"/>
    <s v="313"/>
    <x v="21"/>
    <s v="39,58"/>
  </r>
  <r>
    <s v="Magdalena"/>
    <x v="24"/>
    <s v="60,22"/>
    <x v="24"/>
    <s v="38,13"/>
    <s v="8 262"/>
    <s v="1,64"/>
    <s v="4 401"/>
    <s v="386"/>
    <x v="22"/>
    <s v="49,47"/>
  </r>
  <r>
    <s v="Meta"/>
    <x v="25"/>
    <s v="36,34"/>
    <x v="25"/>
    <s v="61,69"/>
    <s v="9 770"/>
    <s v="1,96"/>
    <s v="7 300"/>
    <s v="420"/>
    <x v="23"/>
    <s v="64,18"/>
  </r>
  <r>
    <s v="Nariño"/>
    <x v="26"/>
    <s v="80,91"/>
    <x v="26"/>
    <s v="17,24"/>
    <s v="13 490"/>
    <s v="1,84"/>
    <s v="10 035"/>
    <s v="1 120"/>
    <x v="24"/>
    <s v="63,07"/>
  </r>
  <r>
    <s v="Norte de Santander"/>
    <x v="27"/>
    <s v="20,86"/>
    <x v="27"/>
    <s v="77,84"/>
    <s v="9 223"/>
    <s v="1,28"/>
    <s v="5 264"/>
    <s v="599"/>
    <x v="25"/>
    <s v="55,68"/>
  </r>
  <r>
    <s v="Putumayo"/>
    <x v="28"/>
    <s v="79,67"/>
    <x v="28"/>
    <s v="18,48"/>
    <s v="2 534"/>
    <s v="1,83"/>
    <s v="1 692"/>
    <s v="211"/>
    <x v="26"/>
    <s v="57,63"/>
  </r>
  <r>
    <s v="Quindío"/>
    <x v="29"/>
    <s v="41,50"/>
    <x v="29"/>
    <s v="55,44"/>
    <s v="8 341"/>
    <s v="3,04"/>
    <s v="5 803"/>
    <s v="387"/>
    <x v="27"/>
    <s v="57,07"/>
  </r>
  <r>
    <s v="Risaralda"/>
    <x v="30"/>
    <s v="46,16"/>
    <x v="30"/>
    <s v="51,01"/>
    <s v="13 188"/>
    <s v="2,81"/>
    <s v="9 716"/>
    <s v="908"/>
    <x v="28"/>
    <s v="57,07"/>
  </r>
  <r>
    <s v="San Andrés"/>
    <x v="31"/>
    <s v="51,31"/>
    <x v="31"/>
    <s v="44,73"/>
    <s v="659"/>
    <s v="3,95"/>
    <s v="102"/>
    <s v="16"/>
    <x v="29"/>
    <s v="32,51"/>
  </r>
  <r>
    <s v="Santander"/>
    <x v="32"/>
    <s v="25,97"/>
    <x v="32"/>
    <s v="72,95"/>
    <s v="12 802"/>
    <s v="1,07"/>
    <s v="6 681"/>
    <s v="592"/>
    <x v="30"/>
    <s v="67,65"/>
  </r>
  <r>
    <s v="Sucre"/>
    <x v="33"/>
    <s v="64,07"/>
    <x v="33"/>
    <s v="34,34"/>
    <s v="6 485"/>
    <s v="1,58"/>
    <s v="3 422"/>
    <s v="545"/>
    <x v="31"/>
    <s v="56,56"/>
  </r>
  <r>
    <s v="Tolima"/>
    <x v="34"/>
    <s v="38,53"/>
    <x v="34"/>
    <s v="59,49"/>
    <s v="12 832"/>
    <s v="1,96"/>
    <s v="9 674"/>
    <s v="806"/>
    <x v="32"/>
    <s v="59,24"/>
  </r>
  <r>
    <s v="Valle del Cauca"/>
    <x v="35"/>
    <s v="63,85"/>
    <x v="35"/>
    <s v="33,87"/>
    <s v="46 605"/>
    <s v="2,27"/>
    <s v="29 278"/>
    <s v="2 080"/>
    <x v="33"/>
    <s v="56,68"/>
  </r>
  <r>
    <s v="Vaupés"/>
    <x v="36"/>
    <s v="74,03"/>
    <x v="36"/>
    <s v="24,66"/>
    <s v="113"/>
    <s v="1,29"/>
    <s v="42"/>
    <s v="12"/>
    <x v="34"/>
    <s v="37,37"/>
  </r>
  <r>
    <s v="Vichada"/>
    <x v="37"/>
    <s v="39,36"/>
    <x v="37"/>
    <s v="59,02"/>
    <s v="312"/>
    <s v="1,60"/>
    <s v="163"/>
    <s v="40"/>
    <x v="35"/>
    <s v="37,03"/>
  </r>
  <r>
    <s v="Fuente: Registraduría​"/>
    <x v="38"/>
    <s v="Fuente: Registraduría​"/>
    <x v="38"/>
    <s v="Fuente: Registraduría​"/>
    <s v="Fuente: Registraduría​"/>
    <s v="Fuente: Registraduría​"/>
    <s v="Fuente: Registraduría​"/>
    <s v="Fuente: Registraduría​"/>
    <x v="36"/>
    <s v="Fuente: Registraduría​"/>
  </r>
  <r>
    <m/>
    <x v="2"/>
    <m/>
    <x v="2"/>
    <m/>
    <m/>
    <m/>
    <m/>
    <m/>
    <x v="37"/>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9">
  <r>
    <s v="Departamento"/>
    <x v="0"/>
    <s v="Petro"/>
    <s v="Hernández"/>
    <s v="Hernández"/>
    <s v="En Blanco"/>
    <s v="En Blanco"/>
    <s v="Nulos"/>
    <s v="No marcados"/>
    <s v="Total"/>
    <s v="Total"/>
  </r>
  <r>
    <s v="Departamento"/>
    <x v="1"/>
    <s v="Márquez"/>
    <s v="Castillo"/>
    <s v="Castillo"/>
    <s v="En Blanco"/>
    <s v="En Blanco"/>
    <s v="Nulos"/>
    <s v="No marcados"/>
    <s v="Total"/>
    <s v="Total"/>
  </r>
  <r>
    <s v="Departamento"/>
    <x v="2"/>
    <m/>
    <m/>
    <m/>
    <s v="En Blanco"/>
    <s v="En Blanco"/>
    <s v="Nulos"/>
    <s v="No marcados"/>
    <s v="Total"/>
    <s v="Total"/>
  </r>
  <r>
    <s v="Departamento"/>
    <x v="3"/>
    <s v="%"/>
    <s v="Votos"/>
    <s v="%"/>
    <s v="Votos"/>
    <s v="%"/>
    <s v="Votos"/>
    <s v="Votos"/>
    <s v="Votos"/>
    <s v="%"/>
  </r>
  <r>
    <s v="Amazonas"/>
    <x v="4"/>
    <s v="54,61"/>
    <s v="10 250"/>
    <s v="43,45"/>
    <s v="456"/>
    <s v="1,93"/>
    <s v="214"/>
    <s v="48"/>
    <s v="23 851"/>
    <s v="46,24"/>
  </r>
  <r>
    <s v="Antioquia"/>
    <x v="5"/>
    <s v="33,04"/>
    <s v="1 822 700"/>
    <s v="63,93"/>
    <s v="86 367"/>
    <s v="3,02"/>
    <s v="42 431"/>
    <s v="4 246"/>
    <s v="2 897 749"/>
    <s v="56,65"/>
  </r>
  <r>
    <s v="Arauca"/>
    <x v="6"/>
    <s v="30,96"/>
    <s v="69 473"/>
    <s v="67,06"/>
    <s v="2 041"/>
    <s v="1,97"/>
    <s v="1 138"/>
    <s v="132"/>
    <s v="104 866"/>
    <s v="49,82"/>
  </r>
  <r>
    <s v="Atlántico"/>
    <x v="7"/>
    <s v="67,06"/>
    <s v="314 551"/>
    <s v="31,35"/>
    <s v="15 915"/>
    <s v="1,58"/>
    <s v="5 362"/>
    <s v="764"/>
    <s v="1 009 424"/>
    <s v="50,06"/>
  </r>
  <r>
    <s v="Bogotá"/>
    <x v="8"/>
    <s v="58,59"/>
    <s v="1 480 198"/>
    <s v="38,48"/>
    <s v="112 293"/>
    <s v="2,91"/>
    <s v="39 436"/>
    <s v="1 421"/>
    <s v="3 887 345"/>
    <s v="65,49"/>
  </r>
  <r>
    <s v="Bolívar"/>
    <x v="9"/>
    <s v="60,88"/>
    <s v="301 952"/>
    <s v="37,28"/>
    <s v="14 758"/>
    <s v="1,82"/>
    <s v="4 749"/>
    <s v="1 121"/>
    <s v="815 621"/>
    <s v="48,20"/>
  </r>
  <r>
    <s v="Boyacá"/>
    <x v="10"/>
    <s v="40,29"/>
    <s v="378 899"/>
    <s v="57,76"/>
    <s v="12 718"/>
    <s v="1,93"/>
    <s v="7 934"/>
    <s v="635"/>
    <s v="664 456"/>
    <s v="66,68"/>
  </r>
  <r>
    <s v="Caldas"/>
    <x v="11"/>
    <s v="39,81"/>
    <s v="267 988"/>
    <s v="59,64"/>
    <s v="15 170"/>
    <s v="3,22"/>
    <s v="12 135"/>
    <s v="1 156"/>
    <s v="483 795"/>
    <s v="59,64"/>
  </r>
  <r>
    <s v="Caquetá"/>
    <x v="12"/>
    <s v="43,78"/>
    <s v="88 922"/>
    <s v="53,46"/>
    <s v="4 578"/>
    <s v="2,75"/>
    <s v="2 266"/>
    <s v="329"/>
    <s v="168 911"/>
    <s v="54,60"/>
  </r>
  <r>
    <s v="Casanare"/>
    <x v="13"/>
    <s v="28,01"/>
    <s v="143 796"/>
    <s v="70,26"/>
    <s v="3 534"/>
    <s v="1,72"/>
    <s v="2 542"/>
    <s v="213"/>
    <s v="207 416"/>
    <s v="68,02"/>
  </r>
  <r>
    <s v="Cauca"/>
    <x v="14"/>
    <s v="79,02"/>
    <s v="122 693"/>
    <s v="18,82"/>
    <s v="13 994"/>
    <s v="2,14"/>
    <s v="12 755"/>
    <s v="1 550"/>
    <s v="666 066"/>
    <s v="65,07"/>
  </r>
  <r>
    <s v="Cesar"/>
    <x v="15"/>
    <s v="53,00"/>
    <s v="215 080"/>
    <s v="45,51"/>
    <s v="7 011"/>
    <s v="1,48"/>
    <s v="5 304"/>
    <s v="372"/>
    <s v="478 266"/>
    <s v="54,95"/>
  </r>
  <r>
    <s v="Chocó"/>
    <x v="16"/>
    <s v="81,94"/>
    <s v="25 736"/>
    <s v="16,49"/>
    <s v="2 440"/>
    <s v="1,56"/>
    <s v="2 711"/>
    <s v="627"/>
    <s v="159 360"/>
    <s v="47,83"/>
  </r>
  <r>
    <s v="Consulados"/>
    <x v="17"/>
    <s v="37,52"/>
    <s v="185 557"/>
    <s v="60,75"/>
    <s v="5 209"/>
    <s v="1,72"/>
    <s v="578"/>
    <s v="47"/>
    <s v="306 061"/>
    <s v="31,46"/>
  </r>
  <r>
    <s v="Córdoba"/>
    <x v="18"/>
    <s v="61,08"/>
    <s v="266 999"/>
    <s v="37,31"/>
    <s v="11 422"/>
    <s v="1,59"/>
    <s v="5 750"/>
    <s v="850"/>
    <s v="722 037"/>
    <s v="54,70"/>
  </r>
  <r>
    <s v="Cundinamarca"/>
    <x v="19"/>
    <s v="44,16"/>
    <s v="756 454"/>
    <s v="53,45"/>
    <s v="33 608"/>
    <s v="2,37"/>
    <s v="22 400"/>
    <s v="959"/>
    <s v="1 438 386"/>
    <s v="67,68"/>
  </r>
  <r>
    <s v="Guainía"/>
    <x v="20"/>
    <s v="52,51"/>
    <s v="5 716"/>
    <s v="45,92"/>
    <s v="195"/>
    <s v="1,56"/>
    <s v="100"/>
    <s v="24"/>
    <s v="12 571"/>
    <s v="39,06"/>
  </r>
  <r>
    <s v="Guaviare"/>
    <x v="21"/>
    <s v="44,15"/>
    <s v="17 601"/>
    <s v="52,84"/>
    <s v="1 000"/>
    <s v="3,00"/>
    <s v="588"/>
    <s v="197"/>
    <s v="34 094"/>
    <s v="52,85"/>
  </r>
  <r>
    <s v="Huila"/>
    <x v="22"/>
    <s v="40,65"/>
    <s v="305 799"/>
    <s v="57,41"/>
    <s v="10 318"/>
    <s v="1,93"/>
    <s v="6 674"/>
    <s v="489"/>
    <s v="589 813"/>
    <s v="61,13"/>
  </r>
  <r>
    <s v="La Guajira"/>
    <x v="23"/>
    <s v="64,56"/>
    <s v="85 101"/>
    <s v="33,73"/>
    <s v="4 284"/>
    <s v="1,69"/>
    <s v="3 027"/>
    <s v="313"/>
    <s v="255 574"/>
    <s v="39,58"/>
  </r>
  <r>
    <s v="Magdalena"/>
    <x v="24"/>
    <s v="60,22"/>
    <s v="191 500"/>
    <s v="38,13"/>
    <s v="8 262"/>
    <s v="1,64"/>
    <s v="4 401"/>
    <s v="386"/>
    <s v="506 988"/>
    <s v="49,47"/>
  </r>
  <r>
    <s v="Meta"/>
    <x v="25"/>
    <s v="36,34"/>
    <s v="307 137"/>
    <s v="61,69"/>
    <s v="9 770"/>
    <s v="1,96"/>
    <s v="7 300"/>
    <s v="420"/>
    <s v="505 550"/>
    <s v="64,18"/>
  </r>
  <r>
    <s v="Nariño"/>
    <x v="26"/>
    <s v="80,91"/>
    <s v="126 198"/>
    <s v="17,24"/>
    <s v="13 490"/>
    <s v="1,84"/>
    <s v="10 035"/>
    <s v="1 120"/>
    <s v="743 013"/>
    <s v="63,07"/>
  </r>
  <r>
    <s v="Norte de Santander"/>
    <x v="27"/>
    <s v="20,86"/>
    <s v="557 406"/>
    <s v="77,84"/>
    <s v="9 223"/>
    <s v="1,28"/>
    <s v="5 264"/>
    <s v="599"/>
    <s v="721 905"/>
    <s v="55,68"/>
  </r>
  <r>
    <s v="Putumayo"/>
    <x v="28"/>
    <s v="79,67"/>
    <s v="25 549"/>
    <s v="18,48"/>
    <s v="2 534"/>
    <s v="1,83"/>
    <s v="1 692"/>
    <s v="211"/>
    <s v="140 104"/>
    <s v="57,63"/>
  </r>
  <r>
    <s v="Quindío"/>
    <x v="29"/>
    <s v="41,50"/>
    <s v="151 653"/>
    <s v="55,44"/>
    <s v="8 341"/>
    <s v="3,04"/>
    <s v="5 803"/>
    <s v="387"/>
    <s v="279 721"/>
    <s v="57,07"/>
  </r>
  <r>
    <s v="Risaralda"/>
    <x v="30"/>
    <s v="46,16"/>
    <s v="238 963"/>
    <s v="51,01"/>
    <s v="13 188"/>
    <s v="2,81"/>
    <s v="9 716"/>
    <s v="908"/>
    <s v="479 002"/>
    <s v="57,07"/>
  </r>
  <r>
    <s v="San Andrés"/>
    <x v="31"/>
    <s v="51,31"/>
    <s v="7 449"/>
    <s v="44,73"/>
    <s v="659"/>
    <s v="3,95"/>
    <s v="102"/>
    <s v="16"/>
    <s v="16 771"/>
    <s v="32,51"/>
  </r>
  <r>
    <s v="Santander"/>
    <x v="32"/>
    <s v="25,97"/>
    <s v="871 291"/>
    <s v="72,95"/>
    <s v="12 802"/>
    <s v="1,07"/>
    <s v="6 681"/>
    <s v="592"/>
    <s v="1 201 606"/>
    <s v="67,65"/>
  </r>
  <r>
    <s v="Sucre"/>
    <x v="33"/>
    <s v="64,07"/>
    <s v="140 507"/>
    <s v="34,34"/>
    <s v="6 485"/>
    <s v="1,58"/>
    <s v="3 422"/>
    <s v="545"/>
    <s v="413 094"/>
    <s v="56,56"/>
  </r>
  <r>
    <s v="Tolima"/>
    <x v="34"/>
    <s v="38,53"/>
    <s v="388 640"/>
    <s v="59,49"/>
    <s v="12 832"/>
    <s v="1,96"/>
    <s v="9 674"/>
    <s v="806"/>
    <s v="663 662"/>
    <s v="59,24"/>
  </r>
  <r>
    <s v="Valle del Cauca"/>
    <x v="35"/>
    <s v="63,85"/>
    <s v="695 059"/>
    <s v="33,87"/>
    <s v="46 605"/>
    <s v="2,27"/>
    <s v="29 278"/>
    <s v="2 080"/>
    <s v="2 083 258"/>
    <s v="56,68"/>
  </r>
  <r>
    <s v="Vaupés"/>
    <x v="36"/>
    <s v="74,03"/>
    <s v="2 148"/>
    <s v="24,66"/>
    <s v="113"/>
    <s v="1,29"/>
    <s v="42"/>
    <s v="12"/>
    <s v="8 762"/>
    <s v="37,37"/>
  </r>
  <r>
    <s v="Vichada"/>
    <x v="37"/>
    <s v="39,36"/>
    <s v="11 447"/>
    <s v="59,02"/>
    <s v="312"/>
    <s v="1,60"/>
    <s v="163"/>
    <s v="40"/>
    <s v="19 596"/>
    <s v="37,03"/>
  </r>
  <r>
    <s v="Fuente: Registraduría​"/>
    <x v="38"/>
    <s v="Fuente: Registraduría​"/>
    <s v="Fuente: Registraduría​"/>
    <s v="Fuente: Registraduría​"/>
    <s v="Fuente: Registraduría​"/>
    <s v="Fuente: Registraduría​"/>
    <s v="Fuente: Registraduría​"/>
    <s v="Fuente: Registraduría​"/>
    <s v="Fuente: Registraduría​"/>
    <s v="Fuente: Registradurí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6.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5.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AD3EE1D-9A7A-4FC4-A46A-3871786DC7EC}" name="PivotChartTable4" cacheId="41"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chartFormat="1">
  <location ref="A1:B4" firstHeaderRow="1" firstDataRow="1" firstDataCol="1"/>
  <pivotFields count="2">
    <pivotField dataField="1" subtotalTop="0" showAll="0" defaultSubtotal="0"/>
    <pivotField axis="axisRow" allDrilled="1" subtotalTop="0" showAll="0" dataSourceSort="1" defaultSubtotal="0" defaultAttributeDrillState="1">
      <items count="2">
        <item x="0"/>
        <item x="1"/>
      </items>
    </pivotField>
  </pivotFields>
  <rowFields count="1">
    <field x="1"/>
  </rowFields>
  <rowItems count="3">
    <i>
      <x/>
    </i>
    <i>
      <x v="1"/>
    </i>
    <i t="grand">
      <x/>
    </i>
  </rowItems>
  <colItems count="1">
    <i/>
  </colItems>
  <dataFields count="1">
    <dataField name="Suma de Ingreso Total" fld="0" baseField="0" baseItem="0"/>
  </dataFields>
  <chartFormats count="1">
    <chartFormat chart="0" format="0" series="1">
      <pivotArea type="data" outline="0" fieldPosition="0">
        <references count="1">
          <reference field="4294967294" count="1" selected="0">
            <x v="0"/>
          </reference>
        </references>
      </pivotArea>
    </chartFormat>
  </chartFormats>
  <pivotHierarchies count="24">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ies>
  <rowHierarchiesUsage count="1">
    <rowHierarchyUsage hierarchyUsage="11"/>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C510F80B-63DE-4267-81D5-13C33094786E}">
      <x15:pivotTableServerFormats count="1">
        <x15:serverFormat format="\$ #,0.00;-\$ #,0.00;\$ #,0.00"/>
      </x15:pivotTableServerFormats>
    </ext>
    <ext xmlns:x15="http://schemas.microsoft.com/office/spreadsheetml/2010/11/main" uri="{44433962-1CF7-4059-B4EE-95C3D5FFCF73}">
      <x15:pivotTableData rowCount="3" columnCount="1" cacheId="1755668593">
        <x15:pivotRow count="1">
          <x15:c>
            <x15:v>51456.184200000003</x15:v>
            <x15:x in="0"/>
          </x15:c>
        </x15:pivotRow>
        <x15:pivotRow count="1">
          <x15:c>
            <x15:v>298143</x15:v>
            <x15:x in="0"/>
          </x15:c>
        </x15:pivotRow>
        <x15:pivotRow count="1">
          <x15:c>
            <x15:v>349599.18420000002</x15:v>
            <x15:x in="0"/>
          </x15:c>
        </x15:pivotRow>
      </x15:pivotTableData>
    </ext>
    <ext xmlns:x15="http://schemas.microsoft.com/office/spreadsheetml/2010/11/main" uri="{E67621CE-5B39-4880-91FE-76760E9C1902}">
      <x15:pivotTableUISettings>
        <x15:activeTabTopLevelEntity name="[Ingresos]"/>
        <x15:activeTabTopLevelEntity name="[Paises de Venta]"/>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823D409E-D06A-4451-9612-7BD9D5943A30}" name="PivotChartTable3" cacheId="39"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chartFormat="1">
  <location ref="A1:B6" firstHeaderRow="1" firstDataRow="1" firstDataCol="1"/>
  <pivotFields count="2">
    <pivotField dataField="1" subtotalTop="0" showAll="0" defaultSubtotal="0"/>
    <pivotField axis="axisRow" allDrilled="1" subtotalTop="0" showAll="0" dataSourceSort="1" defaultSubtotal="0" defaultAttributeDrillState="1">
      <items count="4">
        <item x="0"/>
        <item x="1"/>
        <item x="2"/>
        <item x="3"/>
      </items>
    </pivotField>
  </pivotFields>
  <rowFields count="1">
    <field x="1"/>
  </rowFields>
  <rowItems count="5">
    <i>
      <x/>
    </i>
    <i>
      <x v="1"/>
    </i>
    <i>
      <x v="2"/>
    </i>
    <i>
      <x v="3"/>
    </i>
    <i t="grand">
      <x/>
    </i>
  </rowItems>
  <colItems count="1">
    <i/>
  </colItems>
  <dataFields count="1">
    <dataField name="Suma de Ingreso Total" fld="0" baseField="0" baseItem="0"/>
  </dataFields>
  <chartFormats count="1">
    <chartFormat chart="0" format="0" series="1">
      <pivotArea type="data" outline="0" fieldPosition="0">
        <references count="1">
          <reference field="4294967294" count="1" selected="0">
            <x v="0"/>
          </reference>
        </references>
      </pivotArea>
    </chartFormat>
  </chartFormats>
  <pivotHierarchies count="24">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ies>
  <rowHierarchiesUsage count="1">
    <rowHierarchyUsage hierarchyUsage="1"/>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C510F80B-63DE-4267-81D5-13C33094786E}">
      <x15:pivotTableServerFormats count="1">
        <x15:serverFormat format="\$ #,0.00;-\$ #,0.00;\$ #,0.00"/>
      </x15:pivotTableServerFormats>
    </ext>
    <ext xmlns:x15="http://schemas.microsoft.com/office/spreadsheetml/2010/11/main" uri="{44433962-1CF7-4059-B4EE-95C3D5FFCF73}">
      <x15:pivotTableData rowCount="5" columnCount="1" cacheId="462167684">
        <x15:pivotRow count="1">
          <x15:c>
            <x15:v>39081</x15:v>
            <x15:x in="0"/>
          </x15:c>
        </x15:pivotRow>
        <x15:pivotRow count="1">
          <x15:c>
            <x15:v>200908</x15:v>
            <x15:x in="0"/>
          </x15:c>
        </x15:pivotRow>
        <x15:pivotRow count="1">
          <x15:c>
            <x15:v>51456.184200000003</x15:v>
            <x15:x in="0"/>
          </x15:c>
        </x15:pivotRow>
        <x15:pivotRow count="1">
          <x15:c>
            <x15:v>58154</x15:v>
            <x15:x in="0"/>
          </x15:c>
        </x15:pivotRow>
        <x15:pivotRow count="1">
          <x15:c>
            <x15:v>349599.18420000002</x15:v>
            <x15:x in="0"/>
          </x15:c>
        </x15:pivotRow>
      </x15:pivotTableData>
    </ext>
    <ext xmlns:x15="http://schemas.microsoft.com/office/spreadsheetml/2010/11/main" uri="{E67621CE-5B39-4880-91FE-76760E9C1902}">
      <x15:pivotTableUISettings>
        <x15:activeTabTopLevelEntity name="[Ingresos]"/>
        <x15:activeTabTopLevelEntity name="[Ciudades]"/>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F6D84B2A-6089-41DE-B094-4C4F72E9C109}" name="PivotChartTable2" cacheId="40"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chartFormat="1">
  <location ref="A1:B8" firstHeaderRow="1" firstDataRow="1" firstDataCol="1"/>
  <pivotFields count="2">
    <pivotField axis="axisRow" allDrilled="1" subtotalTop="0" showAll="0" dataSourceSort="1" defaultSubtotal="0" defaultAttributeDrillState="1">
      <items count="6">
        <item x="0"/>
        <item x="1"/>
        <item x="2"/>
        <item x="3"/>
        <item x="4"/>
        <item x="5"/>
      </items>
    </pivotField>
    <pivotField dataField="1" subtotalTop="0" showAll="0" defaultSubtotal="0"/>
  </pivotFields>
  <rowFields count="1">
    <field x="0"/>
  </rowFields>
  <rowItems count="7">
    <i>
      <x/>
    </i>
    <i>
      <x v="1"/>
    </i>
    <i>
      <x v="2"/>
    </i>
    <i>
      <x v="3"/>
    </i>
    <i>
      <x v="4"/>
    </i>
    <i>
      <x v="5"/>
    </i>
    <i t="grand">
      <x/>
    </i>
  </rowItems>
  <colItems count="1">
    <i/>
  </colItems>
  <dataFields count="1">
    <dataField name="Suma de Ingreso Total" fld="1" baseField="0" baseItem="0"/>
  </dataFields>
  <chartFormats count="1">
    <chartFormat chart="0" format="0" series="1">
      <pivotArea type="data" outline="0" fieldPosition="0">
        <references count="1">
          <reference field="4294967294" count="1" selected="0">
            <x v="0"/>
          </reference>
        </references>
      </pivotArea>
    </chartFormat>
  </chartFormats>
  <pivotHierarchies count="24">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ies>
  <rowHierarchiesUsage count="1">
    <rowHierarchyUsage hierarchyUsage="16"/>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C510F80B-63DE-4267-81D5-13C33094786E}">
      <x15:pivotTableServerFormats count="1">
        <x15:serverFormat format="\$ #,0.00;-\$ #,0.00;\$ #,0.00"/>
      </x15:pivotTableServerFormats>
    </ext>
    <ext xmlns:x15="http://schemas.microsoft.com/office/spreadsheetml/2010/11/main" uri="{44433962-1CF7-4059-B4EE-95C3D5FFCF73}">
      <x15:pivotTableData rowCount="7" columnCount="1" cacheId="803548797">
        <x15:pivotRow count="1">
          <x15:c>
            <x15:v>51509.9594</x15:v>
            <x15:x in="0"/>
          </x15:c>
        </x15:pivotRow>
        <x15:pivotRow count="1">
          <x15:c>
            <x15:v>57206.290200000003</x15:v>
            <x15:x in="0"/>
          </x15:c>
        </x15:pivotRow>
        <x15:pivotRow count="1">
          <x15:c>
            <x15:v>49823.878900000003</x15:v>
            <x15:x in="0"/>
          </x15:c>
        </x15:pivotRow>
        <x15:pivotRow count="1">
          <x15:c>
            <x15:v>67930.556400000001</x15:v>
            <x15:x in="0"/>
          </x15:c>
        </x15:pivotRow>
        <x15:pivotRow count="1">
          <x15:c>
            <x15:v>47373.515800000001</x15:v>
            <x15:x in="0"/>
          </x15:c>
        </x15:pivotRow>
        <x15:pivotRow count="1">
          <x15:c>
            <x15:v>75754.983500000002</x15:v>
            <x15:x in="0"/>
          </x15:c>
        </x15:pivotRow>
        <x15:pivotRow count="1">
          <x15:c>
            <x15:v>349599.18420000002</x15:v>
            <x15:x in="0"/>
          </x15:c>
        </x15:pivotRow>
      </x15:pivotTableData>
    </ext>
    <ext xmlns:x15="http://schemas.microsoft.com/office/spreadsheetml/2010/11/main" uri="{E67621CE-5B39-4880-91FE-76760E9C1902}">
      <x15:pivotTableUISettings>
        <x15:activeTabTopLevelEntity name="[Vendedores]"/>
        <x15:activeTabTopLevelEntity name="[Ingresos]"/>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ACE25E-5CFB-434E-BB00-7DB8E8C955BC}" name="PivotChartTable1" cacheId="38" applyNumberFormats="0" applyBorderFormats="0" applyFontFormats="0" applyPatternFormats="0" applyAlignmentFormats="0" applyWidthHeightFormats="1" dataCaption="Valores" updatedVersion="8" minRefreshableVersion="3" useAutoFormatting="1" itemPrintTitles="1" createdVersion="5" indent="0" outline="1" outlineData="1" multipleFieldFilters="0" chartFormat="1">
  <location ref="A1:B8" firstHeaderRow="1" firstDataRow="1" firstDataCol="1"/>
  <pivotFields count="2">
    <pivotField dataField="1" subtotalTop="0" showAll="0" defaultSubtotal="0"/>
    <pivotField axis="axisRow" allDrilled="1" subtotalTop="0" showAll="0" dataSourceSort="1" defaultSubtotal="0" defaultAttributeDrillState="1">
      <items count="6">
        <item x="0"/>
        <item x="1"/>
        <item x="2"/>
        <item x="3"/>
        <item x="4"/>
        <item x="5"/>
      </items>
    </pivotField>
  </pivotFields>
  <rowFields count="1">
    <field x="1"/>
  </rowFields>
  <rowItems count="7">
    <i>
      <x/>
    </i>
    <i>
      <x v="1"/>
    </i>
    <i>
      <x v="2"/>
    </i>
    <i>
      <x v="3"/>
    </i>
    <i>
      <x v="4"/>
    </i>
    <i>
      <x v="5"/>
    </i>
    <i t="grand">
      <x/>
    </i>
  </rowItems>
  <colItems count="1">
    <i/>
  </colItems>
  <dataFields count="1">
    <dataField name="Suma de Ingreso Total" fld="0" baseField="0" baseItem="0"/>
  </dataFields>
  <chartFormats count="7">
    <chartFormat chart="0" format="0" series="1">
      <pivotArea type="data" outline="0" fieldPosition="0">
        <references count="1">
          <reference field="4294967294" count="1" selected="0">
            <x v="0"/>
          </reference>
        </references>
      </pivotArea>
    </chartFormat>
    <chartFormat chart="0" format="1">
      <pivotArea type="data" outline="0" fieldPosition="0">
        <references count="2">
          <reference field="4294967294" count="1" selected="0">
            <x v="0"/>
          </reference>
          <reference field="1" count="1" selected="0">
            <x v="0"/>
          </reference>
        </references>
      </pivotArea>
    </chartFormat>
    <chartFormat chart="0" format="2">
      <pivotArea type="data" outline="0" fieldPosition="0">
        <references count="2">
          <reference field="4294967294" count="1" selected="0">
            <x v="0"/>
          </reference>
          <reference field="1" count="1" selected="0">
            <x v="1"/>
          </reference>
        </references>
      </pivotArea>
    </chartFormat>
    <chartFormat chart="0" format="3">
      <pivotArea type="data" outline="0" fieldPosition="0">
        <references count="2">
          <reference field="4294967294" count="1" selected="0">
            <x v="0"/>
          </reference>
          <reference field="1" count="1" selected="0">
            <x v="2"/>
          </reference>
        </references>
      </pivotArea>
    </chartFormat>
    <chartFormat chart="0" format="4">
      <pivotArea type="data" outline="0" fieldPosition="0">
        <references count="2">
          <reference field="4294967294" count="1" selected="0">
            <x v="0"/>
          </reference>
          <reference field="1" count="1" selected="0">
            <x v="3"/>
          </reference>
        </references>
      </pivotArea>
    </chartFormat>
    <chartFormat chart="0" format="5">
      <pivotArea type="data" outline="0" fieldPosition="0">
        <references count="2">
          <reference field="4294967294" count="1" selected="0">
            <x v="0"/>
          </reference>
          <reference field="1" count="1" selected="0">
            <x v="4"/>
          </reference>
        </references>
      </pivotArea>
    </chartFormat>
    <chartFormat chart="0" format="6">
      <pivotArea type="data" outline="0" fieldPosition="0">
        <references count="2">
          <reference field="4294967294" count="1" selected="0">
            <x v="0"/>
          </reference>
          <reference field="1" count="1" selected="0">
            <x v="5"/>
          </reference>
        </references>
      </pivotArea>
    </chartFormat>
  </chartFormats>
  <pivotHierarchies count="24">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ies>
  <rowHierarchiesUsage count="1">
    <rowHierarchyUsage hierarchyUsage="13"/>
  </row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C510F80B-63DE-4267-81D5-13C33094786E}">
      <x15:pivotTableServerFormats count="1">
        <x15:serverFormat format="\$ #,0.00;-\$ #,0.00;\$ #,0.00"/>
      </x15:pivotTableServerFormats>
    </ext>
    <ext xmlns:x15="http://schemas.microsoft.com/office/spreadsheetml/2010/11/main" uri="{44433962-1CF7-4059-B4EE-95C3D5FFCF73}">
      <x15:pivotTableData rowCount="7" columnCount="1" cacheId="904673007">
        <x15:pivotRow count="1">
          <x15:c>
            <x15:v>55454.032299999999</x15:v>
            <x15:x in="0"/>
          </x15:c>
        </x15:pivotRow>
        <x15:pivotRow count="1">
          <x15:c>
            <x15:v>65091</x15:v>
            <x15:x in="0"/>
          </x15:c>
        </x15:pivotRow>
        <x15:pivotRow count="1">
          <x15:c>
            <x15:v>44564.2376</x15:v>
            <x15:x in="0"/>
          </x15:c>
        </x15:pivotRow>
        <x15:pivotRow count="1">
          <x15:c>
            <x15:v>53568.826300000001</x15:v>
            <x15:x in="0"/>
          </x15:c>
        </x15:pivotRow>
        <x15:pivotRow count="1">
          <x15:c>
            <x15:v>68455.930900000007</x15:v>
            <x15:x in="0"/>
          </x15:c>
        </x15:pivotRow>
        <x15:pivotRow count="1">
          <x15:c>
            <x15:v>62465.157099999997</x15:v>
            <x15:x in="0"/>
          </x15:c>
        </x15:pivotRow>
        <x15:pivotRow count="1">
          <x15:c>
            <x15:v>349599.18420000002</x15:v>
            <x15:x in="0"/>
          </x15:c>
        </x15:pivotRow>
      </x15:pivotTableData>
    </ext>
    <ext xmlns:x15="http://schemas.microsoft.com/office/spreadsheetml/2010/11/main" uri="{E67621CE-5B39-4880-91FE-76760E9C1902}">
      <x15:pivotTableUISettings>
        <x15:activeTabTopLevelEntity name="[Ingresos]"/>
        <x15:activeTabTopLevelEntity name="[Pizzas Detalle]"/>
      </x15:pivotTableUISettings>
    </ext>
    <ext xmlns:xpdl="http://schemas.microsoft.com/office/spreadsheetml/2016/pivotdefaultlayout" uri="{747A6164-185A-40DC-8AA5-F01512510D54}">
      <xpdl:pivotTableDefinition16 EnabledSubtotalsDefault="0" SubtotalsOnTopDefault="0"/>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4E5BD7C9-8797-415A-BD7E-7BE692EEEB06}" name="TablaDinámica3" cacheId="36"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CA5" firstHeaderRow="1" firstDataRow="3" firstDataCol="0"/>
  <pivotFields count="11">
    <pivotField showAll="0"/>
    <pivotField axis="axisCol" showAll="0">
      <items count="40">
        <item x="35"/>
        <item x="28"/>
        <item x="29"/>
        <item x="17"/>
        <item x="4"/>
        <item x="16"/>
        <item x="21"/>
        <item x="27"/>
        <item x="23"/>
        <item x="25"/>
        <item x="11"/>
        <item x="8"/>
        <item x="30"/>
        <item x="22"/>
        <item x="15"/>
        <item x="34"/>
        <item x="33"/>
        <item x="10"/>
        <item x="24"/>
        <item x="32"/>
        <item x="6"/>
        <item x="18"/>
        <item x="9"/>
        <item x="14"/>
        <item x="13"/>
        <item x="26"/>
        <item x="20"/>
        <item x="36"/>
        <item x="19"/>
        <item x="7"/>
        <item x="37"/>
        <item x="12"/>
        <item x="31"/>
        <item x="5"/>
        <item x="38"/>
        <item x="1"/>
        <item x="0"/>
        <item x="3"/>
        <item x="2"/>
        <item t="default"/>
      </items>
    </pivotField>
    <pivotField showAll="0"/>
    <pivotField axis="axisCol" showAll="0">
      <items count="40">
        <item x="8"/>
        <item x="5"/>
        <item x="4"/>
        <item x="37"/>
        <item x="14"/>
        <item x="26"/>
        <item x="33"/>
        <item x="13"/>
        <item x="29"/>
        <item x="21"/>
        <item x="17"/>
        <item x="24"/>
        <item x="36"/>
        <item x="15"/>
        <item x="30"/>
        <item x="28"/>
        <item x="16"/>
        <item x="18"/>
        <item x="11"/>
        <item x="9"/>
        <item x="22"/>
        <item x="25"/>
        <item x="7"/>
        <item x="10"/>
        <item x="34"/>
        <item x="20"/>
        <item x="27"/>
        <item x="6"/>
        <item x="35"/>
        <item x="31"/>
        <item x="19"/>
        <item x="23"/>
        <item x="32"/>
        <item x="12"/>
        <item x="1"/>
        <item x="38"/>
        <item x="0"/>
        <item x="3"/>
        <item x="2"/>
        <item t="default"/>
      </items>
    </pivotField>
    <pivotField showAll="0"/>
    <pivotField showAll="0"/>
    <pivotField showAll="0"/>
    <pivotField showAll="0"/>
    <pivotField showAll="0"/>
    <pivotField showAll="0"/>
    <pivotField showAll="0"/>
  </pivotFields>
  <rowItems count="1">
    <i/>
  </rowItems>
  <colFields count="2">
    <field x="1"/>
    <field x="3"/>
  </colFields>
  <colItems count="79">
    <i>
      <x/>
      <x v="28"/>
    </i>
    <i t="default">
      <x/>
    </i>
    <i>
      <x v="1"/>
      <x v="15"/>
    </i>
    <i t="default">
      <x v="1"/>
    </i>
    <i>
      <x v="2"/>
      <x v="8"/>
    </i>
    <i t="default">
      <x v="2"/>
    </i>
    <i>
      <x v="3"/>
      <x v="10"/>
    </i>
    <i t="default">
      <x v="3"/>
    </i>
    <i>
      <x v="4"/>
      <x v="2"/>
    </i>
    <i t="default">
      <x v="4"/>
    </i>
    <i>
      <x v="5"/>
      <x v="16"/>
    </i>
    <i t="default">
      <x v="5"/>
    </i>
    <i>
      <x v="6"/>
      <x v="9"/>
    </i>
    <i t="default">
      <x v="6"/>
    </i>
    <i>
      <x v="7"/>
      <x v="26"/>
    </i>
    <i t="default">
      <x v="7"/>
    </i>
    <i>
      <x v="8"/>
      <x v="31"/>
    </i>
    <i t="default">
      <x v="8"/>
    </i>
    <i>
      <x v="9"/>
      <x v="21"/>
    </i>
    <i t="default">
      <x v="9"/>
    </i>
    <i>
      <x v="10"/>
      <x v="18"/>
    </i>
    <i t="default">
      <x v="10"/>
    </i>
    <i>
      <x v="11"/>
      <x/>
    </i>
    <i t="default">
      <x v="11"/>
    </i>
    <i>
      <x v="12"/>
      <x v="14"/>
    </i>
    <i t="default">
      <x v="12"/>
    </i>
    <i>
      <x v="13"/>
      <x v="20"/>
    </i>
    <i t="default">
      <x v="13"/>
    </i>
    <i>
      <x v="14"/>
      <x v="13"/>
    </i>
    <i t="default">
      <x v="14"/>
    </i>
    <i>
      <x v="15"/>
      <x v="24"/>
    </i>
    <i t="default">
      <x v="15"/>
    </i>
    <i>
      <x v="16"/>
      <x v="6"/>
    </i>
    <i t="default">
      <x v="16"/>
    </i>
    <i>
      <x v="17"/>
      <x v="23"/>
    </i>
    <i t="default">
      <x v="17"/>
    </i>
    <i>
      <x v="18"/>
      <x v="11"/>
    </i>
    <i t="default">
      <x v="18"/>
    </i>
    <i>
      <x v="19"/>
      <x v="32"/>
    </i>
    <i t="default">
      <x v="19"/>
    </i>
    <i>
      <x v="20"/>
      <x v="27"/>
    </i>
    <i t="default">
      <x v="20"/>
    </i>
    <i>
      <x v="21"/>
      <x v="17"/>
    </i>
    <i t="default">
      <x v="21"/>
    </i>
    <i>
      <x v="22"/>
      <x v="19"/>
    </i>
    <i t="default">
      <x v="22"/>
    </i>
    <i>
      <x v="23"/>
      <x v="4"/>
    </i>
    <i t="default">
      <x v="23"/>
    </i>
    <i>
      <x v="24"/>
      <x v="7"/>
    </i>
    <i t="default">
      <x v="24"/>
    </i>
    <i>
      <x v="25"/>
      <x v="5"/>
    </i>
    <i t="default">
      <x v="25"/>
    </i>
    <i>
      <x v="26"/>
      <x v="25"/>
    </i>
    <i t="default">
      <x v="26"/>
    </i>
    <i>
      <x v="27"/>
      <x v="12"/>
    </i>
    <i t="default">
      <x v="27"/>
    </i>
    <i>
      <x v="28"/>
      <x v="30"/>
    </i>
    <i t="default">
      <x v="28"/>
    </i>
    <i>
      <x v="29"/>
      <x v="22"/>
    </i>
    <i t="default">
      <x v="29"/>
    </i>
    <i>
      <x v="30"/>
      <x v="3"/>
    </i>
    <i t="default">
      <x v="30"/>
    </i>
    <i>
      <x v="31"/>
      <x v="33"/>
    </i>
    <i t="default">
      <x v="31"/>
    </i>
    <i>
      <x v="32"/>
      <x v="29"/>
    </i>
    <i t="default">
      <x v="32"/>
    </i>
    <i>
      <x v="33"/>
      <x v="1"/>
    </i>
    <i t="default">
      <x v="33"/>
    </i>
    <i>
      <x v="34"/>
      <x v="35"/>
    </i>
    <i t="default">
      <x v="34"/>
    </i>
    <i>
      <x v="35"/>
      <x v="34"/>
    </i>
    <i t="default">
      <x v="35"/>
    </i>
    <i>
      <x v="36"/>
      <x v="36"/>
    </i>
    <i t="default">
      <x v="36"/>
    </i>
    <i>
      <x v="37"/>
      <x v="37"/>
    </i>
    <i t="default">
      <x v="37"/>
    </i>
    <i>
      <x v="38"/>
      <x v="38"/>
    </i>
    <i t="default">
      <x v="38"/>
    </i>
    <i t="grand">
      <x/>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967F0263-49FF-4853-9DED-2DB894819500}" name="TablaDinámica6" cacheId="37"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43" firstHeaderRow="1" firstDataRow="1" firstDataCol="1"/>
  <pivotFields count="11">
    <pivotField showAll="0"/>
    <pivotField axis="axisRow" showAll="0">
      <items count="40">
        <item x="35"/>
        <item x="28"/>
        <item x="29"/>
        <item x="17"/>
        <item x="4"/>
        <item x="16"/>
        <item x="21"/>
        <item x="27"/>
        <item x="23"/>
        <item x="25"/>
        <item x="11"/>
        <item x="8"/>
        <item x="30"/>
        <item x="22"/>
        <item x="15"/>
        <item x="34"/>
        <item x="33"/>
        <item x="10"/>
        <item x="24"/>
        <item x="32"/>
        <item x="6"/>
        <item x="18"/>
        <item x="9"/>
        <item x="14"/>
        <item x="13"/>
        <item x="26"/>
        <item x="20"/>
        <item x="36"/>
        <item x="19"/>
        <item x="7"/>
        <item x="37"/>
        <item x="12"/>
        <item x="31"/>
        <item x="5"/>
        <item x="38"/>
        <item x="1"/>
        <item x="0"/>
        <item x="3"/>
        <item x="2"/>
        <item t="default"/>
      </items>
    </pivotField>
    <pivotField showAll="0"/>
    <pivotField showAll="0"/>
    <pivotField showAll="0"/>
    <pivotField showAll="0"/>
    <pivotField showAll="0"/>
    <pivotField showAll="0"/>
    <pivotField showAll="0"/>
    <pivotField showAll="0"/>
    <pivotField showAll="0"/>
  </pivotFields>
  <rowFields count="1">
    <field x="1"/>
  </rowFields>
  <rowItems count="40">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1" connectionId="1" xr16:uid="{D2BE2E21-F7F1-4F19-8E89-591E21451F34}" autoFormatId="16" applyNumberFormats="0" applyBorderFormats="0" applyFontFormats="0" applyPatternFormats="0" applyAlignmentFormats="0" applyWidthHeightFormats="0">
  <queryTableRefresh nextId="11">
    <queryTableFields count="10">
      <queryTableField id="1" name="Edición" tableColumnId="1"/>
      <queryTableField id="2" name="Sede" tableColumnId="2"/>
      <queryTableField id="3" name="Campeón" tableColumnId="3"/>
      <queryTableField id="4" name="Final_x000d__x000a_Resultado" tableColumnId="4"/>
      <queryTableField id="5" name="Subcampeón" tableColumnId="5"/>
      <queryTableField id="6" name="Column7" tableColumnId="6"/>
      <queryTableField id="7" name="Tercer lugar" tableColumnId="7"/>
      <queryTableField id="8" name="Resultado" tableColumnId="8"/>
      <queryTableField id="9" name="Cuarto lugar" tableColumnId="9"/>
      <queryTableField id="10" name="N.º. de selecciones" tableColumnId="10"/>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7" connectionId="8" xr16:uid="{C0FE595C-D134-46DD-9502-1755CB358E74}" autoFormatId="16" applyNumberFormats="0" applyBorderFormats="0" applyFontFormats="0" applyPatternFormats="0" applyAlignmentFormats="0" applyWidthHeightFormats="0">
  <queryTableRefresh nextId="7">
    <queryTableFields count="6">
      <queryTableField id="1" name="Column1" tableColumnId="1"/>
      <queryTableField id="2" name="Candidato presidencial" tableColumnId="2"/>
      <queryTableField id="3" name="Candidato vicepresidencial" tableColumnId="3"/>
      <queryTableField id="4" name="Partido o Movimiento" tableColumnId="4"/>
      <queryTableField id="5" name="Votos" tableColumnId="5"/>
      <queryTableField id="6" name="Porcentaje" tableColumnId="6"/>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6" connectionId="7" xr16:uid="{9F182FF6-6450-4A05-A220-0C56C842F637}" autoFormatId="16" applyNumberFormats="0" applyBorderFormats="0" applyFontFormats="0" applyPatternFormats="0" applyAlignmentFormats="0" applyWidthHeightFormats="0">
  <queryTableRefresh nextId="5">
    <queryTableFields count="4">
      <queryTableField id="1" name="Campaña" tableColumnId="1"/>
      <queryTableField id="2" name="Partido y/o G.S.C." tableColumnId="2"/>
      <queryTableField id="3" name="Candidato presidencial (partido o G.S.C.)" tableColumnId="3"/>
      <queryTableField id="4" name="Candidato vicepresidencial" tableColumnId="4"/>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atosExternos_5" connectionId="6" xr16:uid="{240693AC-A410-4CA3-A816-CED0836947B5}" autoFormatId="16" applyNumberFormats="0" applyBorderFormats="0" applyFontFormats="0" applyPatternFormats="0" applyAlignmentFormats="0" applyWidthHeightFormats="0">
  <queryTableRefresh nextId="7">
    <queryTableFields count="6">
      <queryTableField id="1" name="Column1" tableColumnId="1"/>
      <queryTableField id="2" name="Candidato presidencial" tableColumnId="2"/>
      <queryTableField id="3" name="Candidato vicepresidencial" tableColumnId="3"/>
      <queryTableField id="4" name="Partido o Movimiento" tableColumnId="4"/>
      <queryTableField id="5" name="Votos" tableColumnId="5"/>
      <queryTableField id="6" name="Porcentaje" tableColumnId="6"/>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atosExternos_4" connectionId="5" xr16:uid="{9B0E968A-040D-4E6E-89D5-70FD3DCF729A}" autoFormatId="16" applyNumberFormats="0" applyBorderFormats="0" applyFontFormats="0" applyPatternFormats="0" applyAlignmentFormats="0" applyWidthHeightFormats="0">
  <queryTableRefresh nextId="5">
    <queryTableFields count="4">
      <queryTableField id="1" name="Campaña" tableColumnId="1"/>
      <queryTableField id="2" name="Partido y/o G.S.C." tableColumnId="2"/>
      <queryTableField id="3" name="Candidato presidencial (partido o G.S.C.)" tableColumnId="3"/>
      <queryTableField id="4" name="Candidato vicepresidencial" tableColumnId="4"/>
    </queryTableFields>
  </queryTableRefresh>
</queryTable>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atosExternos_3" connectionId="4" xr16:uid="{60352206-6FFD-4582-B792-7C9ECB8D5105}" autoFormatId="16" applyNumberFormats="0" applyBorderFormats="0" applyFontFormats="0" applyPatternFormats="0" applyAlignmentFormats="0" applyWidthHeightFormats="0">
  <queryTableRefresh nextId="12">
    <queryTableFields count="11">
      <queryTableField id="1" name="Departamento" tableColumnId="1"/>
      <queryTableField id="2" name="Petro Márquez Votos" tableColumnId="2"/>
      <queryTableField id="3" name="Petro Márquez %" tableColumnId="3"/>
      <queryTableField id="4" name="Hernández Castillo Votos" tableColumnId="4"/>
      <queryTableField id="5" name="Hernández Castillo %" tableColumnId="5"/>
      <queryTableField id="6" name="En Blanco Votos" tableColumnId="6"/>
      <queryTableField id="7" name="En Blanco %" tableColumnId="7"/>
      <queryTableField id="8" name="Nulos Votos" tableColumnId="8"/>
      <queryTableField id="9" name="No marcados Votos" tableColumnId="9"/>
      <queryTableField id="10" name="Total Votos" tableColumnId="10"/>
      <queryTableField id="11" name="Total %" tableColumnId="11"/>
    </queryTableFields>
  </queryTableRefresh>
</queryTable>
</file>

<file path=xl/queryTables/queryTable7.xml><?xml version="1.0" encoding="utf-8"?>
<queryTable xmlns="http://schemas.openxmlformats.org/spreadsheetml/2006/main" xmlns:mc="http://schemas.openxmlformats.org/markup-compatibility/2006" xmlns:xr16="http://schemas.microsoft.com/office/spreadsheetml/2017/revision16" mc:Ignorable="xr16" name="DatosExternos_2" connectionId="3" xr16:uid="{321647A1-959A-4986-9A09-3B5B98A8AA6C}" autoFormatId="16" applyNumberFormats="0" applyBorderFormats="0" applyFontFormats="0" applyPatternFormats="0" applyAlignmentFormats="0" applyWidthHeightFormats="0">
  <queryTableRefresh nextId="9">
    <queryTableFields count="8">
      <queryTableField id="1" name="Alianza" tableColumnId="1"/>
      <queryTableField id="2" name="Alianza2" tableColumnId="2"/>
      <queryTableField id="3" name="Candidato/a[28]​" tableColumnId="3"/>
      <queryTableField id="4" name="Candidato/a[28]​2" tableColumnId="4"/>
      <queryTableField id="5" name="Candidato/a[28]​3" tableColumnId="5"/>
      <queryTableField id="6" name="Votos[29]​" tableColumnId="6"/>
      <queryTableField id="7" name="%" tableColumnId="7"/>
      <queryTableField id="8" name="Estatus" tableColumnId="8"/>
    </queryTableFields>
  </queryTableRefresh>
</queryTable>
</file>

<file path=xl/queryTables/queryTable8.xml><?xml version="1.0" encoding="utf-8"?>
<queryTable xmlns="http://schemas.openxmlformats.org/spreadsheetml/2006/main" xmlns:mc="http://schemas.openxmlformats.org/markup-compatibility/2006" xmlns:xr16="http://schemas.microsoft.com/office/spreadsheetml/2017/revision16" mc:Ignorable="xr16" name="DatosExternos_1" connectionId="2" xr16:uid="{D9FAAEC8-25EE-449E-927C-8E26C5A07278}" autoFormatId="16" applyNumberFormats="0" applyBorderFormats="0" applyFontFormats="0" applyPatternFormats="0" applyAlignmentFormats="0" applyWidthHeightFormats="0">
  <queryTableRefresh nextId="10">
    <queryTableFields count="9">
      <queryTableField id="1" name="Partido y/o Coalición" tableColumnId="1"/>
      <queryTableField id="2" name="Partido y/o Coalición2" tableColumnId="2"/>
      <queryTableField id="3" name="Partido y/o Coalición3" tableColumnId="3"/>
      <queryTableField id="4" name="Fórmula presidencial" tableColumnId="4"/>
      <queryTableField id="5" name="Fórmula presidencial2" tableColumnId="5"/>
      <queryTableField id="6" name="Cargos públicos" tableColumnId="6"/>
      <queryTableField id="7" name="Fórmula vicepresidencial" tableColumnId="7"/>
      <queryTableField id="8" name="Fórmula vicepresidencial2" tableColumnId="8"/>
      <queryTableField id="9" name="Cargos públicos2" tableColumnId="9"/>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_rels/table7.xml.rels><?xml version="1.0" encoding="UTF-8" standalone="yes"?>
<Relationships xmlns="http://schemas.openxmlformats.org/package/2006/relationships"><Relationship Id="rId1" Type="http://schemas.openxmlformats.org/officeDocument/2006/relationships/queryTable" Target="../queryTables/queryTable7.xml"/></Relationships>
</file>

<file path=xl/tables/_rels/table8.xml.rels><?xml version="1.0" encoding="UTF-8" standalone="yes"?>
<Relationships xmlns="http://schemas.openxmlformats.org/package/2006/relationships"><Relationship Id="rId1" Type="http://schemas.openxmlformats.org/officeDocument/2006/relationships/queryTable" Target="../queryTables/queryTable8.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8F24265-AD36-4E56-A785-C8572A130295}" name="Campeonatos" displayName="Campeonatos" ref="A1:J26" tableType="queryTable" totalsRowShown="0">
  <autoFilter ref="A1:J26" xr:uid="{A8F24265-AD36-4E56-A785-C8572A130295}"/>
  <tableColumns count="10">
    <tableColumn id="1" xr3:uid="{4B489B12-86D5-45C7-ADB4-C4DBB7A809BC}" uniqueName="1" name="Edición" queryTableFieldId="1"/>
    <tableColumn id="2" xr3:uid="{AA078A5C-C0D4-4BD2-8ED1-A7140CED589A}" uniqueName="2" name="Sede" queryTableFieldId="2" dataDxfId="54"/>
    <tableColumn id="3" xr3:uid="{79839EF7-F2FF-46A3-A863-07C3C98D926B}" uniqueName="3" name="Campeón" queryTableFieldId="3" dataDxfId="53"/>
    <tableColumn id="4" xr3:uid="{32C350EF-450E-4D62-88FC-F155F702DF40}" uniqueName="4" name="Final_x000d__x000a_Resultado" queryTableFieldId="4" dataDxfId="52"/>
    <tableColumn id="5" xr3:uid="{111DBD5B-C571-4DDA-BBA2-4E59B426A39E}" uniqueName="5" name="Subcampeón" queryTableFieldId="5" dataDxfId="51"/>
    <tableColumn id="6" xr3:uid="{93E41507-CE1A-405E-84B4-C14BC3157B5F}" uniqueName="6" name="Column7" queryTableFieldId="6" dataDxfId="50"/>
    <tableColumn id="7" xr3:uid="{14659C4E-6C9E-425B-B698-81D0FCEE50BD}" uniqueName="7" name="Tercer lugar" queryTableFieldId="7" dataDxfId="49"/>
    <tableColumn id="8" xr3:uid="{805BFFC9-7C07-4A3B-AF24-98F2DB2D3C1D}" uniqueName="8" name="Resultado" queryTableFieldId="8" dataDxfId="48"/>
    <tableColumn id="9" xr3:uid="{1BCABB4E-6F3E-45E8-A48A-B7D748A2BDB1}" uniqueName="9" name="Cuarto lugar" queryTableFieldId="9" dataDxfId="47"/>
    <tableColumn id="10" xr3:uid="{BB6F8B2F-A7E2-4A7D-BAAA-DE2916605B5F}" uniqueName="10" name="N.º. de selecciones" queryTableFieldId="10" dataDxfId="46"/>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2924C31-9C71-408C-A1B7-430155757AC6}" name="Segunda_vuelta_editar___2" displayName="Segunda_vuelta_editar___2" ref="A1:F9" tableType="queryTable" totalsRowShown="0">
  <autoFilter ref="A1:F9" xr:uid="{12924C31-9C71-408C-A1B7-430155757AC6}"/>
  <tableColumns count="6">
    <tableColumn id="1" xr3:uid="{9F8B7F4D-6771-4F85-8534-EA878F56C10F}" uniqueName="1" name="Column1" queryTableFieldId="1" dataDxfId="45"/>
    <tableColumn id="2" xr3:uid="{1C076596-8264-4376-B594-497AA1F7F365}" uniqueName="2" name="Candidato presidencial" queryTableFieldId="2" dataDxfId="44"/>
    <tableColumn id="3" xr3:uid="{733DB5AF-70B2-432B-9D1A-E4F1AD2089F3}" uniqueName="3" name="Candidato vicepresidencial" queryTableFieldId="3" dataDxfId="43"/>
    <tableColumn id="4" xr3:uid="{E11915E0-A004-4650-8369-6F78E934B737}" uniqueName="4" name="Partido o Movimiento" queryTableFieldId="4" dataDxfId="42"/>
    <tableColumn id="5" xr3:uid="{CCD301F2-B816-4C7A-AAA5-F61AC702B878}" uniqueName="5" name="Votos" queryTableFieldId="5" dataDxfId="41"/>
    <tableColumn id="6" xr3:uid="{A561CE73-D132-4821-9037-1265CAFA7BC2}" uniqueName="6" name="Porcentaje" queryTableFieldId="6" dataDxfId="40"/>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D7C7794-3B87-440D-87DA-3CD978C683EC}" name="Segunda_vuelta_editar" displayName="Segunda_vuelta_editar" ref="A1:D5" tableType="queryTable" totalsRowShown="0">
  <autoFilter ref="A1:D5" xr:uid="{9D7C7794-3B87-440D-87DA-3CD978C683EC}"/>
  <tableColumns count="4">
    <tableColumn id="1" xr3:uid="{56F2EC71-6657-48A8-9F8C-8313F3777981}" uniqueName="1" name="Campaña" queryTableFieldId="1" dataDxfId="39"/>
    <tableColumn id="2" xr3:uid="{B403294A-78D6-427F-8F01-A27BA0039801}" uniqueName="2" name="Partido y/o G.S.C." queryTableFieldId="2" dataDxfId="38"/>
    <tableColumn id="3" xr3:uid="{35DDC304-34E2-4D00-9D08-5EF2A18FA102}" uniqueName="3" name="Candidato presidencial (partido o G.S.C.)" queryTableFieldId="3" dataDxfId="37"/>
    <tableColumn id="4" xr3:uid="{D9090FC0-7901-487F-B79E-C4B02167CB23}" uniqueName="4" name="Candidato vicepresidencial" queryTableFieldId="4" dataDxfId="36"/>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5D2474F1-EE9D-452E-BCE3-3B0410E996B1}" name="Primera_vuelta_editar___2" displayName="Primera_vuelta_editar___2" ref="A1:F15" tableType="queryTable" totalsRowShown="0">
  <autoFilter ref="A1:F15" xr:uid="{5D2474F1-EE9D-452E-BCE3-3B0410E996B1}"/>
  <tableColumns count="6">
    <tableColumn id="1" xr3:uid="{F04C684E-369E-4DD7-8F71-4C73C689D284}" uniqueName="1" name="Column1" queryTableFieldId="1" dataDxfId="35"/>
    <tableColumn id="2" xr3:uid="{6B3AF410-B7FA-4A99-AB9C-3A00B4058597}" uniqueName="2" name="Candidato presidencial" queryTableFieldId="2" dataDxfId="34"/>
    <tableColumn id="3" xr3:uid="{1B40F34E-0511-4C8F-9CF7-ACEEB2C6B56C}" uniqueName="3" name="Candidato vicepresidencial" queryTableFieldId="3" dataDxfId="33"/>
    <tableColumn id="4" xr3:uid="{C5E01E53-370B-427C-A472-0234072F7F08}" uniqueName="4" name="Partido o Movimiento" queryTableFieldId="4" dataDxfId="32"/>
    <tableColumn id="5" xr3:uid="{814C500E-32C8-4BD1-ADC2-0F5E71D2CD0D}" uniqueName="5" name="Votos" queryTableFieldId="5" dataDxfId="31"/>
    <tableColumn id="6" xr3:uid="{41CC4029-6B09-457B-801D-BCFED9B4400F}" uniqueName="6" name="Porcentaje" queryTableFieldId="6" dataDxfId="30"/>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BD0D88C-2721-4EC1-8912-6A3713289FB0}" name="Primera_vuelta_editar" displayName="Primera_vuelta_editar" ref="A1:D7" tableType="queryTable" totalsRowShown="0">
  <autoFilter ref="A1:D7" xr:uid="{1BD0D88C-2721-4EC1-8912-6A3713289FB0}"/>
  <tableColumns count="4">
    <tableColumn id="1" xr3:uid="{7DDA446F-5BE5-42C8-BFB0-0CBE7B35C7AA}" uniqueName="1" name="Campaña" queryTableFieldId="1" dataDxfId="29"/>
    <tableColumn id="2" xr3:uid="{59FBE5C3-3D07-4E6C-AA2C-2D6AB68E3E6A}" uniqueName="2" name="Partido y/o G.S.C." queryTableFieldId="2" dataDxfId="28"/>
    <tableColumn id="3" xr3:uid="{2D925BD7-AA0D-4FC0-8378-EE2C977674A1}" uniqueName="3" name="Candidato presidencial (partido o G.S.C.)" queryTableFieldId="3" dataDxfId="27"/>
    <tableColumn id="4" xr3:uid="{205E4BEF-C590-498E-8154-5D3524E8D50F}" uniqueName="4" name="Candidato vicepresidencial" queryTableFieldId="4" dataDxfId="26"/>
  </tableColumns>
  <tableStyleInfo name="TableStyleMedium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0E9B98A-2BEC-4DFB-B45C-8BFC6ADFA040}" name="Por_departamento_editar" displayName="Por_departamento_editar" ref="A1:K40" tableType="queryTable" totalsRowShown="0">
  <autoFilter ref="A1:K40" xr:uid="{70E9B98A-2BEC-4DFB-B45C-8BFC6ADFA040}"/>
  <tableColumns count="11">
    <tableColumn id="1" xr3:uid="{FB7C4867-90BF-488C-9E13-A18919689A76}" uniqueName="1" name="Columna1" queryTableFieldId="1" dataDxfId="25"/>
    <tableColumn id="2" xr3:uid="{4A272497-D75C-4C8D-A5C6-F4D8E2F55151}" uniqueName="2" name="Petro Márquez Votos" queryTableFieldId="2" dataDxfId="24"/>
    <tableColumn id="3" xr3:uid="{686EB747-A0D8-4AB0-B367-99440B433548}" uniqueName="3" name="Petro Márquez %" queryTableFieldId="3" dataDxfId="23"/>
    <tableColumn id="4" xr3:uid="{909B09C6-3810-4F6C-A1D0-96E47B96C798}" uniqueName="4" name="Hernández Castillo Votos" queryTableFieldId="4" dataDxfId="22"/>
    <tableColumn id="5" xr3:uid="{9107E2C0-FFB0-4CFD-A727-3C5A4FB4B91A}" uniqueName="5" name="Hernández Castillo %" queryTableFieldId="5" dataDxfId="21"/>
    <tableColumn id="6" xr3:uid="{17EFA0C8-E27F-419A-8F9B-20001FDE5B61}" uniqueName="6" name="En Blanco Votos" queryTableFieldId="6" dataDxfId="20"/>
    <tableColumn id="7" xr3:uid="{A22721FD-A771-4AF2-A739-A60FA0545B25}" uniqueName="7" name="En Blanco %" queryTableFieldId="7" dataDxfId="19"/>
    <tableColumn id="8" xr3:uid="{B584539B-A98A-4B00-AEAF-D7BCA0B75A28}" uniqueName="8" name="Nulos Votos" queryTableFieldId="8" dataDxfId="18"/>
    <tableColumn id="9" xr3:uid="{03F41EC4-3EBF-4C9B-975C-41508145904F}" uniqueName="9" name="No marcados Votos" queryTableFieldId="9" dataDxfId="17"/>
    <tableColumn id="10" xr3:uid="{1E694AA8-6F14-45CC-9D04-50A3DFBAF999}" uniqueName="10" name="Total Votos" queryTableFieldId="10" dataDxfId="16"/>
    <tableColumn id="11" xr3:uid="{172C0D64-C3A0-4B02-A45A-B7FCD6CF0126}" uniqueName="11" name="Total %" queryTableFieldId="11" dataDxfId="15"/>
  </tableColumns>
  <tableStyleInfo name="TableStyleMedium7"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891C6C4-DA5E-43C9-A094-49F0532CA8CA}" name="Pacto_Histórico_editar" displayName="Pacto_Histórico_editar" ref="A1:H8" tableType="queryTable" totalsRowShown="0">
  <autoFilter ref="A1:H8" xr:uid="{9891C6C4-DA5E-43C9-A094-49F0532CA8CA}"/>
  <tableColumns count="8">
    <tableColumn id="1" xr3:uid="{96290137-7E3F-4FD3-803E-5548D1E4794F}" uniqueName="1" name="Alianza" queryTableFieldId="1" dataDxfId="14"/>
    <tableColumn id="2" xr3:uid="{43DDB4C4-B659-4735-97A8-CE1F310D1051}" uniqueName="2" name="Alianza2" queryTableFieldId="2" dataDxfId="13"/>
    <tableColumn id="3" xr3:uid="{925084B9-73AC-4318-8418-F429FA613581}" uniqueName="3" name="Candidato/a[28]​" queryTableFieldId="3" dataDxfId="12"/>
    <tableColumn id="4" xr3:uid="{23FF5AEC-E3FA-4BC5-8272-D0106BF6141E}" uniqueName="4" name="Candidato/a[28]​2" queryTableFieldId="4" dataDxfId="11"/>
    <tableColumn id="5" xr3:uid="{B3D6CD94-86C5-4FB3-AED3-1F7AFC77346D}" uniqueName="5" name="Candidato/a[28]​3" queryTableFieldId="5" dataDxfId="10"/>
    <tableColumn id="6" xr3:uid="{910228A0-1887-4FC2-AE2C-E915C88DA30B}" uniqueName="6" name="Votos[29]​" queryTableFieldId="6" dataDxfId="9"/>
    <tableColumn id="7" xr3:uid="{FA4824F4-558D-4DB8-BDB8-FA6A99D3876E}" uniqueName="7" name="%" queryTableFieldId="7" dataDxfId="8"/>
    <tableColumn id="8" xr3:uid="{2F8D2A97-1AAC-4EB1-A68E-B12B36A4F964}" uniqueName="8" name="Estatus" queryTableFieldId="8" dataDxfId="7"/>
  </tableColumns>
  <tableStyleInfo name="TableStyleMedium7"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FC46105-32C1-4381-B8C1-65D78EDE03D9}" name="Candidatos_editar" displayName="Candidatos_editar" ref="A1:I7" tableType="queryTable" totalsRowShown="0">
  <autoFilter ref="A1:I7" xr:uid="{3FC46105-32C1-4381-B8C1-65D78EDE03D9}"/>
  <tableColumns count="9">
    <tableColumn id="1" xr3:uid="{3D2F5920-9A2A-437B-9DB1-A4B7B688FDE5}" uniqueName="1" name="Partido y/o Coalición" queryTableFieldId="1" dataDxfId="6"/>
    <tableColumn id="2" xr3:uid="{4BBB0CFA-4677-4539-A0B0-4C155CE7C9F1}" uniqueName="2" name="Partido y/o Coalición2" queryTableFieldId="2" dataDxfId="5"/>
    <tableColumn id="3" xr3:uid="{5F1D1C56-6845-414A-BC89-A675699FA586}" uniqueName="3" name="Partido y/o Coalición3" queryTableFieldId="3" dataDxfId="4"/>
    <tableColumn id="4" xr3:uid="{130DAD35-0EDD-49CC-85CF-699EEF14049E}" uniqueName="4" name="Fórmula presidencial" queryTableFieldId="4" dataDxfId="3"/>
    <tableColumn id="5" xr3:uid="{ADA521DF-0A07-49E5-BF57-82077093A308}" uniqueName="5" name="Fórmula presidencial2" queryTableFieldId="5" dataDxfId="2"/>
    <tableColumn id="6" xr3:uid="{3E8DB40F-4A88-42F8-94DC-435800ED10E0}" uniqueName="6" name="Cargos públicos" queryTableFieldId="6"/>
    <tableColumn id="7" xr3:uid="{A1A9BF58-FE5C-4813-9952-2F15E097A7FE}" uniqueName="7" name="Fórmula vicepresidencial" queryTableFieldId="7" dataDxfId="1"/>
    <tableColumn id="8" xr3:uid="{79E6F665-7726-4E9B-A021-74006979D7E3}" uniqueName="8" name="Fórmula vicepresidencial2" queryTableFieldId="8" dataDxfId="0"/>
    <tableColumn id="9" xr3:uid="{113FD2D5-5AE9-4828-B660-837F4FB5ACEF}" uniqueName="9" name="Cargos públicos2" queryTableFieldId="9"/>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8" Type="http://schemas.openxmlformats.org/officeDocument/2006/relationships/hyperlink" Target="mailto:jorgenarvaez11@hotmail.com" TargetMode="External"/><Relationship Id="rId13" Type="http://schemas.openxmlformats.org/officeDocument/2006/relationships/hyperlink" Target="mailto:giselmeri-90@hotmail.com" TargetMode="External"/><Relationship Id="rId18" Type="http://schemas.openxmlformats.org/officeDocument/2006/relationships/hyperlink" Target="https://nam10.safelinks.protection.outlook.com/?url=https%3A%2F%2Fagenciapublicadeempleo.sena.edu.co%2Fspe-web%2Fspe%2Fconvocatoria%2Fresumen-finalizada-establecimiento%2F32909&amp;data=04%7C01%7Cejcharris%40sena.edu.co%7C2215a0ec262c4dd2422708d8ea1864b5%7Ccbc2c3812f2e4d9391d1506c9316ace7%7C0%7C0%7C637516737784066064%7CUnknown%7CTWFpbGZsb3d8eyJWIjoiMC4wLjAwMDAiLCJQIjoiV2luMzIiLCJBTiI6Ik1haWwiLCJXVCI6Mn0%3D%7C1000&amp;sdata=3R597GncLTAd%2FpdhcyicfrPxR3et8GZkTiYJ2%2BglLKw%3D&amp;reserved=0" TargetMode="External"/><Relationship Id="rId26" Type="http://schemas.openxmlformats.org/officeDocument/2006/relationships/drawing" Target="../drawings/drawing1.xml"/><Relationship Id="rId3" Type="http://schemas.openxmlformats.org/officeDocument/2006/relationships/hyperlink" Target="https://nam10.safelinks.protection.outlook.com/?url=https%3A%2F%2Fagenciapublicadeempleo.sena.edu.co%2Fspe-web%2Fspe%2Fconvocatoria%2Fresumen-finalizada-establecimiento%2F48226&amp;data=04%7C01%7Cejcharris%40sena.edu.co%7C7976ad836de44b82899008d8df807821%7Ccbc2c3812f2e4d9391d1506c9316ace7%7C0%7C0%7C637505090151823241%7CUnknown%7CTWFpbGZsb3d8eyJWIjoiMC4wLjAwMDAiLCJQIjoiV2luMzIiLCJBTiI6Ik1haWwiLCJXVCI6Mn0%3D%7C1000&amp;sdata=R3ZQ2usPymOlSUQ9sxAnU9%2FQ50UNrvRfI1v5s0SKLkQ%3D&amp;reserved=0" TargetMode="External"/><Relationship Id="rId21" Type="http://schemas.openxmlformats.org/officeDocument/2006/relationships/hyperlink" Target="https://nam10.safelinks.protection.outlook.com/?url=https%3A%2F%2Fagenciapublicadeempleo.sena.edu.co%2Fspe-web%2Fspe%2Fconvocatoria%2Fresumen-finalizada-establecimiento%2F27408&amp;data=04%7C01%7Cejcharris%40sena.edu.co%7C1083c740ead246e1280808d8f3a31e47%7Ccbc2c3812f2e4d9391d1506c9316ace7%7C0%7C0%7C637527229205581184%7CUnknown%7CTWFpbGZsb3d8eyJWIjoiMC4wLjAwMDAiLCJQIjoiV2luMzIiLCJBTiI6Ik1haWwiLCJXVCI6Mn0%3D%7C1000&amp;sdata=b14%2BhOJT8msOYqDS1e052PcZAkuclcH1wyy0WbGoGAc%3D&amp;reserved=0" TargetMode="External"/><Relationship Id="rId7" Type="http://schemas.openxmlformats.org/officeDocument/2006/relationships/hyperlink" Target="https://nam10.safelinks.protection.outlook.com/?url=https%3A%2F%2Fagenciapublicadeempleo.sena.edu.co%2Fspe-web%2Fspe%2Fconvocatoria%2Fresumen-finalizada-establecimiento%2F31354&amp;data=04%7C01%7Cejcharris%40sena.edu.co%7C14bfd2dd8e094843c5db08d8e48bb588%7Ccbc2c3812f2e4d9391d1506c9316ace7%7C0%7C0%7C637510635993685956%7CUnknown%7CTWFpbGZsb3d8eyJWIjoiMC4wLjAwMDAiLCJQIjoiV2luMzIiLCJBTiI6Ik1haWwiLCJXVCI6Mn0%3D%7C1000&amp;sdata=e7J24Z2Dxi5Dc1nFSCURZ4z2uFfsw6BARKEawNCwWSk%3D&amp;reserved=0" TargetMode="External"/><Relationship Id="rId12" Type="http://schemas.openxmlformats.org/officeDocument/2006/relationships/hyperlink" Target="https://nam10.safelinks.protection.outlook.com/?url=https%3A%2F%2Fagenciapublicadeempleo.sena.edu.co%2Fspe-web%2Fspe%2Fconvocatoria%2Fresumen-finalizada-establecimiento%2F48188&amp;data=04%7C01%7Cejcharris%40sena.edu.co%7C6b86aecc631c46a082b508d8e4c528aa%7Ccbc2c3812f2e4d9391d1506c9316ace7%7C0%7C0%7C637510882718998033%7CUnknown%7CTWFpbGZsb3d8eyJWIjoiMC4wLjAwMDAiLCJQIjoiV2luMzIiLCJBTiI6Ik1haWwiLCJXVCI6Mn0%3D%7C1000&amp;sdata=%2Fofl%2FyHhHcEDISTv4D3Kk3fKEBDqqD47LJXpZKjmv5k%3D&amp;reserved=0" TargetMode="External"/><Relationship Id="rId17" Type="http://schemas.openxmlformats.org/officeDocument/2006/relationships/hyperlink" Target="mailto:sandrapatriciaquijanomartinez@gmail.com" TargetMode="External"/><Relationship Id="rId25" Type="http://schemas.openxmlformats.org/officeDocument/2006/relationships/printerSettings" Target="../printerSettings/printerSettings4.bin"/><Relationship Id="rId2" Type="http://schemas.openxmlformats.org/officeDocument/2006/relationships/hyperlink" Target="https://nam10.safelinks.protection.outlook.com/?url=https%3A%2F%2Fagenciapublicadeempleo.sena.edu.co%2Fspe-web%2Fspe%2Fconvocatoria%2Fresumen-finalizada-establecimiento%2F5660&amp;data=04%7C01%7Cejcharris%40sena.edu.co%7C7976ad836de44b82899008d8df807821%7Ccbc2c3812f2e4d9391d1506c9316ace7%7C0%7C0%7C637505090151823241%7CUnknown%7CTWFpbGZsb3d8eyJWIjoiMC4wLjAwMDAiLCJQIjoiV2luMzIiLCJBTiI6Ik1haWwiLCJXVCI6Mn0%3D%7C1000&amp;sdata=KFEP%2FEEwaYjCAgwyTnHb%2B7bMTHe6ZT6vJd1nQk9GyTE%3D&amp;reserved=0" TargetMode="External"/><Relationship Id="rId16" Type="http://schemas.openxmlformats.org/officeDocument/2006/relationships/hyperlink" Target="https://nam10.safelinks.protection.outlook.com/?url=https%3A%2F%2Fagenciapublicadeempleo.sena.edu.co%2Fspe-web%2Fspe%2Fconvocatoria%2Fresumen-finalizada-establecimiento%2F19555&amp;data=04%7C01%7Cejcharris%40sena.edu.co%7Cf5fd5497947c4e8c534d08d8e58dbca8%7Ccbc2c3812f2e4d9391d1506c9316ace7%7C0%7C0%7C637511744194769546%7CUnknown%7CTWFpbGZsb3d8eyJWIjoiMC4wLjAwMDAiLCJQIjoiV2luMzIiLCJBTiI6Ik1haWwiLCJXVCI6Mn0%3D%7C1000&amp;sdata=2P30YgGKYWtpN%2BMQcRbDen%2Fruv0CAlwkDhEgJKnZ8tg%3D&amp;reserved=0" TargetMode="External"/><Relationship Id="rId20" Type="http://schemas.openxmlformats.org/officeDocument/2006/relationships/hyperlink" Target="https://nam10.safelinks.protection.outlook.com/?url=https%3A%2F%2Fagenciapublicadeempleo.sena.edu.co%2Fspe-web%2Fspe%2Fconvocatoria%2Fresumen-finalizada-establecimiento%2F19092&amp;data=04%7C01%7Cejcharris%40sena.edu.co%7Cc1ef3db963ad415be86d08d8f45ccad8%7Ccbc2c3812f2e4d9391d1506c9316ace7%7C0%7C0%7C637528026744887208%7CUnknown%7CTWFpbGZsb3d8eyJWIjoiMC4wLjAwMDAiLCJQIjoiV2luMzIiLCJBTiI6Ik1haWwiLCJXVCI6Mn0%3D%7C1000&amp;sdata=wpIetXiszhaq0LvfisMwU%2FJO%2FsX%2FIKjgxbl1lXQMCek%3D&amp;reserved=0" TargetMode="External"/><Relationship Id="rId1" Type="http://schemas.openxmlformats.org/officeDocument/2006/relationships/hyperlink" Target="https://nam10.safelinks.protection.outlook.com/?url=https%3A%2F%2Fagenciapublicadeempleo.sena.edu.co%2Fspe-web%2Fspe%2Fconvocatoria%2Fresumen-finalizada-establecimiento%2F767&amp;data=04%7C01%7Cejcharris%40sena.edu.co%7C7976ad836de44b82899008d8df807821%7Ccbc2c3812f2e4d9391d1506c9316ace7%7C0%7C0%7C637505090151813285%7CUnknown%7CTWFpbGZsb3d8eyJWIjoiMC4wLjAwMDAiLCJQIjoiV2luMzIiLCJBTiI6Ik1haWwiLCJXVCI6Mn0%3D%7C1000&amp;sdata=5BDG1RKN6yXWxBBCs1TVL9sVQVq1PDC%2F2G2uB6RVob4%3D&amp;reserved=0" TargetMode="External"/><Relationship Id="rId6" Type="http://schemas.openxmlformats.org/officeDocument/2006/relationships/hyperlink" Target="https://nam10.safelinks.protection.outlook.com/?url=https%3A%2F%2Fagenciapublicadeempleo.sena.edu.co%2Fspe-web%2Fspe%2Fconvocatoria%2Fresumen-finalizada-establecimiento%2F2732&amp;data=04%7C01%7Cejcharris%40sena.edu.co%7C7976ad836de44b82899008d8df807821%7Ccbc2c3812f2e4d9391d1506c9316ace7%7C0%7C0%7C637505090151833193%7CUnknown%7CTWFpbGZsb3d8eyJWIjoiMC4wLjAwMDAiLCJQIjoiV2luMzIiLCJBTiI6Ik1haWwiLCJXVCI6Mn0%3D%7C1000&amp;sdata=Y3%2BDzMRAUzYIpLLq5CutqA11%2BeJNiwsY3vp54XBhTdc%3D&amp;reserved=0" TargetMode="External"/><Relationship Id="rId11" Type="http://schemas.openxmlformats.org/officeDocument/2006/relationships/hyperlink" Target="https://www.secop.gov.co/CO1BusinessLine/Tendering/BuyerWorkAreaSpecificAreaGrids/RedirectToContractInNewWindow?mkey=f0e3f9a1_8973_4f23_b921_0b4248c4bc6e&amp;docUniqueIdentifier=CO1.PCCNTR.2342305&amp;awardUniqueIdentifier=&amp;buyerDossierUniqueIdentifier=CO1.BDOS.1821917&amp;id=976559" TargetMode="External"/><Relationship Id="rId24" Type="http://schemas.openxmlformats.org/officeDocument/2006/relationships/hyperlink" Target="https://nam10.safelinks.protection.outlook.com/?url=https%3A%2F%2Fagenciapublicadeempleo.sena.edu.co%2Fspe-web%2Fspe%2Fconvocatoria%2Fresumen-finalizada-establecimiento%2F32103&amp;data=04%7C01%7Cejcharris%40sena.edu.co%7C73e0d61c3ea4433f3eed08d8f91cfed3%7Ccbc2c3812f2e4d9391d1506c9316ace7%7C0%7C0%7C637533250206166823%7CUnknown%7CTWFpbGZsb3d8eyJWIjoiMC4wLjAwMDAiLCJQIjoiV2luMzIiLCJBTiI6Ik1haWwiLCJXVCI6Mn0%3D%7C1000&amp;sdata=fx4b7j4O4diYjQKmbCviWXwMI%2Fs8ZZXwzdfvuQBKfAU%3D&amp;reserved=0" TargetMode="External"/><Relationship Id="rId5" Type="http://schemas.openxmlformats.org/officeDocument/2006/relationships/hyperlink" Target="https://nam10.safelinks.protection.outlook.com/?url=https%3A%2F%2Fagenciapublicadeempleo.sena.edu.co%2Fspe-web%2Fspe%2Fconvocatoria%2Fresumen-finalizada-establecimiento%2F37928&amp;data=04%7C01%7Cejcharris%40sena.edu.co%7C7976ad836de44b82899008d8df807821%7Ccbc2c3812f2e4d9391d1506c9316ace7%7C0%7C0%7C637505090151833193%7CUnknown%7CTWFpbGZsb3d8eyJWIjoiMC4wLjAwMDAiLCJQIjoiV2luMzIiLCJBTiI6Ik1haWwiLCJXVCI6Mn0%3D%7C1000&amp;sdata=ndwDJo6URkM0EovHt%2FvsX2Ay5gH4RqkDjS%2FOStPuEPY%3D&amp;reserved=0" TargetMode="External"/><Relationship Id="rId15" Type="http://schemas.openxmlformats.org/officeDocument/2006/relationships/hyperlink" Target="mailto:heddytuta_cgh@hotmail.com" TargetMode="External"/><Relationship Id="rId23" Type="http://schemas.openxmlformats.org/officeDocument/2006/relationships/hyperlink" Target="https://nam10.safelinks.protection.outlook.com/?url=https%3A%2F%2Fagenciapublicadeempleo.sena.edu.co%2Fspe-web%2Fspe%2Fconvocatoria%2Fresumen-finalizada-establecimiento%2F49814&amp;data=04%7C01%7Cejcharris%40sena.edu.co%7C19614d3b83c14eac9cfb08d8f2ebcdf7%7Ccbc2c3812f2e4d9391d1506c9316ace7%7C0%7C0%7C637526441873340953%7CUnknown%7CTWFpbGZsb3d8eyJWIjoiMC4wLjAwMDAiLCJQIjoiV2luMzIiLCJBTiI6Ik1haWwiLCJXVCI6Mn0%3D%7C1000&amp;sdata=VrZ8uXX74DMz2uTGr5rCAdlZ3LakXtwFDOu1YPTqaZw%3D&amp;reserved=0" TargetMode="External"/><Relationship Id="rId10" Type="http://schemas.openxmlformats.org/officeDocument/2006/relationships/hyperlink" Target="https://www.secop.gov.co/CO1BusinessLine/Tendering/BuyerWorkAreaSpecificAreaGrids/RedirectToContractInNewWindow?mkey=38b3600b_8f58_44d9_863f_69fd34e8a835&amp;docUniqueIdentifier=CO1.PCCNTR.2339284&amp;awardUniqueIdentifier=&amp;buyerDossierUniqueIdentifier=CO1.BDOS.1821399&amp;id=974872" TargetMode="External"/><Relationship Id="rId19" Type="http://schemas.openxmlformats.org/officeDocument/2006/relationships/hyperlink" Target="https://nam10.safelinks.protection.outlook.com/?url=https%3A%2F%2Fagenciapublicadeempleo.sena.edu.co%2Fspe-web%2Fspe%2Fconvocatoria%2Fresumen-finalizada-establecimiento%2F3750&amp;data=04%7C01%7Cejcharris%40sena.edu.co%7C2c68a688a9ae43ce1d0508d8f47d2d9e%7Ccbc2c3812f2e4d9391d1506c9316ace7%7C0%7C0%7C637528165751564945%7CUnknown%7CTWFpbGZsb3d8eyJWIjoiMC4wLjAwMDAiLCJQIjoiV2luMzIiLCJBTiI6Ik1haWwiLCJXVCI6Mn0%3D%7C1000&amp;sdata=0vAZAOqoC2yRNgAzWUXVgvvw5Ppu0GXzeODXddSK9W8%3D&amp;reserved=0" TargetMode="External"/><Relationship Id="rId4" Type="http://schemas.openxmlformats.org/officeDocument/2006/relationships/hyperlink" Target="https://nam10.safelinks.protection.outlook.com/?url=https%3A%2F%2Fagenciapublicadeempleo.sena.edu.co%2Fspe-web%2Fspe%2Fconvocatoria%2Fresumen-finalizada-establecimiento%2F31048&amp;data=04%7C01%7Cejcharris%40sena.edu.co%7C7976ad836de44b82899008d8df807821%7Ccbc2c3812f2e4d9391d1506c9316ace7%7C0%7C0%7C637505090151833193%7CUnknown%7CTWFpbGZsb3d8eyJWIjoiMC4wLjAwMDAiLCJQIjoiV2luMzIiLCJBTiI6Ik1haWwiLCJXVCI6Mn0%3D%7C1000&amp;sdata=UZrdJ0%2FkVdWJ%2Fkxwr2YRi45GWZ8KM2dn7L8WJZplPgQ%3D&amp;reserved=0" TargetMode="External"/><Relationship Id="rId9" Type="http://schemas.openxmlformats.org/officeDocument/2006/relationships/hyperlink" Target="https://www.secop.gov.co/CO1BusinessLine/Tendering/BuyerWorkAreaSpecificAreaGrids/RedirectToContractInNewWindow?mkey=eb4870b2_fb23_406a_9756_33c63eed3551&amp;docUniqueIdentifier=CO1.PCCNTR.2338885&amp;awardUniqueIdentifier=&amp;buyerDossierUniqueIdentifier=CO1.BDOS.1821917&amp;id=974766" TargetMode="External"/><Relationship Id="rId14" Type="http://schemas.openxmlformats.org/officeDocument/2006/relationships/hyperlink" Target="https://nam10.safelinks.protection.outlook.com/?url=https%3A%2F%2Fagenciapublicadeempleo.sena.edu.co%2Fspe-web%2Fspe%2Fconvocatoria%2Fresumen-finalizada-establecimiento%2F19026&amp;data=04%7C01%7Cejcharris%40sena.edu.co%7Cf5fd5497947c4e8c534d08d8e58dbca8%7Ccbc2c3812f2e4d9391d1506c9316ace7%7C0%7C0%7C637511744194769546%7CUnknown%7CTWFpbGZsb3d8eyJWIjoiMC4wLjAwMDAiLCJQIjoiV2luMzIiLCJBTiI6Ik1haWwiLCJXVCI6Mn0%3D%7C1000&amp;sdata=Qi2tmweU%2Fr%2Bm3UHNa6lsEEzCSaUQkPbNEt%2FNu4PkFSs%3D&amp;reserved=0" TargetMode="External"/><Relationship Id="rId22" Type="http://schemas.openxmlformats.org/officeDocument/2006/relationships/hyperlink" Target="https://nam10.safelinks.protection.outlook.com/?url=https%3A%2F%2Fagenciapublicadeempleo.sena.edu.co%2Fspe-web%2Fspe%2Fconvocatoria%2Fresumen-finalizada-establecimiento%2F39416&amp;data=04%7C01%7Cejcharris%40sena.edu.co%7Ca4ba3233d683473f461008d8f2ec9e27%7Ccbc2c3812f2e4d9391d1506c9316ace7%7C0%7C0%7C637526445358974353%7CUnknown%7CTWFpbGZsb3d8eyJWIjoiMC4wLjAwMDAiLCJQIjoiV2luMzIiLCJBTiI6Ik1haWwiLCJXVCI6Mn0%3D%7C1000&amp;sdata=tAl36cUNiBX7E9fpNUYe7IGMP66BqnH%2BDmYO1MKBfos%3D&amp;reserved=0"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16.xml.rels><?xml version="1.0" encoding="UTF-8" standalone="yes"?>
<Relationships xmlns="http://schemas.openxmlformats.org/package/2006/relationships"><Relationship Id="rId1" Type="http://schemas.openxmlformats.org/officeDocument/2006/relationships/table" Target="../tables/table3.xml"/></Relationships>
</file>

<file path=xl/worksheets/_rels/sheet17.xml.rels><?xml version="1.0" encoding="UTF-8" standalone="yes"?>
<Relationships xmlns="http://schemas.openxmlformats.org/package/2006/relationships"><Relationship Id="rId1" Type="http://schemas.openxmlformats.org/officeDocument/2006/relationships/table" Target="../tables/table4.xml"/></Relationships>
</file>

<file path=xl/worksheets/_rels/sheet18.xml.rels><?xml version="1.0" encoding="UTF-8" standalone="yes"?>
<Relationships xmlns="http://schemas.openxmlformats.org/package/2006/relationships"><Relationship Id="rId1" Type="http://schemas.openxmlformats.org/officeDocument/2006/relationships/table" Target="../tables/table5.xml"/></Relationships>
</file>

<file path=xl/worksheets/_rels/sheet19.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20.xml.rels><?xml version="1.0" encoding="UTF-8" standalone="yes"?>
<Relationships xmlns="http://schemas.openxmlformats.org/package/2006/relationships"><Relationship Id="rId1" Type="http://schemas.openxmlformats.org/officeDocument/2006/relationships/pivotTable" Target="../pivotTables/pivotTable6.xml"/></Relationships>
</file>

<file path=xl/worksheets/_rels/sheet21.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3.xml.rels><?xml version="1.0" encoding="UTF-8" standalone="yes"?>
<Relationships xmlns="http://schemas.openxmlformats.org/package/2006/relationships"><Relationship Id="rId1" Type="http://schemas.openxmlformats.org/officeDocument/2006/relationships/table" Target="../tables/table7.xml"/></Relationships>
</file>

<file path=xl/worksheets/_rels/sheet24.xml.rels><?xml version="1.0" encoding="UTF-8" standalone="yes"?>
<Relationships xmlns="http://schemas.openxmlformats.org/package/2006/relationships"><Relationship Id="rId1"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687E3-2412-4393-AA03-B61EAE4CC460}">
  <dimension ref="B1:F16"/>
  <sheetViews>
    <sheetView zoomScaleNormal="100" workbookViewId="0">
      <selection activeCell="C9" sqref="C9"/>
    </sheetView>
  </sheetViews>
  <sheetFormatPr baseColWidth="10" defaultRowHeight="15"/>
  <cols>
    <col min="3" max="3" width="22.85546875" customWidth="1"/>
    <col min="4" max="4" width="24.5703125" customWidth="1"/>
  </cols>
  <sheetData>
    <row r="1" spans="2:6" ht="90">
      <c r="B1" s="217" t="s">
        <v>1227</v>
      </c>
      <c r="C1" s="237" t="s">
        <v>1228</v>
      </c>
      <c r="D1" s="238" t="s">
        <v>1229</v>
      </c>
      <c r="E1" s="239" t="s">
        <v>1230</v>
      </c>
      <c r="F1" s="240" t="s">
        <v>1231</v>
      </c>
    </row>
    <row r="2" spans="2:6">
      <c r="B2" s="241" t="s">
        <v>1238</v>
      </c>
      <c r="C2" s="242"/>
      <c r="D2" s="243">
        <v>14712500</v>
      </c>
      <c r="E2" s="244">
        <f>($C$9-D2)/$C$9</f>
        <v>4.2881199194231202E-2</v>
      </c>
      <c r="F2" s="245"/>
    </row>
    <row r="3" spans="2:6" ht="22.5">
      <c r="B3" s="241" t="s">
        <v>1239</v>
      </c>
      <c r="C3" s="242"/>
      <c r="D3" s="243">
        <v>11358816</v>
      </c>
      <c r="E3" s="246">
        <f>($C$9-D3)/$C$9</f>
        <v>0.26105445379824099</v>
      </c>
      <c r="F3" s="247"/>
    </row>
    <row r="4" spans="2:6">
      <c r="B4" s="241"/>
      <c r="C4" s="242"/>
      <c r="D4" s="243"/>
      <c r="E4" s="246"/>
      <c r="F4" s="245"/>
    </row>
    <row r="5" spans="2:6">
      <c r="B5" s="241"/>
      <c r="C5" s="248"/>
      <c r="D5" s="249"/>
      <c r="E5" s="244"/>
      <c r="F5" s="245"/>
    </row>
    <row r="6" spans="2:6">
      <c r="B6" s="241"/>
      <c r="C6" s="242"/>
      <c r="D6" s="249"/>
      <c r="E6" s="244"/>
      <c r="F6" s="245"/>
    </row>
    <row r="7" spans="2:6">
      <c r="B7" s="250"/>
      <c r="C7" s="251"/>
      <c r="D7" s="251"/>
      <c r="F7" s="31"/>
    </row>
    <row r="8" spans="2:6">
      <c r="B8" s="250"/>
      <c r="C8" s="243"/>
      <c r="D8" s="243"/>
      <c r="F8" s="252"/>
    </row>
    <row r="9" spans="2:6" ht="22.5">
      <c r="B9" s="117" t="s">
        <v>1232</v>
      </c>
      <c r="C9" s="253">
        <v>15371655</v>
      </c>
      <c r="D9" s="243"/>
      <c r="E9" s="254"/>
      <c r="F9" s="252"/>
    </row>
    <row r="10" spans="2:6">
      <c r="B10" s="250"/>
      <c r="C10" s="255"/>
      <c r="D10" s="243"/>
      <c r="E10" s="254"/>
      <c r="F10" s="252"/>
    </row>
    <row r="11" spans="2:6">
      <c r="B11" s="117" t="s">
        <v>1233</v>
      </c>
      <c r="C11" s="253">
        <f>AVERAGE(D2:D4)</f>
        <v>13035658</v>
      </c>
      <c r="D11" s="243"/>
      <c r="E11" s="254"/>
      <c r="F11" s="252"/>
    </row>
    <row r="12" spans="2:6" ht="22.5">
      <c r="B12" s="117" t="s">
        <v>1234</v>
      </c>
      <c r="C12" s="253">
        <f>_xlfn.STDEV.S(D2:D4)</f>
        <v>2371412.6983568254</v>
      </c>
      <c r="D12" s="256"/>
      <c r="E12" s="257"/>
      <c r="F12" s="258"/>
    </row>
    <row r="13" spans="2:6">
      <c r="B13" s="259" t="s">
        <v>1235</v>
      </c>
      <c r="C13" s="243">
        <f>MEDIAN(D2:D4)</f>
        <v>13035658</v>
      </c>
      <c r="D13" s="256"/>
      <c r="E13" s="260"/>
      <c r="F13" s="258"/>
    </row>
    <row r="14" spans="2:6">
      <c r="B14" s="216"/>
      <c r="C14" s="261"/>
      <c r="D14" s="256"/>
      <c r="E14" s="260"/>
      <c r="F14" s="258"/>
    </row>
    <row r="15" spans="2:6" ht="22.5">
      <c r="B15" s="216" t="s">
        <v>1236</v>
      </c>
      <c r="C15" s="261">
        <f>+C9*0.2</f>
        <v>3074331</v>
      </c>
    </row>
    <row r="16" spans="2:6" ht="33.75">
      <c r="B16" s="216" t="s">
        <v>1237</v>
      </c>
      <c r="C16" s="243">
        <f>+C9-C15</f>
        <v>12297324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5AAB1-AFD2-4CFF-8F92-6DC8F7117BAB}">
  <sheetPr>
    <pageSetUpPr fitToPage="1"/>
  </sheetPr>
  <dimension ref="A1:I8"/>
  <sheetViews>
    <sheetView workbookViewId="0"/>
  </sheetViews>
  <sheetFormatPr baseColWidth="10" defaultRowHeight="15"/>
  <cols>
    <col min="2" max="2" width="23.5703125" customWidth="1"/>
    <col min="3" max="3" width="17" customWidth="1"/>
    <col min="4" max="4" width="21.28515625" customWidth="1"/>
    <col min="6" max="6" width="18.7109375" customWidth="1"/>
    <col min="7" max="7" width="18.5703125" customWidth="1"/>
    <col min="8" max="8" width="16.85546875" customWidth="1"/>
    <col min="9" max="9" width="18" customWidth="1"/>
  </cols>
  <sheetData>
    <row r="1" spans="1:9">
      <c r="A1" s="234"/>
      <c r="B1" s="273" t="s">
        <v>1225</v>
      </c>
      <c r="C1" s="273"/>
      <c r="D1" s="274"/>
      <c r="E1" s="229"/>
      <c r="F1" s="275" t="s">
        <v>1226</v>
      </c>
      <c r="G1" s="275"/>
      <c r="H1" s="275"/>
      <c r="I1" s="275"/>
    </row>
    <row r="2" spans="1:9">
      <c r="A2" s="234"/>
      <c r="B2" s="224" t="s">
        <v>1217</v>
      </c>
      <c r="C2" s="225" t="s">
        <v>1215</v>
      </c>
      <c r="D2" s="226" t="s">
        <v>1216</v>
      </c>
      <c r="E2" s="230"/>
      <c r="F2" s="227" t="s">
        <v>1218</v>
      </c>
      <c r="G2" s="227" t="s">
        <v>1219</v>
      </c>
      <c r="H2" s="236" t="s">
        <v>1215</v>
      </c>
      <c r="I2" s="227" t="s">
        <v>1216</v>
      </c>
    </row>
    <row r="3" spans="1:9">
      <c r="A3" s="234"/>
      <c r="B3" s="220"/>
      <c r="C3" s="221"/>
      <c r="D3" s="222"/>
      <c r="E3" s="228"/>
      <c r="F3" s="223"/>
      <c r="G3" s="223"/>
      <c r="H3" s="223"/>
      <c r="I3" s="223"/>
    </row>
    <row r="4" spans="1:9" ht="30">
      <c r="A4" s="235" t="s">
        <v>1220</v>
      </c>
      <c r="B4" s="220">
        <v>173000</v>
      </c>
      <c r="C4" s="221">
        <v>300000</v>
      </c>
      <c r="D4" s="222">
        <v>236500</v>
      </c>
      <c r="E4" s="231" t="s">
        <v>1220</v>
      </c>
      <c r="F4" s="223">
        <v>672269</v>
      </c>
      <c r="G4" s="223">
        <v>714286</v>
      </c>
      <c r="H4" s="223">
        <v>1243697</v>
      </c>
      <c r="I4" s="223">
        <v>1302521</v>
      </c>
    </row>
    <row r="5" spans="1:9">
      <c r="A5" s="235" t="s">
        <v>1221</v>
      </c>
      <c r="B5" s="220">
        <v>0.19</v>
      </c>
      <c r="C5" s="221">
        <f>+C4*B5</f>
        <v>57000</v>
      </c>
      <c r="D5" s="222">
        <f>+D4*B5</f>
        <v>44935</v>
      </c>
      <c r="E5" s="232" t="s">
        <v>1221</v>
      </c>
      <c r="F5" s="223">
        <f>+F4*B5</f>
        <v>127731.11</v>
      </c>
      <c r="G5" s="223">
        <f>+G4*B5</f>
        <v>135714.34</v>
      </c>
      <c r="H5" s="223">
        <f>+H4*B5</f>
        <v>236302.43</v>
      </c>
      <c r="I5" s="223">
        <f>+I4*B5</f>
        <v>247478.99</v>
      </c>
    </row>
    <row r="6" spans="1:9" ht="30">
      <c r="A6" s="235"/>
      <c r="B6" s="220">
        <f>+B4*B5</f>
        <v>32870</v>
      </c>
      <c r="C6" s="219"/>
      <c r="D6" s="219"/>
      <c r="E6" s="228" t="s">
        <v>1224</v>
      </c>
      <c r="F6" s="223">
        <f>SUM(F4:F5)</f>
        <v>800000.11</v>
      </c>
      <c r="G6" s="223">
        <f>SUM(G4:G5)</f>
        <v>850000.34</v>
      </c>
      <c r="H6" s="223">
        <f>SUM(H4:H5)</f>
        <v>1479999.43</v>
      </c>
      <c r="I6" s="223">
        <f>SUM(I4:I5)</f>
        <v>1549999.99</v>
      </c>
    </row>
    <row r="7" spans="1:9" ht="45">
      <c r="A7" s="235" t="s">
        <v>1222</v>
      </c>
      <c r="B7" s="220">
        <f>+B6+B4</f>
        <v>205870</v>
      </c>
      <c r="C7" s="221">
        <f>+C5+C4</f>
        <v>357000</v>
      </c>
      <c r="D7" s="222">
        <f>+D5+D4</f>
        <v>281435</v>
      </c>
      <c r="E7" s="233"/>
      <c r="F7" s="116"/>
      <c r="G7" s="116"/>
      <c r="H7" s="116"/>
      <c r="I7" s="116"/>
    </row>
    <row r="8" spans="1:9" ht="60">
      <c r="A8" s="235" t="s">
        <v>1223</v>
      </c>
      <c r="B8" s="220">
        <f>+B7*2</f>
        <v>411740</v>
      </c>
      <c r="C8" s="221"/>
      <c r="D8" s="220"/>
      <c r="E8" s="233"/>
      <c r="F8" s="116"/>
      <c r="G8" s="116"/>
      <c r="H8" s="116"/>
      <c r="I8" s="116"/>
    </row>
  </sheetData>
  <mergeCells count="2">
    <mergeCell ref="B1:D1"/>
    <mergeCell ref="F1:I1"/>
  </mergeCells>
  <pageMargins left="0.7" right="0.7"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ADC3C-6D8B-47F4-B17A-192F959EBD56}">
  <dimension ref="A1:I22"/>
  <sheetViews>
    <sheetView zoomScaleNormal="100" workbookViewId="0">
      <selection activeCell="E8" sqref="E8"/>
    </sheetView>
  </sheetViews>
  <sheetFormatPr baseColWidth="10" defaultRowHeight="15"/>
  <cols>
    <col min="1" max="1" width="17.140625" style="116" customWidth="1"/>
    <col min="2" max="2" width="14.42578125" style="116" bestFit="1" customWidth="1"/>
    <col min="3" max="3" width="16.85546875" style="116" customWidth="1"/>
    <col min="4" max="4" width="17.85546875" style="116" customWidth="1"/>
    <col min="5" max="5" width="18.85546875" style="116" customWidth="1"/>
    <col min="6" max="6" width="19.28515625" style="116" customWidth="1"/>
    <col min="7" max="16384" width="11.42578125" style="116"/>
  </cols>
  <sheetData>
    <row r="1" spans="1:9">
      <c r="A1" s="206"/>
      <c r="B1" s="206"/>
    </row>
    <row r="2" spans="1:9">
      <c r="A2" s="206"/>
      <c r="C2" s="206"/>
      <c r="F2" s="116">
        <f t="shared" ref="F2:F7" si="0">+E17-F13</f>
        <v>1889864</v>
      </c>
    </row>
    <row r="3" spans="1:9">
      <c r="A3" s="206"/>
      <c r="F3" s="116">
        <f t="shared" si="0"/>
        <v>2727159</v>
      </c>
    </row>
    <row r="4" spans="1:9">
      <c r="A4" s="206"/>
      <c r="F4" s="116">
        <f t="shared" si="0"/>
        <v>7266312</v>
      </c>
    </row>
    <row r="5" spans="1:9">
      <c r="A5" s="206"/>
      <c r="F5" s="116">
        <f t="shared" si="0"/>
        <v>3492148</v>
      </c>
    </row>
    <row r="6" spans="1:9">
      <c r="A6" s="206"/>
      <c r="F6" s="116">
        <f t="shared" si="0"/>
        <v>635600</v>
      </c>
    </row>
    <row r="7" spans="1:9">
      <c r="A7" s="206"/>
      <c r="C7" s="206"/>
      <c r="F7" s="116">
        <f t="shared" si="0"/>
        <v>2536852</v>
      </c>
    </row>
    <row r="8" spans="1:9" ht="96">
      <c r="A8" s="116">
        <v>3715272</v>
      </c>
      <c r="B8" s="206"/>
      <c r="C8" s="116">
        <v>2677500</v>
      </c>
      <c r="D8" s="206"/>
      <c r="F8" s="116">
        <f>SUM(F13:F18)</f>
        <v>915505</v>
      </c>
      <c r="G8" s="116">
        <f>+C8-F8</f>
        <v>1761995</v>
      </c>
      <c r="H8" s="17" t="s">
        <v>550</v>
      </c>
      <c r="I8" s="177" t="s">
        <v>551</v>
      </c>
    </row>
    <row r="9" spans="1:9">
      <c r="A9" s="116">
        <f>+A8*7</f>
        <v>26006904</v>
      </c>
      <c r="B9" s="206"/>
      <c r="C9" s="116">
        <v>3564900</v>
      </c>
      <c r="D9" s="206"/>
      <c r="G9" s="116">
        <f>+C9-F9</f>
        <v>3564900</v>
      </c>
    </row>
    <row r="10" spans="1:9">
      <c r="A10" s="116">
        <v>2972217</v>
      </c>
      <c r="B10" s="206"/>
      <c r="C10" s="116">
        <v>2264664</v>
      </c>
      <c r="D10" s="206"/>
      <c r="G10" s="116">
        <f>+C10-F10</f>
        <v>2264664</v>
      </c>
    </row>
    <row r="11" spans="1:9">
      <c r="A11" s="116">
        <f>+A10+A9</f>
        <v>28979121</v>
      </c>
      <c r="B11" s="206"/>
      <c r="C11" s="116">
        <f>SUM(B2:B10)</f>
        <v>0</v>
      </c>
      <c r="D11" s="206"/>
      <c r="G11" s="116">
        <f>SUM(F2:F10)</f>
        <v>19463440</v>
      </c>
    </row>
    <row r="12" spans="1:9">
      <c r="A12" s="206"/>
      <c r="B12" s="206"/>
      <c r="C12" s="206"/>
    </row>
    <row r="13" spans="1:9">
      <c r="A13" s="206"/>
      <c r="B13" s="206"/>
      <c r="C13" s="206"/>
      <c r="D13" s="116">
        <f>+C16-C11</f>
        <v>28013065</v>
      </c>
      <c r="F13" s="116">
        <v>99466</v>
      </c>
    </row>
    <row r="14" spans="1:9">
      <c r="A14" s="206"/>
      <c r="B14" s="206"/>
      <c r="C14" s="206">
        <v>38267302</v>
      </c>
      <c r="F14" s="116">
        <v>119562</v>
      </c>
    </row>
    <row r="15" spans="1:9">
      <c r="A15" s="206"/>
      <c r="B15" s="206"/>
      <c r="C15" s="206">
        <f>+C14-A11</f>
        <v>9288181</v>
      </c>
      <c r="F15" s="116">
        <v>382437</v>
      </c>
    </row>
    <row r="16" spans="1:9">
      <c r="A16" s="206"/>
      <c r="B16" s="206"/>
      <c r="C16" s="116">
        <v>28013065</v>
      </c>
      <c r="F16" s="116">
        <v>164552</v>
      </c>
    </row>
    <row r="17" spans="1:6">
      <c r="A17" s="112">
        <f>COUNTA(A2:A16)</f>
        <v>4</v>
      </c>
      <c r="E17" s="116">
        <v>1989330</v>
      </c>
      <c r="F17" s="116">
        <v>29950</v>
      </c>
    </row>
    <row r="18" spans="1:6">
      <c r="C18" s="206"/>
      <c r="E18" s="116">
        <v>2846721</v>
      </c>
      <c r="F18" s="116">
        <v>119538</v>
      </c>
    </row>
    <row r="19" spans="1:6">
      <c r="E19" s="116">
        <v>7648749</v>
      </c>
    </row>
    <row r="20" spans="1:6">
      <c r="E20" s="116">
        <v>3656700</v>
      </c>
    </row>
    <row r="21" spans="1:6">
      <c r="E21" s="116">
        <v>665550</v>
      </c>
    </row>
    <row r="22" spans="1:6">
      <c r="E22" s="116">
        <v>2656390</v>
      </c>
    </row>
  </sheetData>
  <phoneticPr fontId="39" type="noConversion"/>
  <conditionalFormatting sqref="B1">
    <cfRule type="duplicateValues" dxfId="66" priority="7"/>
    <cfRule type="uniqueValues" dxfId="65" priority="8"/>
    <cfRule type="duplicateValues" dxfId="64" priority="9"/>
  </conditionalFormatting>
  <conditionalFormatting sqref="C2">
    <cfRule type="duplicateValues" dxfId="63" priority="4"/>
    <cfRule type="uniqueValues" dxfId="62" priority="5"/>
    <cfRule type="duplicateValues" dxfId="61" priority="6"/>
  </conditionalFormatting>
  <conditionalFormatting sqref="A1">
    <cfRule type="duplicateValues" dxfId="60" priority="1"/>
    <cfRule type="uniqueValues" dxfId="59" priority="2"/>
    <cfRule type="duplicateValues" dxfId="58" priority="3"/>
  </conditionalFormatting>
  <conditionalFormatting sqref="A2:A7 A12:A16 B8:B11">
    <cfRule type="duplicateValues" dxfId="57" priority="13"/>
    <cfRule type="uniqueValues" dxfId="56" priority="14"/>
    <cfRule type="duplicateValues" dxfId="55" priority="15"/>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70AA3F-B01A-4823-8BF5-AB6D39AA031B}">
  <dimension ref="A1:I66"/>
  <sheetViews>
    <sheetView topLeftCell="A47" zoomScale="115" zoomScaleNormal="115" workbookViewId="0">
      <selection activeCell="C47" sqref="C47"/>
    </sheetView>
  </sheetViews>
  <sheetFormatPr baseColWidth="10" defaultColWidth="10.7109375" defaultRowHeight="15"/>
  <cols>
    <col min="2" max="2" width="27.5703125" customWidth="1"/>
    <col min="3" max="3" width="31.85546875" customWidth="1"/>
    <col min="4" max="4" width="25.42578125" customWidth="1"/>
    <col min="5" max="5" width="12.85546875" customWidth="1"/>
    <col min="6" max="6" width="21.7109375" style="31" customWidth="1"/>
    <col min="7" max="7" width="13.5703125" style="31" customWidth="1"/>
    <col min="9" max="9" width="13.42578125" bestFit="1" customWidth="1"/>
  </cols>
  <sheetData>
    <row r="1" spans="2:9" ht="15.75" thickBot="1"/>
    <row r="2" spans="2:9" ht="15.75" thickBot="1">
      <c r="B2" s="128" t="s">
        <v>364</v>
      </c>
      <c r="C2" s="129" t="s">
        <v>365</v>
      </c>
      <c r="D2" s="130" t="s">
        <v>380</v>
      </c>
    </row>
    <row r="3" spans="2:9" ht="30">
      <c r="B3" s="120" t="s">
        <v>366</v>
      </c>
      <c r="C3" s="125" t="s">
        <v>368</v>
      </c>
      <c r="D3" s="280"/>
      <c r="F3" s="131" t="s">
        <v>383</v>
      </c>
      <c r="G3" s="131" t="s">
        <v>382</v>
      </c>
    </row>
    <row r="4" spans="2:9" ht="30.75" thickBot="1">
      <c r="B4" s="121" t="s">
        <v>367</v>
      </c>
      <c r="C4" s="126" t="s">
        <v>369</v>
      </c>
      <c r="D4" s="280"/>
      <c r="F4" s="132" t="s">
        <v>384</v>
      </c>
      <c r="G4" s="133" t="s">
        <v>385</v>
      </c>
    </row>
    <row r="5" spans="2:9" ht="26.25">
      <c r="B5" s="120" t="s">
        <v>370</v>
      </c>
      <c r="C5" s="125" t="s">
        <v>372</v>
      </c>
      <c r="D5" s="280"/>
      <c r="F5" s="134" t="s">
        <v>386</v>
      </c>
      <c r="G5" s="131" t="s">
        <v>387</v>
      </c>
    </row>
    <row r="6" spans="2:9" ht="24.75" thickBot="1">
      <c r="B6" s="122" t="s">
        <v>371</v>
      </c>
      <c r="C6" s="127" t="s">
        <v>373</v>
      </c>
      <c r="D6" s="280"/>
      <c r="F6" s="135" t="s">
        <v>388</v>
      </c>
      <c r="G6" s="131" t="s">
        <v>382</v>
      </c>
    </row>
    <row r="7" spans="2:9" ht="24.75">
      <c r="B7" s="123" t="s">
        <v>374</v>
      </c>
      <c r="C7" s="125" t="s">
        <v>368</v>
      </c>
      <c r="D7" s="280"/>
      <c r="F7" s="136" t="s">
        <v>389</v>
      </c>
      <c r="G7" s="131" t="s">
        <v>382</v>
      </c>
    </row>
    <row r="8" spans="2:9" ht="24.75" thickBot="1">
      <c r="B8" s="122" t="s">
        <v>375</v>
      </c>
      <c r="C8" s="126" t="s">
        <v>369</v>
      </c>
      <c r="D8" s="280"/>
      <c r="F8" s="137" t="s">
        <v>390</v>
      </c>
      <c r="G8" s="131" t="s">
        <v>382</v>
      </c>
    </row>
    <row r="9" spans="2:9" ht="30">
      <c r="B9" s="120" t="s">
        <v>376</v>
      </c>
      <c r="C9" s="125" t="s">
        <v>368</v>
      </c>
      <c r="D9" s="280"/>
      <c r="F9" s="133" t="s">
        <v>391</v>
      </c>
      <c r="G9" s="133" t="s">
        <v>382</v>
      </c>
    </row>
    <row r="10" spans="2:9" ht="45.75" thickBot="1">
      <c r="B10" s="124" t="s">
        <v>377</v>
      </c>
      <c r="C10" s="126" t="s">
        <v>369</v>
      </c>
      <c r="D10" s="280"/>
      <c r="F10" s="131" t="s">
        <v>392</v>
      </c>
      <c r="G10" s="131" t="s">
        <v>382</v>
      </c>
    </row>
    <row r="11" spans="2:9" ht="24">
      <c r="B11" s="120" t="s">
        <v>378</v>
      </c>
      <c r="C11" s="125" t="s">
        <v>368</v>
      </c>
      <c r="D11" s="280"/>
      <c r="F11" s="137" t="s">
        <v>393</v>
      </c>
      <c r="G11" s="131" t="s">
        <v>382</v>
      </c>
    </row>
    <row r="12" spans="2:9" ht="24.75" thickBot="1">
      <c r="B12" s="122" t="s">
        <v>379</v>
      </c>
      <c r="C12" s="126" t="s">
        <v>369</v>
      </c>
      <c r="D12" s="280"/>
      <c r="F12" s="137" t="s">
        <v>394</v>
      </c>
      <c r="G12" s="131" t="s">
        <v>382</v>
      </c>
    </row>
    <row r="13" spans="2:9" ht="24">
      <c r="B13" s="156" t="s">
        <v>445</v>
      </c>
      <c r="F13" s="137" t="s">
        <v>395</v>
      </c>
      <c r="G13" s="131" t="s">
        <v>396</v>
      </c>
    </row>
    <row r="14" spans="2:9" ht="24">
      <c r="B14" s="152" t="s">
        <v>381</v>
      </c>
      <c r="C14" s="153" t="s">
        <v>432</v>
      </c>
      <c r="D14" s="6"/>
      <c r="F14" s="137" t="s">
        <v>397</v>
      </c>
      <c r="G14" s="131" t="s">
        <v>382</v>
      </c>
    </row>
    <row r="15" spans="2:9" ht="24">
      <c r="B15" s="5">
        <v>44390</v>
      </c>
      <c r="C15" s="165" t="s">
        <v>400</v>
      </c>
      <c r="F15" s="137" t="s">
        <v>398</v>
      </c>
      <c r="G15" s="131" t="s">
        <v>382</v>
      </c>
      <c r="H15" s="276" t="s">
        <v>547</v>
      </c>
      <c r="I15" s="277"/>
    </row>
    <row r="16" spans="2:9">
      <c r="B16" s="5">
        <v>44392</v>
      </c>
      <c r="C16" s="165" t="s">
        <v>401</v>
      </c>
      <c r="E16" s="161"/>
      <c r="F16" s="162"/>
      <c r="G16" s="278">
        <v>2021</v>
      </c>
      <c r="H16" t="s">
        <v>462</v>
      </c>
      <c r="I16" s="116">
        <v>300000</v>
      </c>
    </row>
    <row r="17" spans="2:9">
      <c r="B17" s="5">
        <v>44393</v>
      </c>
      <c r="C17" s="165" t="s">
        <v>399</v>
      </c>
      <c r="E17" s="158"/>
      <c r="F17" s="162"/>
      <c r="G17" s="279"/>
      <c r="H17" t="s">
        <v>461</v>
      </c>
      <c r="I17" s="116">
        <v>300000</v>
      </c>
    </row>
    <row r="18" spans="2:9">
      <c r="B18" s="5">
        <v>44396</v>
      </c>
      <c r="C18" s="165" t="s">
        <v>399</v>
      </c>
      <c r="E18" s="158"/>
      <c r="F18" s="163"/>
      <c r="G18" s="279"/>
      <c r="H18" t="s">
        <v>544</v>
      </c>
      <c r="I18" s="116">
        <v>300000</v>
      </c>
    </row>
    <row r="19" spans="2:9">
      <c r="B19" s="5">
        <v>44398</v>
      </c>
      <c r="C19" s="165" t="s">
        <v>405</v>
      </c>
      <c r="E19" s="158"/>
      <c r="F19" s="162"/>
      <c r="G19" s="279"/>
      <c r="H19" t="s">
        <v>545</v>
      </c>
      <c r="I19" s="116">
        <v>300000</v>
      </c>
    </row>
    <row r="20" spans="2:9">
      <c r="B20" s="166">
        <v>44407</v>
      </c>
      <c r="C20" s="2" t="s">
        <v>399</v>
      </c>
      <c r="E20" s="116"/>
      <c r="G20" s="279"/>
      <c r="H20" t="s">
        <v>546</v>
      </c>
      <c r="I20" s="116">
        <v>500000</v>
      </c>
    </row>
    <row r="21" spans="2:9">
      <c r="B21" s="2" t="s">
        <v>430</v>
      </c>
      <c r="C21" s="2" t="s">
        <v>431</v>
      </c>
      <c r="E21" s="160"/>
      <c r="F21" s="164"/>
    </row>
    <row r="22" spans="2:9">
      <c r="B22" s="167" t="s">
        <v>311</v>
      </c>
      <c r="C22" s="168" t="s">
        <v>470</v>
      </c>
      <c r="E22" s="159"/>
      <c r="F22" s="164"/>
    </row>
    <row r="23" spans="2:9">
      <c r="B23" s="167" t="s">
        <v>444</v>
      </c>
      <c r="C23" s="169">
        <f>5*8000+7*5400</f>
        <v>77800</v>
      </c>
      <c r="E23" s="159"/>
      <c r="F23" s="164"/>
    </row>
    <row r="24" spans="2:9">
      <c r="B24" s="167" t="s">
        <v>464</v>
      </c>
      <c r="C24" s="170">
        <f>+C23/2</f>
        <v>38900</v>
      </c>
      <c r="E24" s="159"/>
      <c r="F24" s="164"/>
    </row>
    <row r="25" spans="2:9">
      <c r="B25" s="166">
        <v>44417</v>
      </c>
      <c r="C25" s="2" t="s">
        <v>450</v>
      </c>
    </row>
    <row r="26" spans="2:9">
      <c r="B26" s="166">
        <v>44421</v>
      </c>
      <c r="C26" s="2" t="s">
        <v>449</v>
      </c>
      <c r="E26" s="159" t="s">
        <v>541</v>
      </c>
      <c r="F26" s="177">
        <f>2200*12-21000</f>
        <v>5400</v>
      </c>
    </row>
    <row r="27" spans="2:9">
      <c r="B27" s="166">
        <v>44426</v>
      </c>
      <c r="C27" s="2" t="s">
        <v>452</v>
      </c>
      <c r="E27" s="159" t="s">
        <v>469</v>
      </c>
      <c r="F27" s="177">
        <f>2200*12-21000</f>
        <v>5400</v>
      </c>
    </row>
    <row r="28" spans="2:9">
      <c r="B28" s="166">
        <v>44428</v>
      </c>
      <c r="C28" s="2" t="s">
        <v>453</v>
      </c>
      <c r="E28" t="s">
        <v>538</v>
      </c>
      <c r="F28" s="31">
        <v>2500</v>
      </c>
    </row>
    <row r="29" spans="2:9">
      <c r="B29" s="166">
        <v>44431</v>
      </c>
      <c r="C29" s="2" t="s">
        <v>453</v>
      </c>
    </row>
    <row r="30" spans="2:9">
      <c r="B30" s="166">
        <v>44435</v>
      </c>
      <c r="C30" s="2" t="s">
        <v>453</v>
      </c>
    </row>
    <row r="31" spans="2:9">
      <c r="B31" s="166">
        <v>44439</v>
      </c>
      <c r="C31" s="2" t="s">
        <v>459</v>
      </c>
    </row>
    <row r="32" spans="2:9">
      <c r="B32" s="171" t="s">
        <v>311</v>
      </c>
      <c r="C32" s="172" t="s">
        <v>471</v>
      </c>
    </row>
    <row r="33" spans="2:7">
      <c r="B33" s="171"/>
      <c r="C33" s="173">
        <f>8*5400+7900*3</f>
        <v>66900</v>
      </c>
    </row>
    <row r="34" spans="2:7">
      <c r="B34" s="171" t="s">
        <v>465</v>
      </c>
      <c r="C34" s="173">
        <f>+C33/2</f>
        <v>33450</v>
      </c>
    </row>
    <row r="35" spans="2:7">
      <c r="B35" s="166">
        <v>44441</v>
      </c>
      <c r="C35" s="2" t="s">
        <v>452</v>
      </c>
    </row>
    <row r="36" spans="2:7">
      <c r="B36" s="166">
        <v>44445</v>
      </c>
      <c r="C36" s="2" t="s">
        <v>452</v>
      </c>
      <c r="F36" s="31" t="s">
        <v>467</v>
      </c>
      <c r="G36" s="31" t="s">
        <v>468</v>
      </c>
    </row>
    <row r="37" spans="2:7">
      <c r="B37" s="5">
        <v>44456</v>
      </c>
      <c r="C37" s="2" t="s">
        <v>453</v>
      </c>
      <c r="F37" s="31" t="s">
        <v>463</v>
      </c>
      <c r="G37" s="31">
        <v>12</v>
      </c>
    </row>
    <row r="38" spans="2:7">
      <c r="B38" s="166">
        <v>44464</v>
      </c>
      <c r="C38" s="2" t="s">
        <v>452</v>
      </c>
      <c r="F38" s="31" t="s">
        <v>462</v>
      </c>
      <c r="G38" s="31">
        <v>11</v>
      </c>
    </row>
    <row r="39" spans="2:7">
      <c r="B39" s="166">
        <v>44470</v>
      </c>
      <c r="C39" s="2" t="s">
        <v>452</v>
      </c>
      <c r="F39" s="31" t="s">
        <v>461</v>
      </c>
      <c r="G39" s="31">
        <v>9</v>
      </c>
    </row>
    <row r="40" spans="2:7">
      <c r="B40" s="174" t="s">
        <v>311</v>
      </c>
      <c r="C40" s="153" t="s">
        <v>472</v>
      </c>
    </row>
    <row r="41" spans="2:7">
      <c r="B41" s="175"/>
      <c r="C41" s="176">
        <f>5*F27+4*F26</f>
        <v>48600</v>
      </c>
    </row>
    <row r="42" spans="2:7">
      <c r="B42" s="174" t="s">
        <v>466</v>
      </c>
      <c r="C42" s="176">
        <f>+C41/2</f>
        <v>24300</v>
      </c>
    </row>
    <row r="43" spans="2:7">
      <c r="B43" s="182">
        <v>44475</v>
      </c>
      <c r="C43" s="2" t="s">
        <v>452</v>
      </c>
      <c r="D43" s="109">
        <f>+F26+F27</f>
        <v>10800</v>
      </c>
    </row>
    <row r="44" spans="2:7">
      <c r="B44" s="182">
        <v>44482</v>
      </c>
      <c r="C44" s="178" t="s">
        <v>474</v>
      </c>
      <c r="D44" s="116">
        <f>+F27*2</f>
        <v>10800</v>
      </c>
    </row>
    <row r="45" spans="2:7">
      <c r="B45" s="182">
        <v>44495</v>
      </c>
      <c r="C45" s="178" t="s">
        <v>474</v>
      </c>
      <c r="D45" s="116">
        <f>+F27*2</f>
        <v>10800</v>
      </c>
    </row>
    <row r="46" spans="2:7">
      <c r="B46" s="182">
        <v>44508</v>
      </c>
      <c r="C46" s="180" t="s">
        <v>452</v>
      </c>
      <c r="D46" s="109">
        <f>+F26+F27</f>
        <v>10800</v>
      </c>
    </row>
    <row r="47" spans="2:7">
      <c r="B47" s="181">
        <v>44522</v>
      </c>
      <c r="C47" s="180" t="s">
        <v>450</v>
      </c>
      <c r="D47" s="109">
        <f>SUM(D43:D46)</f>
        <v>43200</v>
      </c>
    </row>
    <row r="48" spans="2:7">
      <c r="B48" s="185" t="s">
        <v>509</v>
      </c>
      <c r="C48" s="187" t="s">
        <v>471</v>
      </c>
      <c r="D48" s="116">
        <f>+D47/2</f>
        <v>21600</v>
      </c>
    </row>
    <row r="49" spans="1:6">
      <c r="B49" s="157"/>
      <c r="C49" s="184">
        <f>8*F27</f>
        <v>43200</v>
      </c>
    </row>
    <row r="50" spans="1:6">
      <c r="B50" s="157"/>
      <c r="C50" s="184">
        <f>3*F26</f>
        <v>16200</v>
      </c>
    </row>
    <row r="51" spans="1:6">
      <c r="B51" s="157"/>
      <c r="C51" s="184">
        <f>+C50+C49</f>
        <v>59400</v>
      </c>
    </row>
    <row r="52" spans="1:6">
      <c r="B52" s="185" t="s">
        <v>510</v>
      </c>
      <c r="C52" s="186">
        <f>+C51/2</f>
        <v>29700</v>
      </c>
    </row>
    <row r="53" spans="1:6">
      <c r="B53" s="181">
        <v>44531</v>
      </c>
      <c r="C53" t="s">
        <v>452</v>
      </c>
    </row>
    <row r="54" spans="1:6">
      <c r="B54" s="181">
        <v>44545</v>
      </c>
      <c r="C54" t="s">
        <v>530</v>
      </c>
    </row>
    <row r="55" spans="1:6">
      <c r="B55" s="181">
        <v>44582</v>
      </c>
      <c r="C55" t="s">
        <v>533</v>
      </c>
    </row>
    <row r="56" spans="1:6">
      <c r="B56" t="s">
        <v>536</v>
      </c>
    </row>
    <row r="57" spans="1:6">
      <c r="A57">
        <v>2022</v>
      </c>
      <c r="B57" s="9">
        <v>44593</v>
      </c>
      <c r="C57" t="s">
        <v>535</v>
      </c>
      <c r="D57" s="116">
        <f>2*5400+2*7900</f>
        <v>26600</v>
      </c>
      <c r="E57">
        <f>12*3200</f>
        <v>38400</v>
      </c>
      <c r="F57" s="31">
        <f>+E57-30500</f>
        <v>7900</v>
      </c>
    </row>
    <row r="58" spans="1:6">
      <c r="B58" s="9">
        <v>44603</v>
      </c>
      <c r="C58" t="s">
        <v>537</v>
      </c>
      <c r="D58" s="116">
        <f>5400+7900+2500</f>
        <v>15800</v>
      </c>
    </row>
    <row r="59" spans="1:6">
      <c r="B59" s="9">
        <v>44612</v>
      </c>
      <c r="C59" t="s">
        <v>539</v>
      </c>
      <c r="D59" s="116">
        <v>5400</v>
      </c>
    </row>
    <row r="60" spans="1:6">
      <c r="B60" s="9">
        <v>44618</v>
      </c>
      <c r="C60" t="s">
        <v>540</v>
      </c>
      <c r="D60" s="116">
        <f>5400*2+2500</f>
        <v>13300</v>
      </c>
    </row>
    <row r="61" spans="1:6">
      <c r="B61" s="9">
        <v>44630</v>
      </c>
      <c r="C61" t="s">
        <v>543</v>
      </c>
      <c r="D61" s="116">
        <f>5400*2</f>
        <v>10800</v>
      </c>
    </row>
    <row r="62" spans="1:6">
      <c r="B62" s="9">
        <v>44635</v>
      </c>
      <c r="C62" t="s">
        <v>548</v>
      </c>
      <c r="D62" s="116">
        <v>5400</v>
      </c>
    </row>
    <row r="63" spans="1:6">
      <c r="D63" s="116">
        <f>SUM(D57:D62)</f>
        <v>77300</v>
      </c>
    </row>
    <row r="64" spans="1:6">
      <c r="C64" t="s">
        <v>542</v>
      </c>
      <c r="D64" s="116">
        <f>+D63/2</f>
        <v>38650</v>
      </c>
    </row>
    <row r="66" spans="3:3">
      <c r="C66" t="s">
        <v>549</v>
      </c>
    </row>
  </sheetData>
  <mergeCells count="7">
    <mergeCell ref="H15:I15"/>
    <mergeCell ref="G16:G20"/>
    <mergeCell ref="D3:D4"/>
    <mergeCell ref="D5:D6"/>
    <mergeCell ref="D7:D8"/>
    <mergeCell ref="D9:D10"/>
    <mergeCell ref="D11:D12"/>
  </mergeCells>
  <pageMargins left="0.7" right="0.7" top="0.75" bottom="0.75" header="0.3" footer="0.3"/>
  <pageSetup paperSize="9" orientation="portrait" r:id="rId1"/>
  <extLst>
    <ext xmlns:x14="http://schemas.microsoft.com/office/spreadsheetml/2009/9/main" uri="{05C60535-1F16-4fd2-B633-F4F36F0B64E0}">
      <x14:sparklineGroups xmlns:xm="http://schemas.microsoft.com/office/excel/2006/main">
        <x14:sparklineGroup displayEmptyCellsAs="span" xr2:uid="{3EDABF9C-8B83-4373-A759-5BC71057561E}">
          <x14:colorSeries rgb="FF376092"/>
          <x14:colorNegative rgb="FFD00000"/>
          <x14:colorAxis rgb="FF000000"/>
          <x14:colorMarkers rgb="FFD00000"/>
          <x14:colorFirst rgb="FFD00000"/>
          <x14:colorLast rgb="FFD00000"/>
          <x14:colorHigh rgb="FFD00000"/>
          <x14:colorLow rgb="FFD00000"/>
          <x14:sparklines>
            <x14:sparkline>
              <xm:f>gaseosa!G37:G37</xm:f>
              <xm:sqref>H37</xm:sqref>
            </x14:sparkline>
            <x14:sparkline>
              <xm:f>gaseosa!G38:G38</xm:f>
              <xm:sqref>H38</xm:sqref>
            </x14:sparkline>
            <x14:sparkline>
              <xm:f>gaseosa!G39:G39</xm:f>
              <xm:sqref>H39</xm:sqref>
            </x14:sparkline>
          </x14:sparklines>
        </x14:sparklineGroup>
      </x14:sparklineGroup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A79ED-435B-4298-84BE-E865FDC63B0F}">
  <sheetPr>
    <pageSetUpPr fitToPage="1"/>
  </sheetPr>
  <dimension ref="A1:Q143"/>
  <sheetViews>
    <sheetView workbookViewId="0">
      <selection activeCell="C138" sqref="C138"/>
    </sheetView>
  </sheetViews>
  <sheetFormatPr baseColWidth="10" defaultColWidth="11.42578125" defaultRowHeight="15"/>
  <cols>
    <col min="1" max="1" width="11.42578125" style="181"/>
    <col min="2" max="2" width="54.28515625" style="1" customWidth="1"/>
    <col min="3" max="3" width="41.28515625" style="1" customWidth="1"/>
    <col min="5" max="5" width="27.28515625" customWidth="1"/>
    <col min="6" max="6" width="24.7109375" customWidth="1"/>
    <col min="7" max="7" width="26.28515625" customWidth="1"/>
    <col min="8" max="8" width="29.28515625" customWidth="1"/>
    <col min="9" max="9" width="17.140625" customWidth="1"/>
  </cols>
  <sheetData>
    <row r="1" spans="2:16">
      <c r="C1" s="1" t="s">
        <v>426</v>
      </c>
      <c r="D1" t="s">
        <v>427</v>
      </c>
    </row>
    <row r="2" spans="2:16" ht="45">
      <c r="B2" s="188" t="s">
        <v>413</v>
      </c>
      <c r="C2" s="1" t="s">
        <v>10</v>
      </c>
      <c r="D2" t="s">
        <v>10</v>
      </c>
    </row>
    <row r="3" spans="2:16" ht="60">
      <c r="B3" s="188" t="s">
        <v>414</v>
      </c>
      <c r="C3" s="1" t="s">
        <v>10</v>
      </c>
      <c r="D3" t="s">
        <v>10</v>
      </c>
    </row>
    <row r="4" spans="2:16" ht="30">
      <c r="B4" s="188" t="s">
        <v>415</v>
      </c>
      <c r="C4" s="1" t="s">
        <v>429</v>
      </c>
      <c r="D4" t="s">
        <v>429</v>
      </c>
      <c r="E4" s="6"/>
    </row>
    <row r="5" spans="2:16" ht="45">
      <c r="B5" s="189" t="s">
        <v>416</v>
      </c>
      <c r="C5" s="1" t="s">
        <v>10</v>
      </c>
      <c r="D5" t="s">
        <v>10</v>
      </c>
      <c r="E5" s="6"/>
    </row>
    <row r="6" spans="2:16" ht="45">
      <c r="B6" s="188" t="s">
        <v>417</v>
      </c>
      <c r="C6" s="1" t="s">
        <v>428</v>
      </c>
      <c r="D6" t="s">
        <v>10</v>
      </c>
      <c r="E6" s="6"/>
    </row>
    <row r="7" spans="2:16" ht="45">
      <c r="B7" s="189" t="s">
        <v>418</v>
      </c>
      <c r="C7" s="1" t="s">
        <v>10</v>
      </c>
      <c r="D7" t="s">
        <v>10</v>
      </c>
    </row>
    <row r="8" spans="2:16" ht="30">
      <c r="B8" s="188" t="s">
        <v>419</v>
      </c>
      <c r="C8" s="1" t="s">
        <v>428</v>
      </c>
      <c r="D8" t="s">
        <v>428</v>
      </c>
    </row>
    <row r="9" spans="2:16" ht="60">
      <c r="B9" s="188" t="s">
        <v>420</v>
      </c>
      <c r="C9" s="1" t="s">
        <v>10</v>
      </c>
      <c r="D9" t="s">
        <v>10</v>
      </c>
    </row>
    <row r="10" spans="2:16" ht="75">
      <c r="B10" s="188" t="s">
        <v>421</v>
      </c>
      <c r="C10" s="1" t="s">
        <v>10</v>
      </c>
      <c r="D10" t="s">
        <v>10</v>
      </c>
      <c r="F10" s="4"/>
    </row>
    <row r="11" spans="2:16" ht="45">
      <c r="B11" s="190" t="s">
        <v>422</v>
      </c>
      <c r="C11" s="1" t="s">
        <v>10</v>
      </c>
      <c r="D11" t="s">
        <v>10</v>
      </c>
    </row>
    <row r="12" spans="2:16" ht="75">
      <c r="B12" s="188" t="s">
        <v>423</v>
      </c>
      <c r="C12" s="1" t="s">
        <v>10</v>
      </c>
      <c r="D12" t="s">
        <v>10</v>
      </c>
    </row>
    <row r="13" spans="2:16" ht="30">
      <c r="B13" s="188" t="s">
        <v>424</v>
      </c>
      <c r="C13" s="1" t="s">
        <v>10</v>
      </c>
      <c r="D13" t="s">
        <v>10</v>
      </c>
    </row>
    <row r="14" spans="2:16" ht="45">
      <c r="B14" s="188" t="s">
        <v>425</v>
      </c>
      <c r="C14" s="1" t="s">
        <v>10</v>
      </c>
      <c r="D14" t="s">
        <v>10</v>
      </c>
      <c r="J14" s="10" t="s">
        <v>8</v>
      </c>
      <c r="K14" s="10"/>
      <c r="L14" s="10"/>
      <c r="M14" s="10"/>
      <c r="N14" s="10"/>
      <c r="O14" s="10"/>
      <c r="P14" s="10"/>
    </row>
    <row r="15" spans="2:16">
      <c r="D15" s="283">
        <v>44245</v>
      </c>
      <c r="E15" t="s">
        <v>9</v>
      </c>
      <c r="F15" t="s">
        <v>10</v>
      </c>
      <c r="J15" s="10" t="s">
        <v>11</v>
      </c>
      <c r="K15" s="10"/>
      <c r="L15" s="10"/>
      <c r="M15" s="10"/>
      <c r="N15" s="10"/>
      <c r="O15" s="10"/>
      <c r="P15" s="10"/>
    </row>
    <row r="16" spans="2:16">
      <c r="D16" s="284"/>
      <c r="E16" t="s">
        <v>12</v>
      </c>
      <c r="F16" t="s">
        <v>10</v>
      </c>
      <c r="J16" s="10"/>
      <c r="K16" s="10"/>
      <c r="L16" s="10"/>
      <c r="M16" s="10"/>
      <c r="N16" s="10"/>
      <c r="O16" s="10"/>
      <c r="P16" s="10"/>
    </row>
    <row r="17" spans="4:17">
      <c r="D17" s="284"/>
      <c r="E17" t="s">
        <v>13</v>
      </c>
      <c r="F17" t="s">
        <v>10</v>
      </c>
    </row>
    <row r="18" spans="4:17">
      <c r="D18" s="284"/>
      <c r="E18" s="14" t="s">
        <v>14</v>
      </c>
      <c r="H18" t="s">
        <v>15</v>
      </c>
      <c r="L18" s="7"/>
    </row>
    <row r="19" spans="4:17">
      <c r="D19" s="285"/>
      <c r="E19" t="s">
        <v>16</v>
      </c>
      <c r="I19" t="s">
        <v>10</v>
      </c>
    </row>
    <row r="20" spans="4:17">
      <c r="D20" s="285"/>
      <c r="E20" t="s">
        <v>17</v>
      </c>
      <c r="G20" t="s">
        <v>10</v>
      </c>
    </row>
    <row r="22" spans="4:17">
      <c r="D22" s="283">
        <v>44246</v>
      </c>
      <c r="E22" t="s">
        <v>18</v>
      </c>
      <c r="F22" s="8" t="s">
        <v>19</v>
      </c>
      <c r="G22" t="s">
        <v>20</v>
      </c>
      <c r="H22" t="s">
        <v>21</v>
      </c>
    </row>
    <row r="23" spans="4:17">
      <c r="D23" s="283"/>
      <c r="E23" t="s">
        <v>22</v>
      </c>
      <c r="G23" t="s">
        <v>23</v>
      </c>
      <c r="H23" t="s">
        <v>10</v>
      </c>
    </row>
    <row r="24" spans="4:17">
      <c r="D24" s="283"/>
      <c r="E24" t="s">
        <v>24</v>
      </c>
      <c r="G24" t="s">
        <v>25</v>
      </c>
      <c r="H24" t="s">
        <v>26</v>
      </c>
      <c r="K24" s="11" t="s">
        <v>10</v>
      </c>
    </row>
    <row r="26" spans="4:17">
      <c r="D26" s="283">
        <v>44249</v>
      </c>
      <c r="E26" t="s">
        <v>27</v>
      </c>
      <c r="G26" t="s">
        <v>28</v>
      </c>
      <c r="H26" t="s">
        <v>10</v>
      </c>
    </row>
    <row r="27" spans="4:17">
      <c r="D27" s="283"/>
      <c r="E27" s="14" t="s">
        <v>29</v>
      </c>
      <c r="G27" s="14" t="s">
        <v>30</v>
      </c>
      <c r="I27" t="s">
        <v>31</v>
      </c>
      <c r="K27" t="s">
        <v>32</v>
      </c>
      <c r="L27" t="s">
        <v>10</v>
      </c>
    </row>
    <row r="28" spans="4:17">
      <c r="D28" s="283"/>
      <c r="E28" s="14" t="s">
        <v>33</v>
      </c>
      <c r="G28" t="s">
        <v>10</v>
      </c>
      <c r="H28" s="14" t="s">
        <v>34</v>
      </c>
      <c r="J28" t="s">
        <v>35</v>
      </c>
      <c r="L28" s="14" t="s">
        <v>36</v>
      </c>
      <c r="M28" t="s">
        <v>37</v>
      </c>
      <c r="N28" t="s">
        <v>10</v>
      </c>
    </row>
    <row r="29" spans="4:17">
      <c r="D29" s="283"/>
      <c r="E29" s="14" t="s">
        <v>38</v>
      </c>
      <c r="G29" t="s">
        <v>39</v>
      </c>
      <c r="H29" s="14" t="s">
        <v>40</v>
      </c>
      <c r="J29" s="9">
        <v>44256</v>
      </c>
    </row>
    <row r="30" spans="4:17" ht="45">
      <c r="D30" s="283"/>
      <c r="E30" s="14" t="s">
        <v>41</v>
      </c>
      <c r="F30" t="s">
        <v>42</v>
      </c>
      <c r="G30" s="14" t="s">
        <v>43</v>
      </c>
      <c r="H30" s="14" t="s">
        <v>44</v>
      </c>
      <c r="I30" s="39" t="s">
        <v>45</v>
      </c>
    </row>
    <row r="31" spans="4:17">
      <c r="D31" s="283"/>
      <c r="E31" s="14" t="s">
        <v>46</v>
      </c>
      <c r="G31" t="s">
        <v>47</v>
      </c>
      <c r="H31" s="8" t="s">
        <v>10</v>
      </c>
      <c r="J31" s="9">
        <v>44256</v>
      </c>
      <c r="K31" t="s">
        <v>48</v>
      </c>
      <c r="L31" t="s">
        <v>49</v>
      </c>
      <c r="O31" s="14" t="s">
        <v>2</v>
      </c>
      <c r="Q31" t="s">
        <v>10</v>
      </c>
    </row>
    <row r="32" spans="4:17">
      <c r="D32" s="283"/>
      <c r="E32" s="14" t="s">
        <v>50</v>
      </c>
      <c r="G32" t="s">
        <v>10</v>
      </c>
      <c r="H32" s="14" t="s">
        <v>51</v>
      </c>
      <c r="J32" s="9">
        <v>44256</v>
      </c>
      <c r="K32" t="s">
        <v>52</v>
      </c>
      <c r="N32" s="14" t="s">
        <v>53</v>
      </c>
    </row>
    <row r="34" spans="4:14">
      <c r="D34" s="283">
        <v>44252</v>
      </c>
      <c r="E34" s="14" t="s">
        <v>54</v>
      </c>
      <c r="G34" t="s">
        <v>10</v>
      </c>
      <c r="H34" s="14" t="s">
        <v>55</v>
      </c>
      <c r="I34" s="14" t="s">
        <v>2</v>
      </c>
      <c r="K34" s="14" t="s">
        <v>56</v>
      </c>
      <c r="L34" s="14" t="s">
        <v>57</v>
      </c>
      <c r="M34" t="s">
        <v>10</v>
      </c>
    </row>
    <row r="35" spans="4:14">
      <c r="D35" s="283"/>
      <c r="E35" s="14" t="s">
        <v>58</v>
      </c>
      <c r="G35" t="s">
        <v>10</v>
      </c>
      <c r="I35" s="14" t="s">
        <v>59</v>
      </c>
      <c r="J35" s="14" t="s">
        <v>60</v>
      </c>
      <c r="K35" s="14" t="s">
        <v>61</v>
      </c>
      <c r="M35" t="s">
        <v>10</v>
      </c>
    </row>
    <row r="36" spans="4:14">
      <c r="D36" s="283"/>
      <c r="E36" s="14" t="s">
        <v>62</v>
      </c>
      <c r="F36" t="s">
        <v>63</v>
      </c>
      <c r="G36" t="s">
        <v>64</v>
      </c>
      <c r="H36" s="14" t="s">
        <v>65</v>
      </c>
      <c r="J36" s="14" t="s">
        <v>66</v>
      </c>
      <c r="M36" t="s">
        <v>67</v>
      </c>
    </row>
    <row r="37" spans="4:14">
      <c r="D37" s="283"/>
      <c r="E37" s="12" t="s">
        <v>68</v>
      </c>
    </row>
    <row r="38" spans="4:14">
      <c r="D38" s="283"/>
      <c r="E38" s="14" t="s">
        <v>69</v>
      </c>
      <c r="F38" t="s">
        <v>10</v>
      </c>
      <c r="G38" t="s">
        <v>70</v>
      </c>
      <c r="I38" s="8" t="s">
        <v>19</v>
      </c>
      <c r="K38" t="s">
        <v>71</v>
      </c>
      <c r="L38" s="14" t="s">
        <v>2</v>
      </c>
      <c r="N38" t="s">
        <v>10</v>
      </c>
    </row>
    <row r="39" spans="4:14">
      <c r="D39" s="283"/>
      <c r="E39" s="14" t="s">
        <v>72</v>
      </c>
      <c r="F39" t="s">
        <v>10</v>
      </c>
      <c r="G39" s="17" t="s">
        <v>73</v>
      </c>
      <c r="I39" t="s">
        <v>74</v>
      </c>
      <c r="J39" s="14" t="s">
        <v>75</v>
      </c>
      <c r="L39" t="s">
        <v>10</v>
      </c>
    </row>
    <row r="40" spans="4:14">
      <c r="D40" s="283"/>
      <c r="E40" s="14" t="s">
        <v>76</v>
      </c>
      <c r="F40" t="s">
        <v>10</v>
      </c>
      <c r="G40" s="14" t="s">
        <v>73</v>
      </c>
      <c r="I40" t="s">
        <v>74</v>
      </c>
      <c r="J40" s="14" t="s">
        <v>75</v>
      </c>
      <c r="L40" t="s">
        <v>10</v>
      </c>
    </row>
    <row r="41" spans="4:14">
      <c r="E41" s="14" t="s">
        <v>77</v>
      </c>
      <c r="F41" t="s">
        <v>78</v>
      </c>
      <c r="G41" t="s">
        <v>79</v>
      </c>
      <c r="H41" t="s">
        <v>10</v>
      </c>
      <c r="I41" s="14" t="s">
        <v>80</v>
      </c>
      <c r="J41" t="s">
        <v>81</v>
      </c>
    </row>
    <row r="42" spans="4:14" ht="30">
      <c r="E42" s="14" t="s">
        <v>82</v>
      </c>
      <c r="F42" s="14" t="s">
        <v>83</v>
      </c>
      <c r="G42" t="s">
        <v>84</v>
      </c>
      <c r="H42" t="s">
        <v>85</v>
      </c>
      <c r="I42" s="34" t="s">
        <v>86</v>
      </c>
    </row>
    <row r="43" spans="4:14">
      <c r="E43" s="12" t="s">
        <v>87</v>
      </c>
      <c r="I43" s="31"/>
    </row>
    <row r="44" spans="4:14">
      <c r="E44" s="15" t="s">
        <v>88</v>
      </c>
      <c r="F44" s="14" t="s">
        <v>89</v>
      </c>
      <c r="G44" s="13" t="s">
        <v>90</v>
      </c>
      <c r="H44" t="s">
        <v>91</v>
      </c>
    </row>
    <row r="45" spans="4:14">
      <c r="E45" s="14" t="s">
        <v>7</v>
      </c>
      <c r="F45" t="s">
        <v>92</v>
      </c>
      <c r="G45" t="s">
        <v>93</v>
      </c>
      <c r="H45" s="42" t="s">
        <v>94</v>
      </c>
    </row>
    <row r="46" spans="4:14">
      <c r="E46" s="14" t="s">
        <v>95</v>
      </c>
      <c r="F46" s="14" t="s">
        <v>96</v>
      </c>
      <c r="G46" s="14"/>
    </row>
    <row r="47" spans="4:14">
      <c r="E47" s="14" t="s">
        <v>97</v>
      </c>
      <c r="F47" s="14" t="s">
        <v>83</v>
      </c>
      <c r="G47" t="s">
        <v>98</v>
      </c>
      <c r="H47" s="35" t="s">
        <v>99</v>
      </c>
      <c r="I47" s="14" t="s">
        <v>100</v>
      </c>
      <c r="J47" t="s">
        <v>101</v>
      </c>
    </row>
    <row r="48" spans="4:14">
      <c r="E48" s="13" t="s">
        <v>102</v>
      </c>
      <c r="F48" t="s">
        <v>103</v>
      </c>
      <c r="G48" t="s">
        <v>104</v>
      </c>
      <c r="H48" t="s">
        <v>10</v>
      </c>
    </row>
    <row r="49" spans="5:10">
      <c r="E49" s="13" t="s">
        <v>105</v>
      </c>
      <c r="F49" t="s">
        <v>103</v>
      </c>
      <c r="G49" t="s">
        <v>104</v>
      </c>
      <c r="H49" t="s">
        <v>10</v>
      </c>
    </row>
    <row r="50" spans="5:10">
      <c r="E50" s="13" t="s">
        <v>106</v>
      </c>
      <c r="F50" t="s">
        <v>103</v>
      </c>
      <c r="G50" t="s">
        <v>104</v>
      </c>
      <c r="H50" t="s">
        <v>10</v>
      </c>
    </row>
    <row r="51" spans="5:10" ht="45">
      <c r="E51" s="51" t="s">
        <v>107</v>
      </c>
      <c r="F51" s="13" t="s">
        <v>108</v>
      </c>
      <c r="G51" t="s">
        <v>109</v>
      </c>
      <c r="H51" s="42" t="s">
        <v>110</v>
      </c>
    </row>
    <row r="52" spans="5:10" ht="47.25">
      <c r="E52" s="27" t="s">
        <v>111</v>
      </c>
      <c r="F52" t="s">
        <v>109</v>
      </c>
      <c r="G52" s="16" t="s">
        <v>112</v>
      </c>
      <c r="H52" t="s">
        <v>113</v>
      </c>
      <c r="I52" s="14" t="s">
        <v>114</v>
      </c>
      <c r="J52" s="14" t="s">
        <v>28</v>
      </c>
    </row>
    <row r="53" spans="5:10" ht="75.75" thickBot="1">
      <c r="E53" s="18" t="s">
        <v>115</v>
      </c>
      <c r="F53" s="32" t="s">
        <v>116</v>
      </c>
      <c r="H53" s="23" t="s">
        <v>117</v>
      </c>
      <c r="I53" t="s">
        <v>118</v>
      </c>
      <c r="J53" s="30" t="s">
        <v>119</v>
      </c>
    </row>
    <row r="54" spans="5:10" ht="75.75" thickBot="1">
      <c r="E54" s="18" t="s">
        <v>120</v>
      </c>
      <c r="F54" s="32" t="s">
        <v>121</v>
      </c>
      <c r="G54" t="s">
        <v>122</v>
      </c>
      <c r="H54" s="23" t="s">
        <v>117</v>
      </c>
      <c r="I54" t="s">
        <v>118</v>
      </c>
      <c r="J54" s="31" t="s">
        <v>6</v>
      </c>
    </row>
    <row r="55" spans="5:10" ht="75.75" thickBot="1">
      <c r="E55" s="18" t="s">
        <v>123</v>
      </c>
      <c r="F55" s="32" t="s">
        <v>124</v>
      </c>
      <c r="G55" t="s">
        <v>125</v>
      </c>
      <c r="H55" s="23" t="s">
        <v>117</v>
      </c>
      <c r="I55" t="s">
        <v>118</v>
      </c>
      <c r="J55" s="30" t="s">
        <v>126</v>
      </c>
    </row>
    <row r="56" spans="5:10" ht="75.75" thickBot="1">
      <c r="E56" s="18" t="s">
        <v>127</v>
      </c>
      <c r="F56" s="32" t="s">
        <v>128</v>
      </c>
      <c r="G56" t="s">
        <v>129</v>
      </c>
      <c r="H56" s="23" t="s">
        <v>117</v>
      </c>
      <c r="I56" t="s">
        <v>118</v>
      </c>
      <c r="J56" s="30" t="s">
        <v>130</v>
      </c>
    </row>
    <row r="57" spans="5:10" ht="90.75" thickBot="1">
      <c r="E57" s="19"/>
      <c r="F57" s="50" t="s">
        <v>131</v>
      </c>
      <c r="G57" s="47" t="s">
        <v>132</v>
      </c>
      <c r="H57" s="23" t="s">
        <v>133</v>
      </c>
      <c r="I57" t="s">
        <v>134</v>
      </c>
      <c r="J57" s="30" t="s">
        <v>135</v>
      </c>
    </row>
    <row r="58" spans="5:10" ht="90.75" thickBot="1">
      <c r="E58" s="19" t="s">
        <v>136</v>
      </c>
      <c r="F58" s="45" t="s">
        <v>137</v>
      </c>
      <c r="G58" t="s">
        <v>138</v>
      </c>
      <c r="H58" s="23" t="s">
        <v>133</v>
      </c>
      <c r="I58" t="s">
        <v>134</v>
      </c>
      <c r="J58" s="34" t="s">
        <v>139</v>
      </c>
    </row>
    <row r="59" spans="5:10" ht="30.75" thickBot="1">
      <c r="E59" s="18" t="s">
        <v>140</v>
      </c>
      <c r="F59" s="32" t="s">
        <v>141</v>
      </c>
      <c r="G59" s="47" t="s">
        <v>142</v>
      </c>
      <c r="H59" s="23" t="s">
        <v>143</v>
      </c>
      <c r="I59" t="s">
        <v>144</v>
      </c>
      <c r="J59" s="48" t="s">
        <v>145</v>
      </c>
    </row>
    <row r="60" spans="5:10" ht="45">
      <c r="E60" s="20" t="s">
        <v>146</v>
      </c>
      <c r="F60" s="41" t="s">
        <v>147</v>
      </c>
      <c r="G60" t="s">
        <v>148</v>
      </c>
      <c r="H60" s="24" t="s">
        <v>149</v>
      </c>
      <c r="I60" t="s">
        <v>134</v>
      </c>
    </row>
    <row r="61" spans="5:10" ht="45.75" thickBot="1">
      <c r="E61" s="21" t="s">
        <v>150</v>
      </c>
      <c r="F61" s="40" t="s">
        <v>151</v>
      </c>
      <c r="G61" t="s">
        <v>148</v>
      </c>
      <c r="H61" s="24" t="s">
        <v>149</v>
      </c>
      <c r="I61" t="s">
        <v>84</v>
      </c>
    </row>
    <row r="62" spans="5:10" ht="60.75" thickBot="1">
      <c r="E62" s="22">
        <v>1082891384</v>
      </c>
      <c r="F62" s="28" t="s">
        <v>152</v>
      </c>
      <c r="G62" s="47" t="s">
        <v>153</v>
      </c>
      <c r="H62" s="23" t="s">
        <v>154</v>
      </c>
      <c r="I62" t="s">
        <v>155</v>
      </c>
      <c r="J62" s="30" t="s">
        <v>156</v>
      </c>
    </row>
    <row r="63" spans="5:10" ht="75.75" thickBot="1">
      <c r="E63" s="25" t="s">
        <v>157</v>
      </c>
      <c r="F63" s="26" t="s">
        <v>158</v>
      </c>
      <c r="G63" s="47" t="s">
        <v>159</v>
      </c>
      <c r="H63" s="24" t="s">
        <v>160</v>
      </c>
      <c r="I63" t="s">
        <v>81</v>
      </c>
      <c r="J63" s="31"/>
    </row>
    <row r="64" spans="5:10" ht="75.75" thickBot="1">
      <c r="E64" s="25" t="s">
        <v>161</v>
      </c>
      <c r="F64" s="26" t="s">
        <v>162</v>
      </c>
      <c r="G64" s="47" t="s">
        <v>163</v>
      </c>
      <c r="H64" s="24" t="s">
        <v>160</v>
      </c>
      <c r="I64" t="s">
        <v>164</v>
      </c>
      <c r="J64" t="s">
        <v>165</v>
      </c>
    </row>
    <row r="65" spans="5:12" ht="75.75" thickBot="1">
      <c r="E65" s="25" t="s">
        <v>166</v>
      </c>
      <c r="F65" s="26" t="s">
        <v>167</v>
      </c>
      <c r="G65" s="47" t="s">
        <v>6</v>
      </c>
      <c r="H65" s="24" t="s">
        <v>160</v>
      </c>
      <c r="I65" t="s">
        <v>164</v>
      </c>
      <c r="J65" t="s">
        <v>165</v>
      </c>
    </row>
    <row r="66" spans="5:12" ht="30.75" thickBot="1">
      <c r="E66" s="25" t="s">
        <v>168</v>
      </c>
      <c r="F66" s="26" t="s">
        <v>169</v>
      </c>
      <c r="H66" s="24" t="s">
        <v>170</v>
      </c>
      <c r="I66" t="s">
        <v>134</v>
      </c>
      <c r="J66" s="42" t="s">
        <v>171</v>
      </c>
    </row>
    <row r="67" spans="5:12">
      <c r="E67" s="29">
        <v>1140841529</v>
      </c>
      <c r="F67" s="43" t="s">
        <v>172</v>
      </c>
      <c r="G67" t="s">
        <v>173</v>
      </c>
      <c r="H67" s="47" t="s">
        <v>174</v>
      </c>
    </row>
    <row r="68" spans="5:12" ht="45">
      <c r="E68" s="29">
        <v>72240564</v>
      </c>
      <c r="F68" s="50" t="s">
        <v>175</v>
      </c>
      <c r="G68" t="s">
        <v>42</v>
      </c>
      <c r="H68" s="13" t="s">
        <v>176</v>
      </c>
      <c r="I68" s="48" t="s">
        <v>177</v>
      </c>
    </row>
    <row r="69" spans="5:12" ht="45.75" thickBot="1">
      <c r="E69" s="25" t="s">
        <v>178</v>
      </c>
      <c r="F69" s="58" t="s">
        <v>179</v>
      </c>
      <c r="G69" s="26" t="s">
        <v>180</v>
      </c>
      <c r="H69" s="13" t="s">
        <v>181</v>
      </c>
      <c r="I69" s="47" t="s">
        <v>47</v>
      </c>
      <c r="J69" t="s">
        <v>182</v>
      </c>
      <c r="L69" s="47" t="s">
        <v>183</v>
      </c>
    </row>
    <row r="70" spans="5:12" ht="47.25">
      <c r="E70" s="27" t="s">
        <v>184</v>
      </c>
      <c r="F70" t="s">
        <v>185</v>
      </c>
      <c r="H70" s="44" t="s">
        <v>186</v>
      </c>
    </row>
    <row r="71" spans="5:12" ht="15.75">
      <c r="E71" s="16"/>
    </row>
    <row r="72" spans="5:12" ht="45.75" thickBot="1">
      <c r="E72" s="36" t="s">
        <v>187</v>
      </c>
      <c r="F72" s="33" t="s">
        <v>188</v>
      </c>
      <c r="G72" s="26" t="s">
        <v>189</v>
      </c>
      <c r="H72" t="s">
        <v>190</v>
      </c>
    </row>
    <row r="73" spans="5:12">
      <c r="E73" t="s">
        <v>191</v>
      </c>
    </row>
    <row r="74" spans="5:12" ht="45.75" thickBot="1">
      <c r="E74" s="46" t="s">
        <v>192</v>
      </c>
      <c r="F74" s="26" t="s">
        <v>193</v>
      </c>
      <c r="G74" t="s">
        <v>194</v>
      </c>
      <c r="I74" t="s">
        <v>195</v>
      </c>
      <c r="J74">
        <v>27621232</v>
      </c>
      <c r="K74" t="s">
        <v>196</v>
      </c>
    </row>
    <row r="75" spans="5:12" ht="60.75" thickBot="1">
      <c r="E75" s="46" t="s">
        <v>197</v>
      </c>
      <c r="F75" s="26" t="s">
        <v>198</v>
      </c>
      <c r="G75" t="s">
        <v>194</v>
      </c>
      <c r="I75" t="s">
        <v>199</v>
      </c>
      <c r="J75" s="47" t="s">
        <v>200</v>
      </c>
    </row>
    <row r="76" spans="5:12" ht="39">
      <c r="E76" s="37" t="s">
        <v>201</v>
      </c>
      <c r="F76" s="38" t="s">
        <v>202</v>
      </c>
      <c r="G76" s="47" t="s">
        <v>6</v>
      </c>
    </row>
    <row r="77" spans="5:12" ht="30">
      <c r="E77" s="15" t="s">
        <v>203</v>
      </c>
      <c r="F77" s="13" t="s">
        <v>204</v>
      </c>
      <c r="G77" t="s">
        <v>205</v>
      </c>
      <c r="H77" s="47" t="s">
        <v>206</v>
      </c>
    </row>
    <row r="78" spans="5:12" ht="30">
      <c r="E78" s="15" t="s">
        <v>207</v>
      </c>
      <c r="F78" s="13" t="s">
        <v>204</v>
      </c>
      <c r="G78" t="s">
        <v>208</v>
      </c>
      <c r="H78" s="47" t="s">
        <v>206</v>
      </c>
    </row>
    <row r="79" spans="5:12" ht="30">
      <c r="E79" s="15" t="s">
        <v>209</v>
      </c>
      <c r="F79" s="13" t="s">
        <v>204</v>
      </c>
      <c r="G79" t="s">
        <v>164</v>
      </c>
      <c r="H79" s="47" t="s">
        <v>206</v>
      </c>
    </row>
    <row r="80" spans="5:12" ht="75">
      <c r="E80" s="57" t="s">
        <v>210</v>
      </c>
      <c r="F80" t="s">
        <v>211</v>
      </c>
      <c r="G80" s="47" t="s">
        <v>212</v>
      </c>
    </row>
    <row r="81" spans="5:9" ht="30">
      <c r="E81" s="49" t="s">
        <v>213</v>
      </c>
      <c r="F81" s="13" t="s">
        <v>214</v>
      </c>
      <c r="G81" s="47" t="s">
        <v>215</v>
      </c>
    </row>
    <row r="82" spans="5:9" ht="30.75" thickBot="1">
      <c r="E82" s="36" t="s">
        <v>216</v>
      </c>
      <c r="F82" s="26" t="s">
        <v>217</v>
      </c>
      <c r="G82" s="13" t="s">
        <v>218</v>
      </c>
      <c r="H82" s="47" t="s">
        <v>84</v>
      </c>
    </row>
    <row r="83" spans="5:9" ht="26.25">
      <c r="E83" s="49" t="s">
        <v>219</v>
      </c>
      <c r="F83" s="51" t="s">
        <v>220</v>
      </c>
      <c r="G83" s="13" t="s">
        <v>221</v>
      </c>
      <c r="H83" s="47" t="s">
        <v>164</v>
      </c>
    </row>
    <row r="84" spans="5:9" ht="15.75" thickBot="1">
      <c r="F84" s="12" t="s">
        <v>222</v>
      </c>
      <c r="G84" t="s">
        <v>223</v>
      </c>
      <c r="H84" t="s">
        <v>224</v>
      </c>
      <c r="I84" t="s">
        <v>225</v>
      </c>
    </row>
    <row r="85" spans="5:9" ht="30" thickBot="1">
      <c r="E85" s="52" t="s">
        <v>226</v>
      </c>
      <c r="F85" s="53" t="s">
        <v>227</v>
      </c>
      <c r="G85" t="s">
        <v>228</v>
      </c>
    </row>
    <row r="86" spans="5:9" ht="30" thickBot="1">
      <c r="E86" s="54" t="s">
        <v>229</v>
      </c>
      <c r="F86" s="55" t="s">
        <v>230</v>
      </c>
      <c r="G86" t="s">
        <v>228</v>
      </c>
    </row>
    <row r="87" spans="5:9" ht="47.25">
      <c r="E87" s="16" t="s">
        <v>231</v>
      </c>
      <c r="F87" t="s">
        <v>232</v>
      </c>
      <c r="H87">
        <f>1007903*5</f>
        <v>5039515</v>
      </c>
    </row>
    <row r="88" spans="5:9" ht="30.75" thickBot="1">
      <c r="E88" s="36" t="s">
        <v>233</v>
      </c>
      <c r="F88" s="26" t="s">
        <v>234</v>
      </c>
      <c r="G88" s="13" t="s">
        <v>235</v>
      </c>
      <c r="H88" s="47" t="s">
        <v>4</v>
      </c>
      <c r="I88">
        <f>2021-1968</f>
        <v>53</v>
      </c>
    </row>
    <row r="89" spans="5:9" ht="27" thickBot="1">
      <c r="E89" s="56">
        <v>1020754733</v>
      </c>
      <c r="F89" s="56" t="s">
        <v>236</v>
      </c>
      <c r="G89" s="13" t="s">
        <v>237</v>
      </c>
      <c r="H89" s="47" t="s">
        <v>6</v>
      </c>
      <c r="I89">
        <f>1007903*0.4</f>
        <v>403161.2</v>
      </c>
    </row>
    <row r="90" spans="5:9" ht="27" thickBot="1">
      <c r="E90" s="56">
        <v>1010204083</v>
      </c>
      <c r="F90" s="56" t="s">
        <v>238</v>
      </c>
      <c r="G90" s="13" t="s">
        <v>237</v>
      </c>
      <c r="H90" t="s">
        <v>259</v>
      </c>
      <c r="I90">
        <f>+I89*0.16</f>
        <v>64505.792000000001</v>
      </c>
    </row>
    <row r="91" spans="5:9" ht="27" thickBot="1">
      <c r="E91" s="56">
        <v>1015995057</v>
      </c>
      <c r="F91" s="56" t="s">
        <v>239</v>
      </c>
      <c r="G91" s="13" t="s">
        <v>237</v>
      </c>
      <c r="H91" s="47" t="s">
        <v>240</v>
      </c>
    </row>
    <row r="92" spans="5:9" ht="30.75" thickBot="1">
      <c r="E92" s="36" t="s">
        <v>241</v>
      </c>
      <c r="F92" s="26" t="s">
        <v>242</v>
      </c>
      <c r="G92" s="13" t="s">
        <v>235</v>
      </c>
      <c r="H92" s="47" t="s">
        <v>261</v>
      </c>
    </row>
    <row r="93" spans="5:9" ht="30.75" thickBot="1">
      <c r="E93" s="36" t="s">
        <v>243</v>
      </c>
      <c r="F93" s="26" t="s">
        <v>244</v>
      </c>
      <c r="G93" t="s">
        <v>245</v>
      </c>
      <c r="H93" s="47" t="s">
        <v>6</v>
      </c>
    </row>
    <row r="94" spans="5:9">
      <c r="E94" s="24" t="s">
        <v>246</v>
      </c>
      <c r="F94" t="s">
        <v>247</v>
      </c>
      <c r="G94" t="s">
        <v>224</v>
      </c>
    </row>
    <row r="95" spans="5:9">
      <c r="E95" s="24" t="s">
        <v>248</v>
      </c>
      <c r="F95" t="s">
        <v>247</v>
      </c>
      <c r="G95" t="s">
        <v>224</v>
      </c>
    </row>
    <row r="96" spans="5:9" ht="30.75" thickBot="1">
      <c r="E96" s="36" t="s">
        <v>249</v>
      </c>
      <c r="F96" s="26" t="s">
        <v>250</v>
      </c>
      <c r="G96" t="s">
        <v>251</v>
      </c>
    </row>
    <row r="97" spans="2:7" ht="30.75" thickBot="1">
      <c r="E97" s="36" t="s">
        <v>252</v>
      </c>
      <c r="F97" s="26" t="s">
        <v>253</v>
      </c>
      <c r="G97" s="13" t="s">
        <v>254</v>
      </c>
    </row>
    <row r="98" spans="2:7">
      <c r="E98" t="s">
        <v>255</v>
      </c>
      <c r="F98" t="s">
        <v>256</v>
      </c>
    </row>
    <row r="99" spans="2:7" ht="30.75" thickBot="1">
      <c r="E99" s="25" t="s">
        <v>257</v>
      </c>
      <c r="F99" s="26" t="s">
        <v>258</v>
      </c>
    </row>
    <row r="101" spans="2:7">
      <c r="B101" s="175" t="s">
        <v>438</v>
      </c>
      <c r="C101" s="194">
        <v>44413</v>
      </c>
    </row>
    <row r="102" spans="2:7">
      <c r="B102" s="175" t="s">
        <v>439</v>
      </c>
      <c r="C102" s="194">
        <v>44413</v>
      </c>
    </row>
    <row r="103" spans="2:7">
      <c r="B103" s="175" t="s">
        <v>440</v>
      </c>
      <c r="C103" s="194">
        <v>44412</v>
      </c>
    </row>
    <row r="104" spans="2:7" ht="24" customHeight="1">
      <c r="B104" s="175" t="s">
        <v>441</v>
      </c>
      <c r="C104" s="194">
        <v>44411</v>
      </c>
      <c r="E104">
        <f>25356731-13932270</f>
        <v>11424461</v>
      </c>
      <c r="F104" s="281" t="s">
        <v>402</v>
      </c>
      <c r="G104" s="281"/>
    </row>
    <row r="105" spans="2:7">
      <c r="B105" s="175" t="s">
        <v>442</v>
      </c>
      <c r="C105" s="194">
        <v>44410</v>
      </c>
      <c r="E105">
        <f>+E104-9938353</f>
        <v>1486108</v>
      </c>
      <c r="F105" s="14"/>
      <c r="G105" s="14"/>
    </row>
    <row r="106" spans="2:7">
      <c r="B106" s="175" t="s">
        <v>443</v>
      </c>
    </row>
    <row r="107" spans="2:7">
      <c r="B107" s="175" t="s">
        <v>446</v>
      </c>
      <c r="E107" s="157"/>
      <c r="F107" s="157"/>
    </row>
    <row r="108" spans="2:7">
      <c r="B108" s="175" t="s">
        <v>447</v>
      </c>
    </row>
    <row r="109" spans="2:7">
      <c r="B109" s="175" t="s">
        <v>448</v>
      </c>
    </row>
    <row r="110" spans="2:7">
      <c r="B110" s="175" t="s">
        <v>451</v>
      </c>
      <c r="C110" s="1" t="s">
        <v>456</v>
      </c>
      <c r="D110" t="s">
        <v>458</v>
      </c>
    </row>
    <row r="111" spans="2:7">
      <c r="B111" s="191" t="s">
        <v>454</v>
      </c>
      <c r="C111" s="1" t="s">
        <v>93</v>
      </c>
      <c r="F111" s="115" t="s">
        <v>460</v>
      </c>
    </row>
    <row r="112" spans="2:7">
      <c r="B112" s="191" t="s">
        <v>455</v>
      </c>
    </row>
    <row r="113" spans="1:7">
      <c r="B113" s="175" t="s">
        <v>457</v>
      </c>
    </row>
    <row r="114" spans="1:7" s="12" customFormat="1">
      <c r="A114" s="201"/>
      <c r="B114" s="192"/>
      <c r="C114" s="192"/>
    </row>
    <row r="115" spans="1:7">
      <c r="B115" s="193" t="s">
        <v>475</v>
      </c>
      <c r="C115" s="1" t="s">
        <v>477</v>
      </c>
      <c r="D115" t="s">
        <v>10</v>
      </c>
    </row>
    <row r="116" spans="1:7">
      <c r="B116" s="193" t="s">
        <v>476</v>
      </c>
      <c r="C116" s="1" t="s">
        <v>481</v>
      </c>
      <c r="D116" t="s">
        <v>10</v>
      </c>
    </row>
    <row r="117" spans="1:7">
      <c r="B117" s="193" t="s">
        <v>484</v>
      </c>
      <c r="C117" s="1" t="s">
        <v>493</v>
      </c>
    </row>
    <row r="118" spans="1:7" ht="15.75" thickBot="1">
      <c r="B118" s="193" t="s">
        <v>478</v>
      </c>
      <c r="C118" s="1" t="s">
        <v>514</v>
      </c>
      <c r="E118" s="282" t="s">
        <v>498</v>
      </c>
      <c r="F118" s="183">
        <v>22548529</v>
      </c>
      <c r="G118" s="95" t="s">
        <v>496</v>
      </c>
    </row>
    <row r="119" spans="1:7" ht="15.75" thickBot="1">
      <c r="B119" s="193" t="s">
        <v>501</v>
      </c>
      <c r="C119" s="1" t="s">
        <v>515</v>
      </c>
      <c r="E119" s="282"/>
      <c r="F119" s="183">
        <v>72234260</v>
      </c>
      <c r="G119" s="95" t="s">
        <v>497</v>
      </c>
    </row>
    <row r="120" spans="1:7">
      <c r="B120" s="193" t="s">
        <v>479</v>
      </c>
      <c r="C120" s="1" t="s">
        <v>482</v>
      </c>
      <c r="D120" t="s">
        <v>10</v>
      </c>
    </row>
    <row r="121" spans="1:7">
      <c r="B121" s="193" t="s">
        <v>480</v>
      </c>
      <c r="C121" s="1" t="s">
        <v>10</v>
      </c>
    </row>
    <row r="122" spans="1:7">
      <c r="B122" s="193" t="s">
        <v>483</v>
      </c>
      <c r="C122" s="1" t="s">
        <v>10</v>
      </c>
    </row>
    <row r="123" spans="1:7">
      <c r="A123" s="181">
        <v>44519</v>
      </c>
      <c r="B123" s="193" t="s">
        <v>485</v>
      </c>
      <c r="C123" s="1" t="s">
        <v>495</v>
      </c>
    </row>
    <row r="124" spans="1:7">
      <c r="A124" s="181">
        <v>44519</v>
      </c>
      <c r="B124" s="193" t="s">
        <v>486</v>
      </c>
      <c r="C124" s="1" t="s">
        <v>523</v>
      </c>
    </row>
    <row r="125" spans="1:7">
      <c r="A125" s="181">
        <v>44522</v>
      </c>
      <c r="B125" s="193" t="s">
        <v>487</v>
      </c>
      <c r="C125" s="1" t="s">
        <v>495</v>
      </c>
    </row>
    <row r="126" spans="1:7">
      <c r="A126" s="181">
        <v>44522</v>
      </c>
      <c r="B126" s="193" t="s">
        <v>488</v>
      </c>
      <c r="C126" s="1" t="s">
        <v>489</v>
      </c>
    </row>
    <row r="127" spans="1:7">
      <c r="B127" s="193" t="s">
        <v>490</v>
      </c>
      <c r="C127" s="1" t="s">
        <v>491</v>
      </c>
    </row>
    <row r="128" spans="1:7">
      <c r="B128" s="193" t="s">
        <v>492</v>
      </c>
      <c r="C128" s="1" t="s">
        <v>503</v>
      </c>
    </row>
    <row r="129" spans="2:6">
      <c r="B129" s="193" t="s">
        <v>500</v>
      </c>
      <c r="C129" s="1" t="s">
        <v>507</v>
      </c>
    </row>
    <row r="130" spans="2:6">
      <c r="B130" s="193" t="s">
        <v>494</v>
      </c>
      <c r="C130" s="1" t="s">
        <v>499</v>
      </c>
    </row>
    <row r="131" spans="2:6">
      <c r="B131" s="193" t="s">
        <v>502</v>
      </c>
      <c r="C131" s="1" t="s">
        <v>522</v>
      </c>
    </row>
    <row r="132" spans="2:6">
      <c r="B132" s="193" t="s">
        <v>504</v>
      </c>
      <c r="C132" s="1" t="s">
        <v>511</v>
      </c>
    </row>
    <row r="133" spans="2:6">
      <c r="B133" s="193" t="s">
        <v>505</v>
      </c>
      <c r="C133" s="1" t="s">
        <v>511</v>
      </c>
    </row>
    <row r="134" spans="2:6">
      <c r="B134" s="193" t="s">
        <v>506</v>
      </c>
      <c r="C134" s="1" t="s">
        <v>508</v>
      </c>
    </row>
    <row r="135" spans="2:6">
      <c r="B135" s="193" t="s">
        <v>512</v>
      </c>
      <c r="D135" t="s">
        <v>526</v>
      </c>
      <c r="E135" t="s">
        <v>527</v>
      </c>
    </row>
    <row r="136" spans="2:6">
      <c r="B136" s="193" t="s">
        <v>513</v>
      </c>
      <c r="C136" s="1" t="s">
        <v>521</v>
      </c>
    </row>
    <row r="137" spans="2:6">
      <c r="B137" s="193" t="s">
        <v>516</v>
      </c>
      <c r="C137" s="1" t="s">
        <v>519</v>
      </c>
    </row>
    <row r="138" spans="2:6">
      <c r="B138" s="193" t="s">
        <v>517</v>
      </c>
      <c r="C138" s="1" t="s">
        <v>523</v>
      </c>
    </row>
    <row r="139" spans="2:6">
      <c r="B139" s="193" t="s">
        <v>518</v>
      </c>
      <c r="C139" s="1" t="s">
        <v>521</v>
      </c>
    </row>
    <row r="140" spans="2:6">
      <c r="B140" s="193" t="s">
        <v>520</v>
      </c>
      <c r="D140" t="s">
        <v>534</v>
      </c>
    </row>
    <row r="141" spans="2:6" ht="75">
      <c r="B141" s="193" t="s">
        <v>524</v>
      </c>
      <c r="C141" s="195" t="s">
        <v>525</v>
      </c>
      <c r="D141" t="s">
        <v>529</v>
      </c>
      <c r="E141">
        <f>12865181+480941</f>
        <v>13346122</v>
      </c>
      <c r="F141" s="151" t="s">
        <v>528</v>
      </c>
    </row>
    <row r="142" spans="2:6">
      <c r="B142" s="193" t="s">
        <v>531</v>
      </c>
    </row>
    <row r="143" spans="2:6">
      <c r="B143" s="193" t="s">
        <v>532</v>
      </c>
    </row>
  </sheetData>
  <mergeCells count="6">
    <mergeCell ref="F104:G104"/>
    <mergeCell ref="E118:E119"/>
    <mergeCell ref="D15:D20"/>
    <mergeCell ref="D26:D32"/>
    <mergeCell ref="D22:D24"/>
    <mergeCell ref="D34:D40"/>
  </mergeCells>
  <hyperlinks>
    <hyperlink ref="F60" r:id="rId1" xr:uid="{721A610F-ADAB-4DB0-9E3B-6BE1580CD4BF}"/>
    <hyperlink ref="F61" r:id="rId2" xr:uid="{4A1AD53E-601E-40DC-BA57-F2C3B9E43E67}"/>
    <hyperlink ref="F63" r:id="rId3" xr:uid="{4596978F-D838-4606-BC26-DAA7EA466094}"/>
    <hyperlink ref="F64" r:id="rId4" xr:uid="{9D09604B-2438-4AE3-A2B1-792089E7FD53}"/>
    <hyperlink ref="F65" r:id="rId5" xr:uid="{7CA1E086-4F71-4356-857C-050E0C2F386E}"/>
    <hyperlink ref="F66" r:id="rId6" xr:uid="{D606797B-8A08-4A7E-B1A2-CD8960F83CC2}"/>
    <hyperlink ref="F69" r:id="rId7" xr:uid="{B8174975-8530-43BB-B706-8C9A8C77BDFE}"/>
    <hyperlink ref="G69" r:id="rId8" xr:uid="{EB74F765-D579-481C-94F6-739BF7766CD8}"/>
    <hyperlink ref="I42" r:id="rId9" xr:uid="{1A0C8777-D063-484B-B2CA-2198438FF27F}"/>
    <hyperlink ref="H47" r:id="rId10" xr:uid="{91E6CF76-5778-41C0-9533-C8CFE89F9F4B}"/>
    <hyperlink ref="J58" r:id="rId11" xr:uid="{0A54B5C9-9B89-4C85-8379-CE622EF92F38}"/>
    <hyperlink ref="F72" r:id="rId12" xr:uid="{D5FFF544-74AC-419E-969D-B127F2FD1867}"/>
    <hyperlink ref="G72" r:id="rId13" xr:uid="{0C8ED5E4-28FE-4102-AD01-FEEC52C6A22A}"/>
    <hyperlink ref="E74" r:id="rId14" xr:uid="{00FE5A9C-C2CF-41D8-989B-4A79E231D2A0}"/>
    <hyperlink ref="F74" r:id="rId15" xr:uid="{330EE1B4-6B13-4618-843D-C3FFA3A11503}"/>
    <hyperlink ref="E75" r:id="rId16" xr:uid="{07A41357-8D3E-4F3B-963D-6F19B7934883}"/>
    <hyperlink ref="F75" r:id="rId17" xr:uid="{9FEF406A-7AD0-4695-9819-54AFC6AE3D09}"/>
    <hyperlink ref="F82" r:id="rId18" xr:uid="{C1179543-871D-42A1-BFDD-B39CFDA50764}"/>
    <hyperlink ref="F88" r:id="rId19" xr:uid="{DDF68C1D-2ADA-4E14-B2BD-26F500751EC5}"/>
    <hyperlink ref="F92" r:id="rId20" xr:uid="{0B924C3A-D522-4BA3-88BE-E7FD469B2A47}"/>
    <hyperlink ref="F93" r:id="rId21" xr:uid="{440CD6F1-D571-4591-B2C3-A3924A766E50}"/>
    <hyperlink ref="F96" r:id="rId22" xr:uid="{BCB2103C-44A6-489D-80BC-4A477BCB1EDE}"/>
    <hyperlink ref="F97" r:id="rId23" xr:uid="{F16B07F9-FDA5-416C-97AA-E3B1061B66EA}"/>
    <hyperlink ref="F99" r:id="rId24" xr:uid="{684B42D0-56DA-4EC6-9866-89E473F9FEBC}"/>
  </hyperlinks>
  <pageMargins left="0.7" right="0.7" top="0.75" bottom="0.75" header="0.3" footer="0.3"/>
  <pageSetup paperSize="9" scale="18" orientation="portrait" r:id="rId25"/>
  <drawing r:id="rId2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9B87B-0066-40EC-8834-BFEAC481ED8D}">
  <dimension ref="A1:A7"/>
  <sheetViews>
    <sheetView workbookViewId="0">
      <selection activeCell="B24" sqref="B24"/>
    </sheetView>
  </sheetViews>
  <sheetFormatPr baseColWidth="10" defaultRowHeight="15"/>
  <sheetData>
    <row r="1" spans="1:1">
      <c r="A1" t="s">
        <v>1278</v>
      </c>
    </row>
    <row r="2" spans="1:1">
      <c r="A2" t="s">
        <v>1279</v>
      </c>
    </row>
    <row r="3" spans="1:1">
      <c r="A3" t="s">
        <v>1280</v>
      </c>
    </row>
    <row r="4" spans="1:1">
      <c r="A4" t="s">
        <v>1281</v>
      </c>
    </row>
    <row r="5" spans="1:1">
      <c r="A5" t="s">
        <v>1282</v>
      </c>
    </row>
    <row r="6" spans="1:1">
      <c r="A6" t="s">
        <v>1278</v>
      </c>
    </row>
    <row r="7" spans="1:1">
      <c r="A7" t="s">
        <v>1279</v>
      </c>
    </row>
  </sheetData>
  <phoneticPr fontId="3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F2692-1DE1-4473-B00B-83416540A3B9}">
  <dimension ref="A3:J25"/>
  <sheetViews>
    <sheetView topLeftCell="A5" zoomScaleNormal="100" workbookViewId="0">
      <selection activeCell="B26" sqref="B26"/>
    </sheetView>
  </sheetViews>
  <sheetFormatPr baseColWidth="10" defaultRowHeight="15"/>
  <sheetData>
    <row r="3" spans="1:10">
      <c r="A3" t="s">
        <v>1240</v>
      </c>
    </row>
    <row r="4" spans="1:10">
      <c r="A4" t="s">
        <v>1241</v>
      </c>
    </row>
    <row r="5" spans="1:10">
      <c r="A5" t="s">
        <v>1242</v>
      </c>
    </row>
    <row r="6" spans="1:10">
      <c r="A6" t="s">
        <v>1243</v>
      </c>
    </row>
    <row r="7" spans="1:10">
      <c r="A7" t="s">
        <v>1244</v>
      </c>
    </row>
    <row r="8" spans="1:10">
      <c r="A8" t="s">
        <v>1245</v>
      </c>
      <c r="B8" t="s">
        <v>1246</v>
      </c>
    </row>
    <row r="9" spans="1:10">
      <c r="A9" t="s">
        <v>1247</v>
      </c>
      <c r="B9" t="s">
        <v>1248</v>
      </c>
    </row>
    <row r="10" spans="1:10">
      <c r="A10" t="s">
        <v>1249</v>
      </c>
      <c r="B10" t="s">
        <v>1250</v>
      </c>
    </row>
    <row r="11" spans="1:10">
      <c r="A11" t="s">
        <v>1251</v>
      </c>
      <c r="B11" t="s">
        <v>1252</v>
      </c>
    </row>
    <row r="12" spans="1:10">
      <c r="A12" t="s">
        <v>1253</v>
      </c>
      <c r="B12" t="s">
        <v>1254</v>
      </c>
      <c r="E12" t="s">
        <v>1255</v>
      </c>
    </row>
    <row r="13" spans="1:10">
      <c r="A13" t="s">
        <v>1256</v>
      </c>
      <c r="B13" t="s">
        <v>1257</v>
      </c>
      <c r="C13" t="s">
        <v>1258</v>
      </c>
    </row>
    <row r="14" spans="1:10">
      <c r="A14" t="s">
        <v>1259</v>
      </c>
      <c r="B14" t="s">
        <v>1260</v>
      </c>
      <c r="J14">
        <v>1</v>
      </c>
    </row>
    <row r="15" spans="1:10">
      <c r="A15" t="s">
        <v>1261</v>
      </c>
      <c r="B15" t="s">
        <v>1262</v>
      </c>
      <c r="E15" t="s">
        <v>1263</v>
      </c>
      <c r="J15">
        <v>5</v>
      </c>
    </row>
    <row r="16" spans="1:10">
      <c r="A16" t="s">
        <v>1264</v>
      </c>
      <c r="C16" t="s">
        <v>1265</v>
      </c>
      <c r="E16" t="s">
        <v>1266</v>
      </c>
      <c r="J16">
        <v>9</v>
      </c>
    </row>
    <row r="17" spans="1:10">
      <c r="A17" t="s">
        <v>1267</v>
      </c>
      <c r="B17" t="s">
        <v>1268</v>
      </c>
      <c r="J17">
        <v>8</v>
      </c>
    </row>
    <row r="18" spans="1:10">
      <c r="A18" t="s">
        <v>1269</v>
      </c>
      <c r="B18" t="s">
        <v>1270</v>
      </c>
    </row>
    <row r="19" spans="1:10">
      <c r="A19" t="s">
        <v>1271</v>
      </c>
      <c r="B19" t="s">
        <v>1272</v>
      </c>
    </row>
    <row r="21" spans="1:10">
      <c r="A21" t="s">
        <v>1273</v>
      </c>
    </row>
    <row r="23" spans="1:10">
      <c r="A23" t="s">
        <v>1274</v>
      </c>
      <c r="B23" t="s">
        <v>1275</v>
      </c>
    </row>
    <row r="25" spans="1:10">
      <c r="A25" t="s">
        <v>1276</v>
      </c>
      <c r="B25" t="s">
        <v>1277</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94C549-EA89-477C-A633-7D65FC29BF81}">
  <dimension ref="A1:N30"/>
  <sheetViews>
    <sheetView tabSelected="1" zoomScale="95" zoomScaleNormal="95" workbookViewId="0">
      <selection activeCell="D4" sqref="D4"/>
    </sheetView>
  </sheetViews>
  <sheetFormatPr baseColWidth="10" defaultRowHeight="15"/>
  <cols>
    <col min="1" max="1" width="15.5703125" bestFit="1" customWidth="1"/>
    <col min="2" max="2" width="16.7109375" bestFit="1" customWidth="1"/>
    <col min="3" max="3" width="17.42578125" bestFit="1" customWidth="1"/>
    <col min="4" max="4" width="17.5703125" customWidth="1"/>
    <col min="6" max="6" width="17.7109375" style="177" customWidth="1"/>
    <col min="7" max="7" width="18.85546875" style="116" customWidth="1"/>
    <col min="8" max="8" width="16.5703125" style="116" customWidth="1"/>
    <col min="9" max="9" width="16.140625" style="116" bestFit="1" customWidth="1"/>
    <col min="10" max="10" width="17.85546875" style="177" customWidth="1"/>
    <col min="11" max="11" width="19.28515625" style="116" customWidth="1"/>
    <col min="12" max="12" width="13.28515625" style="116" customWidth="1"/>
    <col min="13" max="14" width="15" style="116" bestFit="1" customWidth="1"/>
  </cols>
  <sheetData>
    <row r="1" spans="1:4" ht="15.75">
      <c r="A1" s="286" t="s">
        <v>312</v>
      </c>
      <c r="B1" s="286"/>
      <c r="C1" s="286"/>
      <c r="D1" s="286"/>
    </row>
    <row r="2" spans="1:4" ht="15.75">
      <c r="A2" s="97" t="s">
        <v>316</v>
      </c>
      <c r="B2" s="203" t="s">
        <v>317</v>
      </c>
      <c r="C2" s="97" t="s">
        <v>318</v>
      </c>
      <c r="D2" s="204">
        <v>2850000</v>
      </c>
    </row>
    <row r="3" spans="1:4">
      <c r="A3" s="1" t="s">
        <v>321</v>
      </c>
      <c r="B3" s="1"/>
      <c r="C3" s="198"/>
      <c r="D3" s="205">
        <f>C3/$C$15</f>
        <v>0</v>
      </c>
    </row>
    <row r="4" spans="1:4">
      <c r="A4" s="1" t="s">
        <v>322</v>
      </c>
      <c r="B4" s="1">
        <v>30</v>
      </c>
      <c r="C4" s="198">
        <f>+$D$2/30*B4</f>
        <v>2850000</v>
      </c>
      <c r="D4" s="205">
        <f t="shared" ref="D4:D14" si="0">C4/$C$15</f>
        <v>0.2</v>
      </c>
    </row>
    <row r="5" spans="1:4">
      <c r="A5" s="1" t="s">
        <v>323</v>
      </c>
      <c r="B5" s="1">
        <v>30</v>
      </c>
      <c r="C5" s="198">
        <f t="shared" ref="C5:C13" si="1">+$D$2/30*B5</f>
        <v>2850000</v>
      </c>
      <c r="D5" s="205">
        <f t="shared" si="0"/>
        <v>0.2</v>
      </c>
    </row>
    <row r="6" spans="1:4">
      <c r="A6" s="1" t="s">
        <v>324</v>
      </c>
      <c r="B6" s="1">
        <v>30</v>
      </c>
      <c r="C6" s="198">
        <f t="shared" si="1"/>
        <v>2850000</v>
      </c>
      <c r="D6" s="205">
        <f t="shared" si="0"/>
        <v>0.2</v>
      </c>
    </row>
    <row r="7" spans="1:4">
      <c r="A7" s="1" t="s">
        <v>325</v>
      </c>
      <c r="B7" s="1">
        <v>30</v>
      </c>
      <c r="C7" s="198">
        <f t="shared" si="1"/>
        <v>2850000</v>
      </c>
      <c r="D7" s="205">
        <f t="shared" si="0"/>
        <v>0.2</v>
      </c>
    </row>
    <row r="8" spans="1:4">
      <c r="A8" s="1" t="s">
        <v>326</v>
      </c>
      <c r="B8" s="1">
        <v>30</v>
      </c>
      <c r="C8" s="198">
        <f>+D2/30*B8</f>
        <v>2850000</v>
      </c>
      <c r="D8" s="205">
        <f t="shared" si="0"/>
        <v>0.2</v>
      </c>
    </row>
    <row r="9" spans="1:4">
      <c r="A9" s="1" t="s">
        <v>327</v>
      </c>
      <c r="B9" s="1"/>
      <c r="C9" s="198">
        <f t="shared" si="1"/>
        <v>0</v>
      </c>
      <c r="D9" s="205">
        <f t="shared" si="0"/>
        <v>0</v>
      </c>
    </row>
    <row r="10" spans="1:4">
      <c r="A10" s="1" t="s">
        <v>328</v>
      </c>
      <c r="B10" s="1"/>
      <c r="C10" s="102">
        <f t="shared" si="1"/>
        <v>0</v>
      </c>
      <c r="D10" s="205">
        <f t="shared" si="0"/>
        <v>0</v>
      </c>
    </row>
    <row r="11" spans="1:4">
      <c r="A11" s="1" t="s">
        <v>329</v>
      </c>
      <c r="B11" s="1"/>
      <c r="C11" s="102">
        <f t="shared" si="1"/>
        <v>0</v>
      </c>
      <c r="D11" s="205">
        <f t="shared" si="0"/>
        <v>0</v>
      </c>
    </row>
    <row r="12" spans="1:4">
      <c r="A12" s="1" t="s">
        <v>330</v>
      </c>
      <c r="B12" s="1"/>
      <c r="C12" s="102">
        <f t="shared" si="1"/>
        <v>0</v>
      </c>
      <c r="D12" s="205">
        <f t="shared" si="0"/>
        <v>0</v>
      </c>
    </row>
    <row r="13" spans="1:4">
      <c r="A13" s="1" t="s">
        <v>331</v>
      </c>
      <c r="B13" s="1"/>
      <c r="C13" s="102">
        <f t="shared" si="1"/>
        <v>0</v>
      </c>
      <c r="D13" s="205">
        <f t="shared" si="0"/>
        <v>0</v>
      </c>
    </row>
    <row r="14" spans="1:4">
      <c r="A14" s="1" t="s">
        <v>332</v>
      </c>
      <c r="B14" s="1"/>
      <c r="C14" s="198">
        <f>+$D$2/30*B14</f>
        <v>0</v>
      </c>
      <c r="D14" s="205">
        <f t="shared" si="0"/>
        <v>0</v>
      </c>
    </row>
    <row r="15" spans="1:4">
      <c r="A15" s="1"/>
      <c r="B15" s="1">
        <f>SUM(B3:B14)</f>
        <v>150</v>
      </c>
      <c r="C15" s="199">
        <f>SUM(C3:C14)</f>
        <v>14250000</v>
      </c>
      <c r="D15" s="1"/>
    </row>
    <row r="17" spans="2:8">
      <c r="C17" s="114"/>
    </row>
    <row r="18" spans="2:8">
      <c r="B18" s="114"/>
      <c r="C18" s="114"/>
      <c r="D18" s="116"/>
    </row>
    <row r="19" spans="2:8">
      <c r="B19" s="109"/>
      <c r="C19" s="218"/>
      <c r="D19" s="114"/>
    </row>
    <row r="20" spans="2:8">
      <c r="B20" s="114"/>
      <c r="C20" s="218"/>
      <c r="D20" s="116"/>
    </row>
    <row r="21" spans="2:8">
      <c r="B21" s="198"/>
      <c r="C21" s="109"/>
      <c r="D21" s="114"/>
    </row>
    <row r="22" spans="2:8">
      <c r="B22" s="114"/>
      <c r="C22" s="114"/>
      <c r="D22" s="116"/>
    </row>
    <row r="23" spans="2:8">
      <c r="C23" s="198"/>
      <c r="D23" s="114"/>
    </row>
    <row r="24" spans="2:8">
      <c r="B24" s="116"/>
      <c r="C24" s="116"/>
      <c r="H24" s="206"/>
    </row>
    <row r="25" spans="2:8">
      <c r="B25" s="109"/>
      <c r="C25" s="114"/>
      <c r="H25" s="206"/>
    </row>
    <row r="26" spans="2:8">
      <c r="B26" s="109"/>
      <c r="C26" s="116"/>
      <c r="H26" s="206"/>
    </row>
    <row r="27" spans="2:8">
      <c r="C27" s="109"/>
      <c r="D27" s="116"/>
      <c r="H27" s="206"/>
    </row>
    <row r="28" spans="2:8">
      <c r="H28" s="206"/>
    </row>
    <row r="29" spans="2:8">
      <c r="H29" s="206"/>
    </row>
    <row r="30" spans="2:8">
      <c r="C30" s="109"/>
    </row>
  </sheetData>
  <mergeCells count="1">
    <mergeCell ref="A1:D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E6314-D63F-4958-94C3-6B794D6804B4}">
  <dimension ref="C2:M18"/>
  <sheetViews>
    <sheetView topLeftCell="C1" zoomScale="160" zoomScaleNormal="160" workbookViewId="0">
      <selection activeCell="H17" sqref="H17"/>
    </sheetView>
  </sheetViews>
  <sheetFormatPr baseColWidth="10" defaultRowHeight="15"/>
  <cols>
    <col min="1" max="2" width="11.42578125" style="116"/>
    <col min="3" max="3" width="11.42578125" style="177"/>
    <col min="4" max="4" width="16.42578125" style="116" customWidth="1"/>
    <col min="5" max="6" width="11.42578125" style="116"/>
    <col min="7" max="7" width="17.7109375" style="116" customWidth="1"/>
    <col min="8" max="8" width="18.28515625" style="116" bestFit="1" customWidth="1"/>
    <col min="9" max="9" width="19.28515625" style="208" customWidth="1"/>
    <col min="10" max="10" width="18.7109375" style="116" customWidth="1"/>
    <col min="11" max="11" width="11.42578125" style="116"/>
    <col min="12" max="12" width="15.5703125" style="116" bestFit="1" customWidth="1"/>
    <col min="13" max="13" width="16.28515625" style="116" bestFit="1" customWidth="1"/>
    <col min="14" max="16384" width="11.42578125" style="116"/>
  </cols>
  <sheetData>
    <row r="2" spans="3:13">
      <c r="H2" s="116">
        <v>26685000</v>
      </c>
    </row>
    <row r="3" spans="3:13">
      <c r="G3" s="116">
        <v>4739472</v>
      </c>
      <c r="H3" s="116">
        <f>+G3*100</f>
        <v>473947200</v>
      </c>
      <c r="I3" s="208">
        <f>+I6-J4</f>
        <v>17.76080944350759</v>
      </c>
    </row>
    <row r="4" spans="3:13">
      <c r="G4" s="116">
        <v>4784184</v>
      </c>
      <c r="H4" s="116">
        <f>+G4*100</f>
        <v>478418400</v>
      </c>
      <c r="I4" s="208">
        <f>+H4/H2</f>
        <v>17.928364249578415</v>
      </c>
      <c r="J4" s="116">
        <f>+I4+I5</f>
        <v>35.968431703204047</v>
      </c>
      <c r="K4" s="116">
        <f>+I6-J4</f>
        <v>17.76080944350759</v>
      </c>
    </row>
    <row r="5" spans="3:13">
      <c r="G5" s="116">
        <v>4813992</v>
      </c>
      <c r="H5" s="116">
        <f>+G5*100</f>
        <v>481399200</v>
      </c>
      <c r="I5" s="208">
        <f>+H5/H2</f>
        <v>18.040067453625632</v>
      </c>
    </row>
    <row r="6" spans="3:13">
      <c r="G6" s="116">
        <f>SUM(G3:G5)</f>
        <v>14337648</v>
      </c>
      <c r="H6" s="116">
        <f>+G6*100</f>
        <v>1433764800</v>
      </c>
      <c r="I6" s="208">
        <f>+H6/H2</f>
        <v>53.729241146711637</v>
      </c>
      <c r="J6" s="116">
        <f>+H2-G6</f>
        <v>12347352</v>
      </c>
    </row>
    <row r="7" spans="3:13" ht="18" customHeight="1">
      <c r="H7" s="116">
        <f>+H6/H2</f>
        <v>53.729241146711637</v>
      </c>
      <c r="I7" s="287" t="s">
        <v>1214</v>
      </c>
      <c r="J7" s="288"/>
    </row>
    <row r="8" spans="3:13" ht="18" customHeight="1">
      <c r="D8" s="116">
        <v>2786454</v>
      </c>
      <c r="G8" s="116">
        <v>2786454</v>
      </c>
      <c r="I8" s="209" t="s">
        <v>1166</v>
      </c>
      <c r="J8" s="102">
        <v>36657350</v>
      </c>
      <c r="L8" s="116">
        <v>30279466</v>
      </c>
    </row>
    <row r="9" spans="3:13" ht="18" customHeight="1">
      <c r="D9" s="116">
        <f>+D8*7</f>
        <v>19505178</v>
      </c>
      <c r="G9" s="116">
        <f>+G8*8</f>
        <v>22291632</v>
      </c>
      <c r="I9" s="209" t="s">
        <v>1167</v>
      </c>
      <c r="J9" s="102">
        <f>+J8-L8</f>
        <v>6377884</v>
      </c>
    </row>
    <row r="10" spans="3:13" ht="18" customHeight="1">
      <c r="D10" s="116">
        <v>3715272</v>
      </c>
      <c r="G10" s="116">
        <v>1578990</v>
      </c>
      <c r="I10" s="209" t="s">
        <v>1168</v>
      </c>
      <c r="J10" s="102">
        <f>+J8-J9</f>
        <v>30279466</v>
      </c>
      <c r="L10" s="116">
        <v>8392478</v>
      </c>
      <c r="M10" s="116">
        <v>159457072</v>
      </c>
    </row>
    <row r="11" spans="3:13" ht="18" customHeight="1">
      <c r="D11" s="116">
        <v>650173</v>
      </c>
      <c r="G11" s="116">
        <v>650173</v>
      </c>
      <c r="I11" s="209" t="s">
        <v>1169</v>
      </c>
      <c r="J11" s="102">
        <v>16718724</v>
      </c>
      <c r="L11" s="116">
        <v>4783712</v>
      </c>
      <c r="M11" s="116">
        <v>27107702</v>
      </c>
    </row>
    <row r="12" spans="3:13" ht="18" customHeight="1">
      <c r="I12" s="209" t="s">
        <v>1170</v>
      </c>
      <c r="J12" s="102">
        <v>185764</v>
      </c>
    </row>
    <row r="13" spans="3:13" ht="18" customHeight="1">
      <c r="F13" s="116" t="s">
        <v>621</v>
      </c>
      <c r="G13" s="116">
        <v>28143186</v>
      </c>
      <c r="I13" s="209" t="s">
        <v>1171</v>
      </c>
      <c r="J13" s="102">
        <f>+J10-J11-J12</f>
        <v>13374978</v>
      </c>
      <c r="L13" s="116">
        <f>14712500*0.2</f>
        <v>2942500</v>
      </c>
    </row>
    <row r="14" spans="3:13" ht="30">
      <c r="C14" s="177" t="s">
        <v>622</v>
      </c>
      <c r="D14" s="116">
        <v>23870623</v>
      </c>
      <c r="F14" s="116" t="s">
        <v>623</v>
      </c>
      <c r="G14" s="116">
        <f>+G13-G16</f>
        <v>3622391</v>
      </c>
      <c r="K14" s="116">
        <v>64600</v>
      </c>
      <c r="L14" s="116">
        <v>68000</v>
      </c>
      <c r="M14" s="116">
        <v>3400</v>
      </c>
    </row>
    <row r="15" spans="3:13" ht="30">
      <c r="C15" s="177" t="s">
        <v>1163</v>
      </c>
      <c r="D15" s="116">
        <v>31796536</v>
      </c>
      <c r="K15" s="116">
        <v>10982</v>
      </c>
      <c r="L15" s="116">
        <v>12920</v>
      </c>
      <c r="M15" s="116">
        <v>1938</v>
      </c>
    </row>
    <row r="16" spans="3:13" ht="30">
      <c r="C16" s="177" t="s">
        <v>1164</v>
      </c>
      <c r="D16" s="116">
        <f>+D15-D14</f>
        <v>7925913</v>
      </c>
      <c r="F16" s="116" t="s">
        <v>622</v>
      </c>
      <c r="G16" s="116">
        <v>24520795</v>
      </c>
      <c r="H16" s="116">
        <f>15490*0.2</f>
        <v>3098</v>
      </c>
      <c r="I16" s="208">
        <v>23382000</v>
      </c>
    </row>
    <row r="17" spans="9:9">
      <c r="I17" s="208">
        <f>+I16/2</f>
        <v>11691000</v>
      </c>
    </row>
    <row r="18" spans="9:9">
      <c r="I18" s="208">
        <f>+I17-7794000</f>
        <v>3897000</v>
      </c>
    </row>
  </sheetData>
  <mergeCells count="1">
    <mergeCell ref="I7:J7"/>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82F362-117E-4B40-AD49-864BD0F6CEF3}">
  <dimension ref="E5:L31"/>
  <sheetViews>
    <sheetView topLeftCell="A13" zoomScale="115" zoomScaleNormal="115" workbookViewId="0">
      <selection activeCell="J31" sqref="J31"/>
    </sheetView>
  </sheetViews>
  <sheetFormatPr baseColWidth="10" defaultRowHeight="15"/>
  <cols>
    <col min="6" max="6" width="15.42578125" customWidth="1"/>
    <col min="7" max="7" width="12" bestFit="1" customWidth="1"/>
    <col min="9" max="9" width="18.5703125" customWidth="1"/>
    <col min="10" max="10" width="20" customWidth="1"/>
    <col min="11" max="11" width="14.85546875" customWidth="1"/>
  </cols>
  <sheetData>
    <row r="5" spans="5:12" ht="30">
      <c r="E5" s="268" t="s">
        <v>1283</v>
      </c>
      <c r="F5" s="267">
        <v>28685000</v>
      </c>
    </row>
    <row r="7" spans="5:12" ht="30">
      <c r="E7" s="269" t="s">
        <v>1284</v>
      </c>
      <c r="F7" s="269" t="s">
        <v>467</v>
      </c>
      <c r="G7" s="268" t="s">
        <v>1291</v>
      </c>
      <c r="H7" s="269" t="s">
        <v>1285</v>
      </c>
      <c r="I7" s="269" t="s">
        <v>1286</v>
      </c>
      <c r="J7" s="269" t="s">
        <v>1287</v>
      </c>
      <c r="K7" s="269" t="s">
        <v>1288</v>
      </c>
      <c r="L7" s="268" t="s">
        <v>1292</v>
      </c>
    </row>
    <row r="8" spans="5:12" ht="54.75" customHeight="1">
      <c r="E8" s="165">
        <v>1</v>
      </c>
      <c r="F8" s="165" t="s">
        <v>461</v>
      </c>
      <c r="G8" s="165">
        <v>1</v>
      </c>
      <c r="H8" s="290" t="s">
        <v>1293</v>
      </c>
      <c r="I8" s="102">
        <v>4739472</v>
      </c>
      <c r="J8" s="270">
        <f>+F5-I8</f>
        <v>23945528</v>
      </c>
      <c r="K8" s="102">
        <v>4739472</v>
      </c>
      <c r="L8" s="270">
        <f>+K8-I8</f>
        <v>0</v>
      </c>
    </row>
    <row r="9" spans="5:12" ht="50.25" customHeight="1">
      <c r="E9" s="165">
        <v>2</v>
      </c>
      <c r="F9" s="165" t="s">
        <v>544</v>
      </c>
      <c r="G9" s="165">
        <v>2</v>
      </c>
      <c r="H9" s="290"/>
      <c r="I9" s="102">
        <v>4784184</v>
      </c>
      <c r="J9" s="270">
        <f>+J8-I9</f>
        <v>19161344</v>
      </c>
      <c r="K9" s="102">
        <v>4784184</v>
      </c>
      <c r="L9" s="270">
        <f t="shared" ref="L9:L10" si="0">+K9-I9</f>
        <v>0</v>
      </c>
    </row>
    <row r="10" spans="5:12" ht="60" customHeight="1">
      <c r="E10" s="165">
        <v>3</v>
      </c>
      <c r="F10" s="165" t="s">
        <v>545</v>
      </c>
      <c r="G10" s="165">
        <v>3</v>
      </c>
      <c r="H10" s="290"/>
      <c r="I10" s="102">
        <v>4813992</v>
      </c>
      <c r="J10" s="270">
        <f>+J9-I10</f>
        <v>14347352</v>
      </c>
      <c r="K10" s="102">
        <v>4813992</v>
      </c>
      <c r="L10" s="270">
        <f t="shared" si="0"/>
        <v>0</v>
      </c>
    </row>
    <row r="11" spans="5:12">
      <c r="E11" s="1"/>
      <c r="F11" s="1"/>
      <c r="G11" s="1"/>
      <c r="H11" s="1"/>
      <c r="I11" s="1"/>
      <c r="J11" s="1"/>
      <c r="K11" s="1"/>
      <c r="L11" s="1"/>
    </row>
    <row r="12" spans="5:12">
      <c r="E12" s="289" t="s">
        <v>311</v>
      </c>
      <c r="F12" s="289"/>
      <c r="G12" s="289"/>
      <c r="H12" s="289"/>
      <c r="I12" s="272">
        <f>+I10+I9+I8</f>
        <v>14337648</v>
      </c>
      <c r="J12" s="272">
        <v>14347352</v>
      </c>
      <c r="K12" s="1"/>
      <c r="L12" s="1"/>
    </row>
    <row r="13" spans="5:12">
      <c r="E13" s="289" t="s">
        <v>1289</v>
      </c>
      <c r="F13" s="289"/>
      <c r="G13" s="289"/>
      <c r="H13" s="289"/>
      <c r="I13" s="271">
        <v>0.5373</v>
      </c>
      <c r="J13" s="1"/>
      <c r="K13" s="1"/>
      <c r="L13" s="1"/>
    </row>
    <row r="14" spans="5:12">
      <c r="E14" s="289" t="s">
        <v>1290</v>
      </c>
      <c r="F14" s="289"/>
      <c r="G14" s="289"/>
      <c r="H14" s="289"/>
      <c r="I14" s="272">
        <f>+F5-I12</f>
        <v>14347352</v>
      </c>
      <c r="J14" s="1"/>
      <c r="K14" s="1"/>
      <c r="L14" s="1"/>
    </row>
    <row r="19" spans="6:12">
      <c r="F19" t="s">
        <v>461</v>
      </c>
      <c r="G19">
        <v>318</v>
      </c>
      <c r="J19">
        <f>2304/4</f>
        <v>576</v>
      </c>
    </row>
    <row r="20" spans="6:12">
      <c r="F20" t="s">
        <v>544</v>
      </c>
      <c r="G20">
        <v>321</v>
      </c>
      <c r="J20">
        <f>+J19/30</f>
        <v>19.2</v>
      </c>
    </row>
    <row r="21" spans="6:12">
      <c r="F21" t="s">
        <v>545</v>
      </c>
      <c r="G21">
        <v>323</v>
      </c>
      <c r="J21">
        <f>20*16</f>
        <v>320</v>
      </c>
    </row>
    <row r="22" spans="6:12">
      <c r="J22">
        <f>+J21*4</f>
        <v>1280</v>
      </c>
    </row>
    <row r="24" spans="6:12">
      <c r="J24">
        <f>28143186-92882</f>
        <v>28050304</v>
      </c>
    </row>
    <row r="25" spans="6:12">
      <c r="J25">
        <f>+J24+4148720</f>
        <v>32199024</v>
      </c>
      <c r="L25">
        <f>38886514+990739</f>
        <v>39877253</v>
      </c>
    </row>
    <row r="26" spans="6:12">
      <c r="J26">
        <f>+J25+990739</f>
        <v>33189763</v>
      </c>
    </row>
    <row r="27" spans="6:12">
      <c r="J27">
        <f>+J24+8049756</f>
        <v>36100060</v>
      </c>
    </row>
    <row r="28" spans="6:12">
      <c r="J28">
        <f>+J27+990739</f>
        <v>37090799</v>
      </c>
    </row>
    <row r="30" spans="6:12">
      <c r="J30">
        <f>39134198-39010356</f>
        <v>123842</v>
      </c>
    </row>
    <row r="31" spans="6:12">
      <c r="J31">
        <f>+J30*2</f>
        <v>247684</v>
      </c>
    </row>
  </sheetData>
  <mergeCells count="4">
    <mergeCell ref="E12:H12"/>
    <mergeCell ref="E13:H13"/>
    <mergeCell ref="E14:H14"/>
    <mergeCell ref="H8:H10"/>
  </mergeCells>
  <phoneticPr fontId="39" type="noConversion"/>
  <pageMargins left="0.7" right="0.7" top="0.75" bottom="0.75" header="0.3" footer="0.3"/>
  <pageSetup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8BFE4-286A-4202-88F1-73341B3DE712}">
  <sheetPr>
    <pageSetUpPr fitToPage="1"/>
  </sheetPr>
  <dimension ref="A1:U58"/>
  <sheetViews>
    <sheetView topLeftCell="A9" zoomScaleNormal="100" workbookViewId="0">
      <selection activeCell="F22" sqref="F22"/>
    </sheetView>
  </sheetViews>
  <sheetFormatPr baseColWidth="10" defaultColWidth="10.7109375" defaultRowHeight="15"/>
  <cols>
    <col min="1" max="1" width="15.5703125" bestFit="1" customWidth="1"/>
    <col min="2" max="2" width="16.7109375" bestFit="1" customWidth="1"/>
    <col min="3" max="3" width="17.42578125" bestFit="1" customWidth="1"/>
    <col min="4" max="4" width="17.5703125" customWidth="1"/>
    <col min="5" max="6" width="16" customWidth="1"/>
    <col min="7" max="7" width="21.28515625" customWidth="1"/>
    <col min="8" max="8" width="15.140625" bestFit="1" customWidth="1"/>
    <col min="9" max="9" width="12.28515625" customWidth="1"/>
    <col min="11" max="12" width="15.140625" bestFit="1" customWidth="1"/>
    <col min="13" max="13" width="13.85546875" bestFit="1" customWidth="1"/>
    <col min="15" max="16" width="14.140625" style="116" bestFit="1" customWidth="1"/>
    <col min="17" max="17" width="12.5703125" bestFit="1" customWidth="1"/>
    <col min="18" max="18" width="12" bestFit="1" customWidth="1"/>
    <col min="19" max="19" width="16.28515625" customWidth="1"/>
    <col min="21" max="21" width="13" bestFit="1" customWidth="1"/>
  </cols>
  <sheetData>
    <row r="1" spans="1:21" ht="15.75">
      <c r="A1" s="286" t="s">
        <v>312</v>
      </c>
      <c r="B1" s="286"/>
      <c r="C1" s="286"/>
      <c r="D1" s="286"/>
      <c r="E1" s="291" t="s">
        <v>313</v>
      </c>
      <c r="F1" s="292"/>
      <c r="G1" s="292"/>
      <c r="H1" s="293"/>
      <c r="J1" s="291" t="s">
        <v>314</v>
      </c>
      <c r="K1" s="292"/>
      <c r="L1" s="292"/>
      <c r="M1" s="97" t="s">
        <v>315</v>
      </c>
    </row>
    <row r="2" spans="1:21" ht="15.75">
      <c r="A2" s="97" t="s">
        <v>316</v>
      </c>
      <c r="B2" s="202" t="s">
        <v>317</v>
      </c>
      <c r="C2" s="97" t="s">
        <v>318</v>
      </c>
      <c r="D2" s="204">
        <v>3715272</v>
      </c>
      <c r="E2" s="97" t="s">
        <v>316</v>
      </c>
      <c r="F2" s="98" t="s">
        <v>317</v>
      </c>
      <c r="G2" s="97" t="s">
        <v>318</v>
      </c>
      <c r="H2" s="99">
        <v>2575000</v>
      </c>
      <c r="J2" s="97" t="s">
        <v>316</v>
      </c>
      <c r="K2" s="98" t="s">
        <v>319</v>
      </c>
      <c r="L2" s="100" t="s">
        <v>320</v>
      </c>
      <c r="M2" s="101">
        <v>28000</v>
      </c>
    </row>
    <row r="3" spans="1:21">
      <c r="A3" s="1" t="s">
        <v>321</v>
      </c>
      <c r="B3" s="1">
        <v>0</v>
      </c>
      <c r="C3" s="198">
        <f>+$D$2/30*B3</f>
        <v>0</v>
      </c>
      <c r="D3" s="205">
        <f>C3/$C$15</f>
        <v>0</v>
      </c>
      <c r="E3" s="1" t="s">
        <v>321</v>
      </c>
      <c r="F3" s="1">
        <v>13</v>
      </c>
      <c r="G3" s="102">
        <f>+$D$2/30*F3</f>
        <v>1609951.2</v>
      </c>
      <c r="H3" s="103">
        <v>5.5E-2</v>
      </c>
      <c r="J3" s="1" t="s">
        <v>321</v>
      </c>
      <c r="K3" s="1">
        <v>0</v>
      </c>
      <c r="L3" s="102">
        <f>+$M$2*K3</f>
        <v>0</v>
      </c>
    </row>
    <row r="4" spans="1:21">
      <c r="A4" s="1" t="s">
        <v>322</v>
      </c>
      <c r="B4" s="1">
        <v>0</v>
      </c>
      <c r="C4" s="198">
        <f>+$D$2/30*B4</f>
        <v>0</v>
      </c>
      <c r="D4" s="205">
        <f t="shared" ref="D4:D14" si="0">C4/$C$15</f>
        <v>0</v>
      </c>
      <c r="E4" s="1" t="s">
        <v>322</v>
      </c>
      <c r="F4" s="1">
        <v>30</v>
      </c>
      <c r="G4" s="102">
        <f>+$H$2/30*F4</f>
        <v>2575000</v>
      </c>
      <c r="H4" s="103">
        <v>8.6999999999999994E-2</v>
      </c>
      <c r="J4" s="1" t="s">
        <v>322</v>
      </c>
      <c r="K4" s="1">
        <v>0</v>
      </c>
      <c r="L4" s="102">
        <f t="shared" ref="L4:L14" si="1">+$M$2*K4</f>
        <v>0</v>
      </c>
    </row>
    <row r="5" spans="1:21">
      <c r="A5" s="1" t="s">
        <v>323</v>
      </c>
      <c r="B5" s="1">
        <v>0</v>
      </c>
      <c r="C5" s="198">
        <f t="shared" ref="C5:C13" si="2">+$D$2/30*B5</f>
        <v>0</v>
      </c>
      <c r="D5" s="205">
        <f t="shared" si="0"/>
        <v>0</v>
      </c>
      <c r="E5" s="1" t="s">
        <v>323</v>
      </c>
      <c r="F5" s="1">
        <v>30</v>
      </c>
      <c r="G5" s="102">
        <f t="shared" ref="G5:G13" si="3">+$H$2/30*F5</f>
        <v>2575000</v>
      </c>
      <c r="H5" s="103">
        <v>8.6999999999999994E-2</v>
      </c>
      <c r="J5" s="1" t="s">
        <v>323</v>
      </c>
      <c r="K5" s="1">
        <v>20</v>
      </c>
      <c r="L5" s="102">
        <f t="shared" si="1"/>
        <v>560000</v>
      </c>
      <c r="M5" s="104">
        <f t="shared" ref="M5:M13" si="4">L5/$L$15</f>
        <v>6.25E-2</v>
      </c>
      <c r="O5" s="116">
        <v>533952</v>
      </c>
      <c r="P5" s="116">
        <v>537600</v>
      </c>
      <c r="Q5" s="196"/>
      <c r="R5" s="109"/>
      <c r="S5" s="197">
        <v>537600</v>
      </c>
    </row>
    <row r="6" spans="1:21">
      <c r="A6" s="1" t="s">
        <v>324</v>
      </c>
      <c r="B6" s="1">
        <v>0</v>
      </c>
      <c r="C6" s="198">
        <f t="shared" si="2"/>
        <v>0</v>
      </c>
      <c r="D6" s="205">
        <f t="shared" si="0"/>
        <v>0</v>
      </c>
      <c r="E6" s="1" t="s">
        <v>324</v>
      </c>
      <c r="F6" s="1">
        <v>30</v>
      </c>
      <c r="G6" s="102">
        <f t="shared" si="3"/>
        <v>2575000</v>
      </c>
      <c r="H6" s="103">
        <v>8.6999999999999994E-2</v>
      </c>
      <c r="J6" s="1" t="s">
        <v>324</v>
      </c>
      <c r="K6" s="1">
        <v>40</v>
      </c>
      <c r="L6" s="102">
        <f t="shared" si="1"/>
        <v>1120000</v>
      </c>
      <c r="M6" s="104">
        <f t="shared" si="4"/>
        <v>0.125</v>
      </c>
      <c r="O6" s="116">
        <v>1154880</v>
      </c>
      <c r="P6" s="116">
        <v>1164800</v>
      </c>
      <c r="Q6" s="109"/>
      <c r="R6" s="109">
        <f>+P6-S6</f>
        <v>22400</v>
      </c>
      <c r="S6" s="197">
        <v>1142400</v>
      </c>
    </row>
    <row r="7" spans="1:21">
      <c r="A7" s="1" t="s">
        <v>325</v>
      </c>
      <c r="B7" s="1">
        <v>0</v>
      </c>
      <c r="C7" s="198">
        <f t="shared" si="2"/>
        <v>0</v>
      </c>
      <c r="D7" s="205">
        <f t="shared" si="0"/>
        <v>0</v>
      </c>
      <c r="E7" s="1" t="s">
        <v>325</v>
      </c>
      <c r="F7" s="1">
        <v>30</v>
      </c>
      <c r="G7" s="102">
        <f t="shared" si="3"/>
        <v>2575000</v>
      </c>
      <c r="H7" s="103">
        <v>8.6999999999999994E-2</v>
      </c>
      <c r="J7" s="1" t="s">
        <v>325</v>
      </c>
      <c r="K7" s="1">
        <v>38</v>
      </c>
      <c r="L7" s="102">
        <f t="shared" si="1"/>
        <v>1064000</v>
      </c>
      <c r="M7" s="104">
        <f t="shared" si="4"/>
        <v>0.11874999999999999</v>
      </c>
      <c r="O7" s="116">
        <v>1066176</v>
      </c>
      <c r="P7" s="116">
        <v>1075200</v>
      </c>
      <c r="Q7" s="109"/>
      <c r="R7" s="109">
        <f>+P7-S7</f>
        <v>11200</v>
      </c>
      <c r="S7" s="197">
        <v>1064000</v>
      </c>
    </row>
    <row r="8" spans="1:21">
      <c r="A8" s="1" t="s">
        <v>326</v>
      </c>
      <c r="B8" s="1">
        <v>0</v>
      </c>
      <c r="C8" s="198">
        <f>+D2/30*B8</f>
        <v>0</v>
      </c>
      <c r="D8" s="205">
        <f t="shared" si="0"/>
        <v>0</v>
      </c>
      <c r="E8" s="1" t="s">
        <v>326</v>
      </c>
      <c r="F8" s="1">
        <v>30</v>
      </c>
      <c r="G8" s="102">
        <f t="shared" si="3"/>
        <v>2575000</v>
      </c>
      <c r="H8" s="103">
        <v>8.6999999999999994E-2</v>
      </c>
      <c r="J8" s="1" t="s">
        <v>326</v>
      </c>
      <c r="K8" s="1">
        <v>38</v>
      </c>
      <c r="L8" s="102">
        <f t="shared" si="1"/>
        <v>1064000</v>
      </c>
      <c r="M8" s="104">
        <f t="shared" si="4"/>
        <v>0.11874999999999999</v>
      </c>
      <c r="O8" s="116">
        <v>1066176</v>
      </c>
      <c r="P8" s="116">
        <v>1075200</v>
      </c>
      <c r="Q8" s="109"/>
      <c r="R8" s="109">
        <f>SUM(R6:R7)</f>
        <v>33600</v>
      </c>
      <c r="S8" s="197">
        <v>1075200</v>
      </c>
    </row>
    <row r="9" spans="1:21">
      <c r="A9" s="1" t="s">
        <v>327</v>
      </c>
      <c r="B9" s="1">
        <v>0</v>
      </c>
      <c r="C9" s="198">
        <f t="shared" si="2"/>
        <v>0</v>
      </c>
      <c r="D9" s="205">
        <f t="shared" si="0"/>
        <v>0</v>
      </c>
      <c r="E9" s="1" t="s">
        <v>327</v>
      </c>
      <c r="F9" s="1">
        <v>30</v>
      </c>
      <c r="G9" s="102">
        <f t="shared" si="3"/>
        <v>2575000</v>
      </c>
      <c r="H9" s="103">
        <v>8.6999999999999994E-2</v>
      </c>
      <c r="J9" s="1" t="s">
        <v>327</v>
      </c>
      <c r="K9" s="1">
        <v>24</v>
      </c>
      <c r="L9" s="102">
        <f t="shared" si="1"/>
        <v>672000</v>
      </c>
      <c r="M9" s="104">
        <f t="shared" si="4"/>
        <v>7.4999999999999997E-2</v>
      </c>
      <c r="O9" s="116">
        <v>711360</v>
      </c>
      <c r="P9" s="116">
        <v>716800</v>
      </c>
      <c r="Q9" s="109"/>
      <c r="R9" s="109"/>
      <c r="S9" s="197">
        <v>672000</v>
      </c>
    </row>
    <row r="10" spans="1:21">
      <c r="A10" s="1" t="s">
        <v>328</v>
      </c>
      <c r="B10" s="1">
        <v>23</v>
      </c>
      <c r="C10" s="102">
        <f t="shared" si="2"/>
        <v>2848375.1999999997</v>
      </c>
      <c r="D10" s="205">
        <f t="shared" si="0"/>
        <v>0.17692307692307691</v>
      </c>
      <c r="E10" s="1" t="s">
        <v>328</v>
      </c>
      <c r="F10" s="1">
        <v>30</v>
      </c>
      <c r="G10" s="102">
        <f t="shared" si="3"/>
        <v>2575000</v>
      </c>
      <c r="H10" s="103">
        <v>8.6999999999999994E-2</v>
      </c>
      <c r="J10" s="1" t="s">
        <v>328</v>
      </c>
      <c r="K10" s="1">
        <v>32</v>
      </c>
      <c r="L10" s="102">
        <f t="shared" si="1"/>
        <v>896000</v>
      </c>
      <c r="M10" s="104">
        <f t="shared" si="4"/>
        <v>0.1</v>
      </c>
      <c r="O10" s="116">
        <v>888768</v>
      </c>
      <c r="P10" s="116">
        <v>896000</v>
      </c>
      <c r="R10" s="109"/>
      <c r="S10" s="197">
        <v>44800</v>
      </c>
      <c r="U10" s="109">
        <f>+S9+S10</f>
        <v>716800</v>
      </c>
    </row>
    <row r="11" spans="1:21">
      <c r="A11" s="1" t="s">
        <v>329</v>
      </c>
      <c r="B11" s="1">
        <v>30</v>
      </c>
      <c r="C11" s="102">
        <f t="shared" si="2"/>
        <v>3715272</v>
      </c>
      <c r="D11" s="205">
        <f t="shared" si="0"/>
        <v>0.23076923076923078</v>
      </c>
      <c r="E11" s="1" t="s">
        <v>329</v>
      </c>
      <c r="F11" s="1">
        <v>30</v>
      </c>
      <c r="G11" s="102">
        <f t="shared" si="3"/>
        <v>2575000</v>
      </c>
      <c r="H11" s="103">
        <v>8.6999999999999994E-2</v>
      </c>
      <c r="J11" s="1" t="s">
        <v>329</v>
      </c>
      <c r="K11" s="1">
        <v>48</v>
      </c>
      <c r="L11" s="102">
        <f t="shared" si="1"/>
        <v>1344000</v>
      </c>
      <c r="M11" s="104">
        <f t="shared" si="4"/>
        <v>0.15</v>
      </c>
      <c r="O11" s="116">
        <v>1332288</v>
      </c>
      <c r="P11" s="116">
        <v>1344000</v>
      </c>
      <c r="R11" s="109"/>
      <c r="S11" s="197">
        <v>896000</v>
      </c>
    </row>
    <row r="12" spans="1:21">
      <c r="A12" s="1" t="s">
        <v>330</v>
      </c>
      <c r="B12" s="1">
        <v>30</v>
      </c>
      <c r="C12" s="102">
        <f t="shared" si="2"/>
        <v>3715272</v>
      </c>
      <c r="D12" s="205">
        <f t="shared" si="0"/>
        <v>0.23076923076923078</v>
      </c>
      <c r="E12" s="1" t="s">
        <v>330</v>
      </c>
      <c r="F12" s="1">
        <v>30</v>
      </c>
      <c r="G12" s="102">
        <f t="shared" si="3"/>
        <v>2575000</v>
      </c>
      <c r="H12" s="103">
        <v>8.6999999999999994E-2</v>
      </c>
      <c r="J12" s="1" t="s">
        <v>330</v>
      </c>
      <c r="K12" s="1">
        <v>44</v>
      </c>
      <c r="L12" s="102">
        <f t="shared" si="1"/>
        <v>1232000</v>
      </c>
      <c r="M12" s="104">
        <f t="shared" si="4"/>
        <v>0.13750000000000001</v>
      </c>
      <c r="O12" s="116">
        <v>1243584</v>
      </c>
      <c r="P12" s="116">
        <v>1254400</v>
      </c>
      <c r="Q12" s="109"/>
      <c r="R12" s="109"/>
      <c r="S12" s="197">
        <v>1344000</v>
      </c>
    </row>
    <row r="13" spans="1:21">
      <c r="A13" s="1" t="s">
        <v>331</v>
      </c>
      <c r="B13" s="1">
        <v>30</v>
      </c>
      <c r="C13" s="102">
        <f t="shared" si="2"/>
        <v>3715272</v>
      </c>
      <c r="D13" s="205">
        <f t="shared" si="0"/>
        <v>0.23076923076923078</v>
      </c>
      <c r="E13" s="1" t="s">
        <v>331</v>
      </c>
      <c r="F13" s="1">
        <v>30</v>
      </c>
      <c r="G13" s="102">
        <f t="shared" si="3"/>
        <v>2575000</v>
      </c>
      <c r="H13" s="103">
        <v>8.6999999999999994E-2</v>
      </c>
      <c r="J13" s="1" t="s">
        <v>331</v>
      </c>
      <c r="K13" s="1">
        <v>36</v>
      </c>
      <c r="L13" s="102">
        <f t="shared" si="1"/>
        <v>1008000</v>
      </c>
      <c r="M13" s="104">
        <f t="shared" si="4"/>
        <v>0.1125</v>
      </c>
      <c r="O13" s="116">
        <v>888768</v>
      </c>
      <c r="P13" s="116">
        <v>896000</v>
      </c>
      <c r="Q13" s="196"/>
      <c r="R13" s="109"/>
      <c r="S13" s="197">
        <v>1254400</v>
      </c>
    </row>
    <row r="14" spans="1:21">
      <c r="A14" s="1" t="s">
        <v>332</v>
      </c>
      <c r="B14" s="1">
        <v>17</v>
      </c>
      <c r="C14" s="198">
        <f>+$D$2/30*B14</f>
        <v>2105320.7999999998</v>
      </c>
      <c r="D14" s="205">
        <f t="shared" si="0"/>
        <v>0.13076923076923075</v>
      </c>
      <c r="E14" s="1" t="s">
        <v>332</v>
      </c>
      <c r="F14" s="1">
        <v>22</v>
      </c>
      <c r="G14" s="102">
        <f>+$H$2/30*F14</f>
        <v>1888333.3333333333</v>
      </c>
      <c r="H14" s="103">
        <v>7.4999999999999997E-2</v>
      </c>
      <c r="J14" s="1" t="s">
        <v>332</v>
      </c>
      <c r="K14" s="1"/>
      <c r="L14" s="102">
        <f t="shared" si="1"/>
        <v>0</v>
      </c>
      <c r="M14" s="105"/>
      <c r="P14" s="116">
        <f>SUM(P5:P13)</f>
        <v>8960000</v>
      </c>
      <c r="Q14" s="196">
        <f>SUM(Q5:Q13)</f>
        <v>0</v>
      </c>
      <c r="R14" s="109"/>
      <c r="S14" s="197">
        <v>896000</v>
      </c>
    </row>
    <row r="15" spans="1:21">
      <c r="A15" s="1"/>
      <c r="B15" s="1">
        <f>SUM(B3:B14)</f>
        <v>130</v>
      </c>
      <c r="C15" s="199">
        <f>SUM(C3:C14)</f>
        <v>16099512</v>
      </c>
      <c r="D15" s="1"/>
      <c r="E15" s="1"/>
      <c r="F15" s="1">
        <f>SUM(F3:F14)</f>
        <v>335</v>
      </c>
      <c r="G15" s="107">
        <f>SUM(G3:G14)</f>
        <v>29248284.533333331</v>
      </c>
      <c r="H15" s="108"/>
      <c r="J15" s="1"/>
      <c r="K15" s="1"/>
      <c r="L15" s="107">
        <f>SUM(L3:L14)</f>
        <v>8960000</v>
      </c>
      <c r="M15" s="108"/>
      <c r="S15" s="115" t="s">
        <v>351</v>
      </c>
      <c r="T15" s="115"/>
    </row>
    <row r="16" spans="1:21">
      <c r="D16" s="103"/>
      <c r="F16" t="s">
        <v>346</v>
      </c>
      <c r="R16">
        <f>+R14/2</f>
        <v>0</v>
      </c>
      <c r="S16" s="115" t="s">
        <v>354</v>
      </c>
      <c r="T16" s="115"/>
    </row>
    <row r="17" spans="1:20">
      <c r="A17">
        <f>375*6000</f>
        <v>2250000</v>
      </c>
      <c r="B17" s="111">
        <f>28793358-C15</f>
        <v>12693846</v>
      </c>
      <c r="C17" s="106">
        <f>+C15*2</f>
        <v>32199024</v>
      </c>
      <c r="K17">
        <f>480/9</f>
        <v>53.333333333333336</v>
      </c>
      <c r="M17">
        <f>13440000/263</f>
        <v>51102.661596958176</v>
      </c>
      <c r="S17" s="115" t="s">
        <v>355</v>
      </c>
      <c r="T17" s="115"/>
    </row>
    <row r="18" spans="1:20" ht="15.75">
      <c r="A18" s="111">
        <f>2786454-B17</f>
        <v>-9907392</v>
      </c>
      <c r="B18" s="116">
        <f>+B17-C15</f>
        <v>-3405666</v>
      </c>
      <c r="C18" s="99">
        <f>37524247-C15</f>
        <v>21424735</v>
      </c>
      <c r="D18" s="200">
        <f>24706559/2</f>
        <v>12353279.5</v>
      </c>
      <c r="E18" s="294">
        <v>3715272</v>
      </c>
      <c r="F18" s="97" t="s">
        <v>333</v>
      </c>
      <c r="G18" s="264">
        <f>+E18*12.5%</f>
        <v>464409</v>
      </c>
      <c r="J18">
        <v>11775000</v>
      </c>
      <c r="K18">
        <f>480/30</f>
        <v>16</v>
      </c>
      <c r="L18">
        <f>100/3</f>
        <v>33.333333333333336</v>
      </c>
      <c r="M18">
        <f>+M17/M19</f>
        <v>1.8250950570342206</v>
      </c>
      <c r="S18" s="115" t="s">
        <v>352</v>
      </c>
      <c r="T18" s="115"/>
    </row>
    <row r="19" spans="1:20" ht="15.75">
      <c r="A19" s="109">
        <f>+A18+1114582</f>
        <v>-8792810</v>
      </c>
      <c r="B19" s="116">
        <f>28607594+557291-B18</f>
        <v>32570551</v>
      </c>
      <c r="C19" s="199">
        <f>SUM(C7:C18)</f>
        <v>85822783</v>
      </c>
      <c r="D19" s="110"/>
      <c r="E19" s="294"/>
      <c r="F19" s="97" t="s">
        <v>334</v>
      </c>
      <c r="G19" s="264">
        <f>+E18*16%</f>
        <v>594443.52000000002</v>
      </c>
      <c r="J19">
        <f>+J18+19350000</f>
        <v>31125000</v>
      </c>
      <c r="K19">
        <f>+K17/30</f>
        <v>1.7777777777777779</v>
      </c>
      <c r="M19">
        <f>13440000/480</f>
        <v>28000</v>
      </c>
      <c r="S19" s="115" t="s">
        <v>353</v>
      </c>
      <c r="T19" s="115"/>
    </row>
    <row r="20" spans="1:20" ht="15.75">
      <c r="A20" s="109">
        <f>+A19-18080990</f>
        <v>-26873800</v>
      </c>
      <c r="B20" s="199">
        <f>SUM(B8:B19)</f>
        <v>41858991</v>
      </c>
      <c r="C20" s="108">
        <f>+C15-27400131</f>
        <v>-11300619</v>
      </c>
      <c r="D20" s="179" t="s">
        <v>342</v>
      </c>
      <c r="E20" s="294"/>
      <c r="F20" s="262" t="s">
        <v>335</v>
      </c>
      <c r="G20" s="265">
        <f>+E18*E22%</f>
        <v>19393.719839999998</v>
      </c>
      <c r="H20" t="s">
        <v>336</v>
      </c>
      <c r="J20">
        <f>263/30</f>
        <v>8.7666666666666675</v>
      </c>
      <c r="K20">
        <f>64000000-51200000</f>
        <v>12800000</v>
      </c>
      <c r="L20">
        <f>+K19*19</f>
        <v>33.777777777777779</v>
      </c>
      <c r="M20">
        <f>480/263</f>
        <v>1.8250950570342206</v>
      </c>
    </row>
    <row r="21" spans="1:20" ht="15.75">
      <c r="B21" s="109">
        <f>+C15-28050304</f>
        <v>-11950792</v>
      </c>
      <c r="C21" s="199">
        <f>SUM(C9:C20)</f>
        <v>160344947</v>
      </c>
      <c r="D21" s="263">
        <v>2018011000764</v>
      </c>
      <c r="E21" s="1"/>
      <c r="F21" s="1"/>
      <c r="G21" s="266">
        <f>SUM(G18:G20)</f>
        <v>1078246.2398399999</v>
      </c>
      <c r="J21">
        <f>263/24</f>
        <v>10.958333333333334</v>
      </c>
      <c r="K21">
        <f>+K20-4000000</f>
        <v>8800000</v>
      </c>
      <c r="M21">
        <f>263/480</f>
        <v>0.54791666666666672</v>
      </c>
      <c r="N21">
        <f>+M22/480</f>
        <v>13.15</v>
      </c>
    </row>
    <row r="22" spans="1:20" ht="15.75">
      <c r="B22">
        <v>39381882</v>
      </c>
      <c r="C22" s="196">
        <f>+C13-3715272</f>
        <v>0</v>
      </c>
      <c r="D22" s="111"/>
      <c r="E22" s="262">
        <v>0.52200000000000002</v>
      </c>
      <c r="F22" s="262" t="s">
        <v>337</v>
      </c>
      <c r="G22" s="1"/>
      <c r="I22">
        <f>1300-377</f>
        <v>923</v>
      </c>
      <c r="K22">
        <f>+M22/24</f>
        <v>263</v>
      </c>
      <c r="L22">
        <f>+M22/480</f>
        <v>13.15</v>
      </c>
      <c r="M22">
        <f>263*24</f>
        <v>6312</v>
      </c>
    </row>
    <row r="23" spans="1:20" ht="15.75">
      <c r="B23">
        <v>40496464</v>
      </c>
      <c r="C23">
        <f>+B23-B22</f>
        <v>1114582</v>
      </c>
      <c r="D23" s="111"/>
      <c r="E23" s="262">
        <v>1.044</v>
      </c>
      <c r="F23" s="262" t="s">
        <v>338</v>
      </c>
      <c r="G23" s="199">
        <f>+E18*0.4</f>
        <v>1486108.8</v>
      </c>
      <c r="J23">
        <f>480/M22</f>
        <v>7.6045627376425853E-2</v>
      </c>
      <c r="M23">
        <f>263/30</f>
        <v>8.7666666666666675</v>
      </c>
    </row>
    <row r="24" spans="1:20" ht="45.75" customHeight="1">
      <c r="B24" s="295" t="s">
        <v>437</v>
      </c>
      <c r="C24" s="295"/>
      <c r="E24" s="262">
        <v>2.4359999999999999</v>
      </c>
      <c r="F24" s="262" t="s">
        <v>339</v>
      </c>
      <c r="G24" s="102">
        <f>+G23*12.5%</f>
        <v>185763.6</v>
      </c>
      <c r="H24" s="114">
        <f>+D2-G21</f>
        <v>2637025.7601600001</v>
      </c>
      <c r="K24" t="s">
        <v>473</v>
      </c>
      <c r="M24">
        <f>263/480</f>
        <v>0.54791666666666672</v>
      </c>
    </row>
    <row r="25" spans="1:20" ht="30">
      <c r="B25" s="154" t="s">
        <v>433</v>
      </c>
      <c r="C25" s="102">
        <f>2786454/30</f>
        <v>92881.8</v>
      </c>
      <c r="D25">
        <f>5400000/180000</f>
        <v>30</v>
      </c>
      <c r="E25" s="130" t="s">
        <v>340</v>
      </c>
      <c r="F25" s="119">
        <v>1000000</v>
      </c>
      <c r="G25" s="102">
        <f>+G23*16%</f>
        <v>237777.40800000002</v>
      </c>
      <c r="H25">
        <f>+G25-38143459</f>
        <v>-37905681.592</v>
      </c>
      <c r="J25" s="118">
        <f>3715272/30</f>
        <v>123842.4</v>
      </c>
    </row>
    <row r="26" spans="1:20" ht="30">
      <c r="B26" s="154" t="s">
        <v>434</v>
      </c>
      <c r="C26" s="102">
        <f>+C25*8</f>
        <v>743054.4</v>
      </c>
      <c r="D26" s="111">
        <f>+D22-16783333</f>
        <v>-16783333</v>
      </c>
      <c r="H26" s="114">
        <f>1362229-G21</f>
        <v>283982.76016000006</v>
      </c>
      <c r="J26" s="118">
        <f>+J25*6</f>
        <v>743054.39999999991</v>
      </c>
      <c r="K26" s="118">
        <f>26254588-J26</f>
        <v>25511533.600000001</v>
      </c>
    </row>
    <row r="27" spans="1:20" ht="30">
      <c r="B27" s="155" t="s">
        <v>435</v>
      </c>
      <c r="C27" s="102">
        <f>+C25*4</f>
        <v>371527.2</v>
      </c>
      <c r="D27" t="s">
        <v>341</v>
      </c>
      <c r="E27" s="113"/>
      <c r="F27" s="116">
        <f>+F25*50</f>
        <v>50000000</v>
      </c>
      <c r="H27">
        <f>34500-16700</f>
        <v>17800</v>
      </c>
    </row>
    <row r="28" spans="1:20">
      <c r="B28" s="130" t="s">
        <v>436</v>
      </c>
      <c r="C28" s="119">
        <f>SUM(C26:C27)</f>
        <v>1114581.6000000001</v>
      </c>
      <c r="D28">
        <f>1900000*2</f>
        <v>3800000</v>
      </c>
      <c r="E28" s="99">
        <f>+F25*200</f>
        <v>200000000</v>
      </c>
      <c r="F28">
        <f>+F25*0.2</f>
        <v>200000</v>
      </c>
      <c r="H28">
        <f>2021-1966</f>
        <v>55</v>
      </c>
    </row>
    <row r="29" spans="1:20">
      <c r="C29" s="99"/>
      <c r="D29">
        <f>+D28+316667</f>
        <v>4116667</v>
      </c>
      <c r="E29" s="99">
        <v>742630</v>
      </c>
    </row>
    <row r="30" spans="1:20">
      <c r="C30" s="99"/>
      <c r="D30">
        <v>20900000</v>
      </c>
      <c r="E30" s="99">
        <f>SUM(E28:E29)</f>
        <v>200742630</v>
      </c>
      <c r="H30" s="116">
        <f>2800000*6</f>
        <v>16800000</v>
      </c>
      <c r="K30" s="116"/>
    </row>
    <row r="31" spans="1:20">
      <c r="A31" t="s">
        <v>348</v>
      </c>
      <c r="C31" s="99"/>
      <c r="D31">
        <f>+D30-D29-316667</f>
        <v>16466666</v>
      </c>
      <c r="E31">
        <f>+D30-D29</f>
        <v>16783333</v>
      </c>
      <c r="K31">
        <f>38143459-11888871</f>
        <v>26254588</v>
      </c>
    </row>
    <row r="32" spans="1:20">
      <c r="A32" t="s">
        <v>349</v>
      </c>
      <c r="C32" s="99"/>
      <c r="E32">
        <f>+E31-316667</f>
        <v>16466666</v>
      </c>
      <c r="F32">
        <f>4181011*0.07</f>
        <v>292670.77</v>
      </c>
      <c r="I32" t="s">
        <v>347</v>
      </c>
      <c r="K32" s="118">
        <f>+K31-J26</f>
        <v>25511533.600000001</v>
      </c>
    </row>
    <row r="33" spans="1:10">
      <c r="A33" t="s">
        <v>350</v>
      </c>
      <c r="C33" s="99"/>
      <c r="F33">
        <f>+F32+4181011</f>
        <v>4473681.7699999996</v>
      </c>
      <c r="I33">
        <v>4562445</v>
      </c>
    </row>
    <row r="34" spans="1:10">
      <c r="C34" s="99"/>
    </row>
    <row r="35" spans="1:10">
      <c r="H35">
        <f>+F25*0.2</f>
        <v>200000</v>
      </c>
    </row>
    <row r="36" spans="1:10">
      <c r="H36">
        <v>4181011</v>
      </c>
    </row>
    <row r="37" spans="1:10">
      <c r="D37">
        <v>1000</v>
      </c>
      <c r="E37">
        <v>600</v>
      </c>
      <c r="H37">
        <f>+H36+H35</f>
        <v>4381011</v>
      </c>
    </row>
    <row r="38" spans="1:10">
      <c r="D38">
        <v>828</v>
      </c>
      <c r="E38">
        <f>+D38*E37</f>
        <v>496800</v>
      </c>
    </row>
    <row r="39" spans="1:10">
      <c r="D39">
        <f>+E38/D37</f>
        <v>496.8</v>
      </c>
      <c r="F39">
        <f>339+167</f>
        <v>506</v>
      </c>
    </row>
    <row r="40" spans="1:10" ht="24">
      <c r="B40" s="17" t="s">
        <v>406</v>
      </c>
    </row>
    <row r="41" spans="1:10" ht="24">
      <c r="C41" s="17" t="s">
        <v>410</v>
      </c>
    </row>
    <row r="42" spans="1:10" ht="36" customHeight="1">
      <c r="B42" s="17" t="s">
        <v>407</v>
      </c>
      <c r="D42" s="281" t="s">
        <v>412</v>
      </c>
      <c r="E42" s="281"/>
    </row>
    <row r="43" spans="1:10" ht="36" customHeight="1">
      <c r="C43" s="17" t="s">
        <v>411</v>
      </c>
      <c r="D43" s="14"/>
      <c r="E43" s="14"/>
      <c r="I43" s="281" t="s">
        <v>356</v>
      </c>
      <c r="J43" s="281"/>
    </row>
    <row r="44" spans="1:10" ht="36">
      <c r="B44" s="17" t="s">
        <v>408</v>
      </c>
      <c r="I44" s="14"/>
      <c r="J44" s="14"/>
    </row>
    <row r="45" spans="1:10" ht="36" customHeight="1">
      <c r="I45" s="281" t="s">
        <v>357</v>
      </c>
      <c r="J45" s="281"/>
    </row>
    <row r="46" spans="1:10" ht="36">
      <c r="B46" s="17" t="s">
        <v>409</v>
      </c>
      <c r="I46" s="14"/>
      <c r="J46" s="14"/>
    </row>
    <row r="47" spans="1:10" ht="36" customHeight="1">
      <c r="I47" s="281" t="s">
        <v>358</v>
      </c>
      <c r="J47" s="281"/>
    </row>
    <row r="48" spans="1:10">
      <c r="I48" s="14"/>
      <c r="J48" s="14"/>
    </row>
    <row r="49" spans="9:10" ht="36" customHeight="1">
      <c r="I49" s="281" t="s">
        <v>359</v>
      </c>
      <c r="J49" s="281"/>
    </row>
    <row r="50" spans="9:10">
      <c r="I50" s="14"/>
      <c r="J50" s="14"/>
    </row>
    <row r="51" spans="9:10" ht="36" customHeight="1">
      <c r="I51" s="281" t="s">
        <v>360</v>
      </c>
      <c r="J51" s="281"/>
    </row>
    <row r="52" spans="9:10">
      <c r="I52" s="14"/>
      <c r="J52" s="14"/>
    </row>
    <row r="53" spans="9:10" ht="36" customHeight="1">
      <c r="I53" s="281" t="s">
        <v>361</v>
      </c>
      <c r="J53" s="281"/>
    </row>
    <row r="54" spans="9:10">
      <c r="I54" s="14"/>
      <c r="J54" s="14"/>
    </row>
    <row r="55" spans="9:10" ht="36" customHeight="1">
      <c r="I55" s="281" t="s">
        <v>362</v>
      </c>
      <c r="J55" s="281"/>
    </row>
    <row r="56" spans="9:10">
      <c r="I56" s="14"/>
      <c r="J56" s="14"/>
    </row>
    <row r="57" spans="9:10" ht="36" customHeight="1">
      <c r="I57" s="281" t="s">
        <v>363</v>
      </c>
      <c r="J57" s="281"/>
    </row>
    <row r="58" spans="9:10">
      <c r="I58" s="14"/>
      <c r="J58" s="14"/>
    </row>
  </sheetData>
  <mergeCells count="14">
    <mergeCell ref="I55:J55"/>
    <mergeCell ref="I57:J57"/>
    <mergeCell ref="I45:J45"/>
    <mergeCell ref="I47:J47"/>
    <mergeCell ref="I49:J49"/>
    <mergeCell ref="I51:J51"/>
    <mergeCell ref="I53:J53"/>
    <mergeCell ref="A1:D1"/>
    <mergeCell ref="E1:H1"/>
    <mergeCell ref="J1:L1"/>
    <mergeCell ref="E18:E20"/>
    <mergeCell ref="I43:J43"/>
    <mergeCell ref="D42:E42"/>
    <mergeCell ref="B24:C24"/>
  </mergeCells>
  <pageMargins left="0.7" right="0.7" top="0.75" bottom="0.75" header="0.3" footer="0.3"/>
  <pageSetup paperSize="9" scale="63" fitToWidth="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3749D-2176-4969-999F-026EB4DDC833}">
  <dimension ref="B7:M29"/>
  <sheetViews>
    <sheetView topLeftCell="A9" zoomScaleNormal="100" zoomScaleSheetLayoutView="100" workbookViewId="0">
      <selection activeCell="A9" sqref="A9"/>
    </sheetView>
  </sheetViews>
  <sheetFormatPr baseColWidth="10" defaultColWidth="8.5703125" defaultRowHeight="11.25"/>
  <cols>
    <col min="1" max="1" width="8.5703125" style="59"/>
    <col min="2" max="2" width="4.85546875" style="63" customWidth="1"/>
    <col min="3" max="3" width="12.140625" style="59" customWidth="1"/>
    <col min="4" max="4" width="37" style="59" customWidth="1"/>
    <col min="5" max="5" width="9.42578125" style="62" customWidth="1"/>
    <col min="6" max="6" width="10.7109375" style="59" customWidth="1"/>
    <col min="7" max="7" width="11.85546875" style="59" customWidth="1"/>
    <col min="8" max="8" width="16.5703125" style="59" customWidth="1"/>
    <col min="9" max="9" width="17.140625" style="59" customWidth="1"/>
    <col min="10" max="10" width="16.85546875" style="59" customWidth="1"/>
    <col min="11" max="11" width="8.5703125" style="59"/>
    <col min="12" max="13" width="13.7109375" style="59" bestFit="1" customWidth="1"/>
    <col min="14" max="16384" width="8.5703125" style="59"/>
  </cols>
  <sheetData>
    <row r="7" spans="2:8">
      <c r="D7" s="60"/>
      <c r="E7" s="73"/>
      <c r="F7" s="296" t="s">
        <v>262</v>
      </c>
      <c r="G7" s="296"/>
      <c r="H7" s="296"/>
    </row>
    <row r="8" spans="2:8">
      <c r="B8" s="71"/>
      <c r="C8" s="61" t="s">
        <v>263</v>
      </c>
      <c r="D8" s="61" t="s">
        <v>264</v>
      </c>
      <c r="E8" s="64" t="s">
        <v>265</v>
      </c>
      <c r="F8" s="61" t="s">
        <v>266</v>
      </c>
      <c r="G8" s="61" t="s">
        <v>267</v>
      </c>
      <c r="H8" s="61" t="s">
        <v>268</v>
      </c>
    </row>
    <row r="9" spans="2:8" ht="150" customHeight="1">
      <c r="B9" s="297" t="s">
        <v>279</v>
      </c>
      <c r="C9" s="64">
        <v>1</v>
      </c>
      <c r="D9" s="117" t="s">
        <v>272</v>
      </c>
      <c r="E9" s="66" t="s">
        <v>269</v>
      </c>
      <c r="F9" s="66" t="s">
        <v>270</v>
      </c>
      <c r="G9" s="117" t="s">
        <v>271</v>
      </c>
      <c r="H9" s="65" t="s">
        <v>273</v>
      </c>
    </row>
    <row r="10" spans="2:8" ht="213" customHeight="1">
      <c r="B10" s="297"/>
      <c r="C10" s="64">
        <v>2</v>
      </c>
      <c r="D10" s="65" t="s">
        <v>275</v>
      </c>
      <c r="E10" s="66" t="s">
        <v>274</v>
      </c>
      <c r="F10" s="65" t="s">
        <v>276</v>
      </c>
      <c r="G10" s="65" t="s">
        <v>277</v>
      </c>
      <c r="H10" s="65" t="s">
        <v>278</v>
      </c>
    </row>
    <row r="11" spans="2:8" ht="200.25" customHeight="1">
      <c r="B11" s="297" t="s">
        <v>5</v>
      </c>
      <c r="C11" s="64">
        <v>3</v>
      </c>
      <c r="D11" s="68" t="s">
        <v>1</v>
      </c>
      <c r="E11" s="66" t="s">
        <v>280</v>
      </c>
      <c r="F11" s="65" t="s">
        <v>281</v>
      </c>
      <c r="G11" s="65" t="s">
        <v>282</v>
      </c>
      <c r="H11" s="65" t="s">
        <v>278</v>
      </c>
    </row>
    <row r="12" spans="2:8" ht="146.25" customHeight="1">
      <c r="B12" s="297"/>
      <c r="C12" s="61">
        <v>4</v>
      </c>
      <c r="D12" s="61" t="s">
        <v>0</v>
      </c>
      <c r="E12" s="66" t="s">
        <v>283</v>
      </c>
      <c r="F12" s="67" t="s">
        <v>284</v>
      </c>
      <c r="G12" s="65" t="s">
        <v>282</v>
      </c>
      <c r="H12" s="65" t="s">
        <v>278</v>
      </c>
    </row>
    <row r="13" spans="2:8" ht="249" customHeight="1">
      <c r="B13" s="297"/>
      <c r="C13" s="61">
        <v>5</v>
      </c>
      <c r="D13" s="61" t="s">
        <v>285</v>
      </c>
      <c r="E13" s="66" t="s">
        <v>286</v>
      </c>
      <c r="F13" s="67" t="s">
        <v>287</v>
      </c>
      <c r="G13" s="65" t="s">
        <v>282</v>
      </c>
      <c r="H13" s="65" t="s">
        <v>278</v>
      </c>
    </row>
    <row r="14" spans="2:8" ht="177.75" customHeight="1">
      <c r="B14" s="71"/>
      <c r="C14" s="61">
        <v>6</v>
      </c>
      <c r="D14" s="61" t="s">
        <v>3</v>
      </c>
      <c r="E14" s="66" t="s">
        <v>288</v>
      </c>
      <c r="F14" s="67" t="s">
        <v>289</v>
      </c>
      <c r="G14" s="67" t="s">
        <v>290</v>
      </c>
      <c r="H14" s="65" t="s">
        <v>278</v>
      </c>
    </row>
    <row r="15" spans="2:8" ht="150.75" customHeight="1">
      <c r="B15" s="71"/>
      <c r="C15" s="61">
        <v>7</v>
      </c>
      <c r="D15" s="61" t="s">
        <v>291</v>
      </c>
      <c r="E15" s="66" t="s">
        <v>292</v>
      </c>
      <c r="F15" s="67" t="s">
        <v>293</v>
      </c>
      <c r="G15" s="65" t="s">
        <v>282</v>
      </c>
      <c r="H15" s="65" t="s">
        <v>278</v>
      </c>
    </row>
    <row r="17" spans="2:13" ht="27.75" customHeight="1">
      <c r="B17" s="144"/>
      <c r="C17" s="145"/>
      <c r="D17" s="145"/>
      <c r="E17" s="302" t="s">
        <v>296</v>
      </c>
      <c r="F17" s="300" t="s">
        <v>297</v>
      </c>
      <c r="G17" s="301"/>
      <c r="H17" s="298" t="s">
        <v>300</v>
      </c>
      <c r="I17" s="298" t="s">
        <v>301</v>
      </c>
      <c r="J17" s="299" t="s">
        <v>303</v>
      </c>
    </row>
    <row r="18" spans="2:13" ht="30.75" customHeight="1">
      <c r="B18" s="146" t="s">
        <v>294</v>
      </c>
      <c r="C18" s="147" t="s">
        <v>264</v>
      </c>
      <c r="D18" s="148" t="s">
        <v>295</v>
      </c>
      <c r="E18" s="302"/>
      <c r="F18" s="149" t="s">
        <v>298</v>
      </c>
      <c r="G18" s="147" t="s">
        <v>299</v>
      </c>
      <c r="H18" s="298"/>
      <c r="I18" s="298"/>
      <c r="J18" s="299"/>
    </row>
    <row r="19" spans="2:13" ht="103.5" hidden="1" customHeight="1">
      <c r="B19" s="90">
        <v>1</v>
      </c>
      <c r="C19" s="91" t="s">
        <v>302</v>
      </c>
      <c r="D19" s="92" t="s">
        <v>269</v>
      </c>
      <c r="E19" s="93">
        <v>2</v>
      </c>
      <c r="F19" s="78">
        <v>44305</v>
      </c>
      <c r="G19" s="78">
        <v>44547</v>
      </c>
      <c r="H19" s="79">
        <v>3715272</v>
      </c>
      <c r="I19" s="77">
        <v>27740697</v>
      </c>
      <c r="J19" s="79">
        <f>+I19*2</f>
        <v>55481394</v>
      </c>
      <c r="K19" s="69"/>
    </row>
    <row r="20" spans="2:13" ht="183.75" customHeight="1">
      <c r="B20" s="138">
        <v>2</v>
      </c>
      <c r="C20" s="142" t="s">
        <v>403</v>
      </c>
      <c r="D20" s="150" t="s">
        <v>404</v>
      </c>
      <c r="E20" s="139">
        <v>1</v>
      </c>
      <c r="F20" s="140">
        <v>44398</v>
      </c>
      <c r="G20" s="140">
        <v>44547</v>
      </c>
      <c r="H20" s="141">
        <v>3715272</v>
      </c>
      <c r="I20" s="143">
        <v>18204832</v>
      </c>
      <c r="J20" s="143">
        <v>18204832</v>
      </c>
      <c r="K20" s="70"/>
      <c r="M20" s="96" t="s">
        <v>343</v>
      </c>
    </row>
    <row r="21" spans="2:13" ht="132.75" customHeight="1">
      <c r="B21" s="71">
        <v>3</v>
      </c>
      <c r="C21" s="74" t="s">
        <v>304</v>
      </c>
      <c r="D21" s="74" t="s">
        <v>280</v>
      </c>
      <c r="E21" s="64">
        <v>2</v>
      </c>
      <c r="F21" s="78">
        <v>44305</v>
      </c>
      <c r="G21" s="78">
        <v>44547</v>
      </c>
      <c r="H21" s="79">
        <v>3715272</v>
      </c>
      <c r="I21" s="77">
        <v>27740697</v>
      </c>
      <c r="J21" s="80">
        <f>+I21*2</f>
        <v>55481394</v>
      </c>
      <c r="M21" s="59">
        <f>1140131*7</f>
        <v>7980917</v>
      </c>
    </row>
    <row r="22" spans="2:13" ht="132" customHeight="1">
      <c r="B22" s="71">
        <v>4</v>
      </c>
      <c r="C22" s="3" t="s">
        <v>260</v>
      </c>
      <c r="D22" s="74" t="s">
        <v>283</v>
      </c>
      <c r="E22" s="64">
        <v>1</v>
      </c>
      <c r="F22" s="78">
        <v>44305</v>
      </c>
      <c r="G22" s="78">
        <v>44547</v>
      </c>
      <c r="H22" s="79">
        <v>3715272</v>
      </c>
      <c r="I22" s="77">
        <v>27740697</v>
      </c>
      <c r="J22" s="77">
        <v>27740697</v>
      </c>
      <c r="L22" s="17" t="s">
        <v>344</v>
      </c>
      <c r="M22" s="59" t="s">
        <v>345</v>
      </c>
    </row>
    <row r="23" spans="2:13" ht="123" customHeight="1">
      <c r="B23" s="71">
        <v>5</v>
      </c>
      <c r="C23" s="3" t="s">
        <v>305</v>
      </c>
      <c r="D23" s="74" t="s">
        <v>286</v>
      </c>
      <c r="E23" s="64">
        <v>1</v>
      </c>
      <c r="F23" s="78">
        <v>44305</v>
      </c>
      <c r="G23" s="78">
        <v>44547</v>
      </c>
      <c r="H23" s="79">
        <v>3715272</v>
      </c>
      <c r="I23" s="77">
        <v>27740697</v>
      </c>
      <c r="J23" s="77">
        <v>27740697</v>
      </c>
    </row>
    <row r="24" spans="2:13" ht="130.5" customHeight="1">
      <c r="B24" s="71">
        <v>6</v>
      </c>
      <c r="C24" s="3" t="s">
        <v>306</v>
      </c>
      <c r="D24" s="75" t="s">
        <v>288</v>
      </c>
      <c r="E24" s="64">
        <v>4</v>
      </c>
      <c r="F24" s="78">
        <v>44305</v>
      </c>
      <c r="G24" s="78">
        <v>44547</v>
      </c>
      <c r="H24" s="79">
        <v>3715272</v>
      </c>
      <c r="I24" s="77">
        <v>27740697</v>
      </c>
      <c r="J24" s="80">
        <f>+I24*E24</f>
        <v>110962788</v>
      </c>
    </row>
    <row r="25" spans="2:13" ht="153" customHeight="1">
      <c r="B25" s="71">
        <v>7</v>
      </c>
      <c r="C25" s="3" t="s">
        <v>291</v>
      </c>
      <c r="D25" s="76" t="s">
        <v>292</v>
      </c>
      <c r="E25" s="64">
        <v>1</v>
      </c>
      <c r="F25" s="78">
        <v>44305</v>
      </c>
      <c r="G25" s="78">
        <v>44547</v>
      </c>
      <c r="H25" s="79">
        <v>3715272</v>
      </c>
      <c r="I25" s="77">
        <v>27740697</v>
      </c>
      <c r="J25" s="77">
        <v>27740697</v>
      </c>
      <c r="L25" s="70">
        <f>6*J25</f>
        <v>166444182</v>
      </c>
    </row>
    <row r="26" spans="2:13" ht="155.25" customHeight="1">
      <c r="B26" s="82">
        <v>8</v>
      </c>
      <c r="C26" s="83" t="s">
        <v>307</v>
      </c>
      <c r="D26" s="84" t="s">
        <v>308</v>
      </c>
      <c r="E26" s="85">
        <v>1</v>
      </c>
      <c r="F26" s="86">
        <v>44305</v>
      </c>
      <c r="G26" s="86">
        <v>44547</v>
      </c>
      <c r="H26" s="87">
        <v>3715272</v>
      </c>
      <c r="I26" s="77">
        <v>27740697</v>
      </c>
      <c r="J26" s="77">
        <v>27740697</v>
      </c>
      <c r="L26" s="94">
        <f>+J26*4</f>
        <v>110962788</v>
      </c>
    </row>
    <row r="27" spans="2:13" ht="153" customHeight="1">
      <c r="B27" s="71">
        <v>9</v>
      </c>
      <c r="C27" s="74" t="s">
        <v>309</v>
      </c>
      <c r="D27" s="81" t="s">
        <v>310</v>
      </c>
      <c r="E27" s="64">
        <v>1</v>
      </c>
      <c r="F27" s="78">
        <v>44305</v>
      </c>
      <c r="G27" s="78">
        <v>44547</v>
      </c>
      <c r="H27" s="79">
        <v>3715272</v>
      </c>
      <c r="I27" s="89">
        <v>27740697</v>
      </c>
      <c r="J27" s="77">
        <v>27740697</v>
      </c>
      <c r="L27" s="94">
        <f>+J27*3</f>
        <v>83222091</v>
      </c>
    </row>
    <row r="28" spans="2:13">
      <c r="B28" s="72"/>
      <c r="C28" s="60"/>
      <c r="D28" s="60"/>
      <c r="E28" s="73"/>
      <c r="F28" s="60"/>
      <c r="G28" s="60"/>
      <c r="H28" s="60"/>
      <c r="I28" s="61" t="s">
        <v>311</v>
      </c>
      <c r="J28" s="88">
        <f>SUM(J19:J27)</f>
        <v>378833893</v>
      </c>
      <c r="L28" s="70">
        <f>+L27+J27</f>
        <v>110962788</v>
      </c>
      <c r="M28" s="70">
        <f>+L28+L26+L25</f>
        <v>388369758</v>
      </c>
    </row>
    <row r="29" spans="2:13">
      <c r="L29" s="94">
        <f>+J27*2</f>
        <v>55481394</v>
      </c>
    </row>
  </sheetData>
  <mergeCells count="8">
    <mergeCell ref="F7:H7"/>
    <mergeCell ref="B9:B10"/>
    <mergeCell ref="B11:B13"/>
    <mergeCell ref="I17:I18"/>
    <mergeCell ref="J17:J18"/>
    <mergeCell ref="H17:H18"/>
    <mergeCell ref="F17:G17"/>
    <mergeCell ref="E17:E18"/>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9EBC8-0713-48C3-BD8E-33920B174591}">
  <dimension ref="A1"/>
  <sheetViews>
    <sheetView topLeftCell="J15" workbookViewId="0">
      <selection activeCell="R32" sqref="R32"/>
    </sheetView>
  </sheetViews>
  <sheetFormatPr baseColWidth="10" defaultRowHeight="15"/>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C3BD0-BCBF-4A88-A9E7-B4B519E82E97}">
  <dimension ref="A1:J26"/>
  <sheetViews>
    <sheetView topLeftCell="F1" workbookViewId="0">
      <selection activeCell="C14" sqref="C14"/>
    </sheetView>
  </sheetViews>
  <sheetFormatPr baseColWidth="10" defaultRowHeight="15"/>
  <cols>
    <col min="1" max="1" width="9.7109375" bestFit="1" customWidth="1"/>
    <col min="2" max="2" width="30.42578125" bestFit="1" customWidth="1"/>
    <col min="3" max="10" width="41.5703125" bestFit="1" customWidth="1"/>
  </cols>
  <sheetData>
    <row r="1" spans="1:10">
      <c r="A1" t="s">
        <v>552</v>
      </c>
      <c r="B1" t="s">
        <v>553</v>
      </c>
      <c r="C1" t="s">
        <v>554</v>
      </c>
      <c r="D1" t="s">
        <v>555</v>
      </c>
      <c r="E1" t="s">
        <v>556</v>
      </c>
      <c r="F1" t="s">
        <v>557</v>
      </c>
      <c r="G1" t="s">
        <v>558</v>
      </c>
      <c r="H1" t="s">
        <v>559</v>
      </c>
      <c r="I1" t="s">
        <v>560</v>
      </c>
      <c r="J1" t="s">
        <v>561</v>
      </c>
    </row>
    <row r="2" spans="1:10">
      <c r="A2">
        <v>1930</v>
      </c>
      <c r="B2" s="207" t="s">
        <v>562</v>
      </c>
      <c r="C2" s="207" t="s">
        <v>562</v>
      </c>
      <c r="D2" s="207" t="s">
        <v>563</v>
      </c>
      <c r="E2" s="207" t="s">
        <v>564</v>
      </c>
      <c r="F2" s="207"/>
      <c r="G2" s="207" t="s">
        <v>565</v>
      </c>
      <c r="H2" s="207" t="s">
        <v>566</v>
      </c>
      <c r="I2" s="207" t="s">
        <v>567</v>
      </c>
      <c r="J2" s="207" t="s">
        <v>568</v>
      </c>
    </row>
    <row r="3" spans="1:10">
      <c r="A3">
        <v>1934</v>
      </c>
      <c r="B3" s="207" t="s">
        <v>569</v>
      </c>
      <c r="C3" s="207" t="s">
        <v>569</v>
      </c>
      <c r="D3" s="207" t="s">
        <v>570</v>
      </c>
      <c r="E3" s="207" t="s">
        <v>571</v>
      </c>
      <c r="F3" s="207"/>
      <c r="G3" s="207" t="s">
        <v>572</v>
      </c>
      <c r="H3" s="207" t="s">
        <v>573</v>
      </c>
      <c r="I3" s="207" t="s">
        <v>574</v>
      </c>
      <c r="J3" s="207" t="s">
        <v>575</v>
      </c>
    </row>
    <row r="4" spans="1:10">
      <c r="A4">
        <v>1938</v>
      </c>
      <c r="B4" s="207" t="s">
        <v>576</v>
      </c>
      <c r="C4" s="207" t="s">
        <v>569</v>
      </c>
      <c r="D4" s="207" t="s">
        <v>563</v>
      </c>
      <c r="E4" s="207" t="s">
        <v>577</v>
      </c>
      <c r="F4" s="207"/>
      <c r="G4" s="207" t="s">
        <v>578</v>
      </c>
      <c r="H4" s="207" t="s">
        <v>563</v>
      </c>
      <c r="I4" s="207" t="s">
        <v>579</v>
      </c>
      <c r="J4" s="207" t="s">
        <v>580</v>
      </c>
    </row>
    <row r="5" spans="1:10">
      <c r="A5">
        <v>1942</v>
      </c>
      <c r="B5" s="207" t="s">
        <v>581</v>
      </c>
      <c r="C5" s="207" t="s">
        <v>582</v>
      </c>
      <c r="D5" s="207" t="s">
        <v>582</v>
      </c>
      <c r="E5" s="207" t="s">
        <v>582</v>
      </c>
      <c r="F5" s="207" t="s">
        <v>582</v>
      </c>
      <c r="G5" s="207" t="s">
        <v>582</v>
      </c>
      <c r="H5" s="207" t="s">
        <v>582</v>
      </c>
      <c r="I5" s="207" t="s">
        <v>582</v>
      </c>
      <c r="J5" s="207" t="s">
        <v>582</v>
      </c>
    </row>
    <row r="6" spans="1:10">
      <c r="A6">
        <v>1946</v>
      </c>
      <c r="B6" s="207" t="s">
        <v>581</v>
      </c>
      <c r="C6" s="207" t="s">
        <v>582</v>
      </c>
      <c r="D6" s="207" t="s">
        <v>582</v>
      </c>
      <c r="E6" s="207" t="s">
        <v>582</v>
      </c>
      <c r="F6" s="207" t="s">
        <v>582</v>
      </c>
      <c r="G6" s="207" t="s">
        <v>582</v>
      </c>
      <c r="H6" s="207" t="s">
        <v>582</v>
      </c>
      <c r="I6" s="207" t="s">
        <v>582</v>
      </c>
      <c r="J6" s="207" t="s">
        <v>582</v>
      </c>
    </row>
    <row r="7" spans="1:10">
      <c r="A7">
        <v>1950</v>
      </c>
      <c r="B7" s="207" t="s">
        <v>578</v>
      </c>
      <c r="C7" s="207" t="s">
        <v>562</v>
      </c>
      <c r="D7" s="207" t="s">
        <v>570</v>
      </c>
      <c r="E7" s="207" t="s">
        <v>578</v>
      </c>
      <c r="F7" s="207"/>
      <c r="G7" s="207" t="s">
        <v>579</v>
      </c>
      <c r="H7" s="207" t="s">
        <v>583</v>
      </c>
      <c r="I7" s="207" t="s">
        <v>584</v>
      </c>
      <c r="J7" s="207" t="s">
        <v>568</v>
      </c>
    </row>
    <row r="8" spans="1:10">
      <c r="A8">
        <v>1954</v>
      </c>
      <c r="B8" s="207" t="s">
        <v>585</v>
      </c>
      <c r="C8" s="207" t="s">
        <v>586</v>
      </c>
      <c r="D8" s="207" t="s">
        <v>573</v>
      </c>
      <c r="E8" s="207" t="s">
        <v>577</v>
      </c>
      <c r="F8" s="207"/>
      <c r="G8" s="207" t="s">
        <v>574</v>
      </c>
      <c r="H8" s="207" t="s">
        <v>587</v>
      </c>
      <c r="I8" s="207" t="s">
        <v>562</v>
      </c>
      <c r="J8" s="207" t="s">
        <v>575</v>
      </c>
    </row>
    <row r="9" spans="1:10">
      <c r="A9">
        <v>1958</v>
      </c>
      <c r="B9" s="207" t="s">
        <v>579</v>
      </c>
      <c r="C9" s="207" t="s">
        <v>578</v>
      </c>
      <c r="D9" s="207" t="s">
        <v>588</v>
      </c>
      <c r="E9" s="207" t="s">
        <v>579</v>
      </c>
      <c r="F9" s="207"/>
      <c r="G9" s="207" t="s">
        <v>576</v>
      </c>
      <c r="H9" s="207" t="s">
        <v>589</v>
      </c>
      <c r="I9" s="207" t="s">
        <v>586</v>
      </c>
      <c r="J9" s="207" t="s">
        <v>575</v>
      </c>
    </row>
    <row r="10" spans="1:10">
      <c r="A10">
        <v>1962</v>
      </c>
      <c r="B10" s="207" t="s">
        <v>590</v>
      </c>
      <c r="C10" s="207" t="s">
        <v>578</v>
      </c>
      <c r="D10" s="207" t="s">
        <v>587</v>
      </c>
      <c r="E10" s="207" t="s">
        <v>571</v>
      </c>
      <c r="F10" s="207"/>
      <c r="G10" s="207" t="s">
        <v>590</v>
      </c>
      <c r="H10" s="207" t="s">
        <v>591</v>
      </c>
      <c r="I10" s="207" t="s">
        <v>567</v>
      </c>
      <c r="J10" s="207" t="s">
        <v>575</v>
      </c>
    </row>
    <row r="11" spans="1:10">
      <c r="A11">
        <v>1966</v>
      </c>
      <c r="B11" s="207" t="s">
        <v>592</v>
      </c>
      <c r="C11" s="207" t="s">
        <v>592</v>
      </c>
      <c r="D11" s="207" t="s">
        <v>593</v>
      </c>
      <c r="E11" s="207" t="s">
        <v>586</v>
      </c>
      <c r="F11" s="207"/>
      <c r="G11" s="207" t="s">
        <v>594</v>
      </c>
      <c r="H11" s="207" t="s">
        <v>595</v>
      </c>
      <c r="I11" s="207" t="s">
        <v>596</v>
      </c>
      <c r="J11" s="207" t="s">
        <v>575</v>
      </c>
    </row>
    <row r="12" spans="1:10">
      <c r="A12">
        <v>1970</v>
      </c>
      <c r="B12" s="207" t="s">
        <v>597</v>
      </c>
      <c r="C12" s="207" t="s">
        <v>578</v>
      </c>
      <c r="D12" s="207" t="s">
        <v>598</v>
      </c>
      <c r="E12" s="207" t="s">
        <v>569</v>
      </c>
      <c r="F12" s="207"/>
      <c r="G12" s="207" t="s">
        <v>586</v>
      </c>
      <c r="H12" s="207" t="s">
        <v>591</v>
      </c>
      <c r="I12" s="207" t="s">
        <v>562</v>
      </c>
      <c r="J12" s="207" t="s">
        <v>575</v>
      </c>
    </row>
    <row r="13" spans="1:10">
      <c r="A13">
        <v>1974</v>
      </c>
      <c r="B13" s="207" t="s">
        <v>586</v>
      </c>
      <c r="C13" s="207" t="s">
        <v>586</v>
      </c>
      <c r="D13" s="207" t="s">
        <v>595</v>
      </c>
      <c r="E13" s="207" t="s">
        <v>599</v>
      </c>
      <c r="F13" s="207"/>
      <c r="G13" s="207" t="s">
        <v>600</v>
      </c>
      <c r="H13" s="207" t="s">
        <v>591</v>
      </c>
      <c r="I13" s="207" t="s">
        <v>578</v>
      </c>
      <c r="J13" s="207" t="s">
        <v>575</v>
      </c>
    </row>
    <row r="14" spans="1:10">
      <c r="A14">
        <v>1978</v>
      </c>
      <c r="B14" s="207" t="s">
        <v>564</v>
      </c>
      <c r="C14" s="207" t="s">
        <v>564</v>
      </c>
      <c r="D14" s="207" t="s">
        <v>583</v>
      </c>
      <c r="E14" s="207" t="s">
        <v>599</v>
      </c>
      <c r="F14" s="207"/>
      <c r="G14" s="207" t="s">
        <v>578</v>
      </c>
      <c r="H14" s="207" t="s">
        <v>595</v>
      </c>
      <c r="I14" s="207" t="s">
        <v>569</v>
      </c>
      <c r="J14" s="207" t="s">
        <v>575</v>
      </c>
    </row>
    <row r="15" spans="1:10">
      <c r="A15">
        <v>1982</v>
      </c>
      <c r="B15" s="207" t="s">
        <v>584</v>
      </c>
      <c r="C15" s="207" t="s">
        <v>569</v>
      </c>
      <c r="D15" s="207" t="s">
        <v>587</v>
      </c>
      <c r="E15" s="207" t="s">
        <v>586</v>
      </c>
      <c r="F15" s="207"/>
      <c r="G15" s="207" t="s">
        <v>600</v>
      </c>
      <c r="H15" s="207" t="s">
        <v>573</v>
      </c>
      <c r="I15" s="207" t="s">
        <v>576</v>
      </c>
      <c r="J15" s="207" t="s">
        <v>601</v>
      </c>
    </row>
    <row r="16" spans="1:10">
      <c r="A16">
        <v>1986</v>
      </c>
      <c r="B16" s="207" t="s">
        <v>597</v>
      </c>
      <c r="C16" s="207" t="s">
        <v>564</v>
      </c>
      <c r="D16" s="207" t="s">
        <v>573</v>
      </c>
      <c r="E16" s="207" t="s">
        <v>586</v>
      </c>
      <c r="F16" s="207"/>
      <c r="G16" s="207" t="s">
        <v>576</v>
      </c>
      <c r="H16" s="207" t="s">
        <v>593</v>
      </c>
      <c r="I16" s="207" t="s">
        <v>602</v>
      </c>
      <c r="J16" s="207" t="s">
        <v>601</v>
      </c>
    </row>
    <row r="17" spans="1:10">
      <c r="A17">
        <v>1990</v>
      </c>
      <c r="B17" s="207" t="s">
        <v>569</v>
      </c>
      <c r="C17" s="207" t="s">
        <v>586</v>
      </c>
      <c r="D17" s="207" t="s">
        <v>591</v>
      </c>
      <c r="E17" s="207" t="s">
        <v>564</v>
      </c>
      <c r="F17" s="207"/>
      <c r="G17" s="207" t="s">
        <v>569</v>
      </c>
      <c r="H17" s="207" t="s">
        <v>595</v>
      </c>
      <c r="I17" s="207" t="s">
        <v>592</v>
      </c>
      <c r="J17" s="207" t="s">
        <v>601</v>
      </c>
    </row>
    <row r="18" spans="1:10">
      <c r="A18">
        <v>1994</v>
      </c>
      <c r="B18" s="207" t="s">
        <v>565</v>
      </c>
      <c r="C18" s="207" t="s">
        <v>578</v>
      </c>
      <c r="D18" s="207" t="s">
        <v>603</v>
      </c>
      <c r="E18" s="207" t="s">
        <v>569</v>
      </c>
      <c r="F18" s="207"/>
      <c r="G18" s="207" t="s">
        <v>579</v>
      </c>
      <c r="H18" s="207" t="s">
        <v>604</v>
      </c>
      <c r="I18" s="207" t="s">
        <v>605</v>
      </c>
      <c r="J18" s="207" t="s">
        <v>601</v>
      </c>
    </row>
    <row r="19" spans="1:10">
      <c r="A19">
        <v>1998</v>
      </c>
      <c r="B19" s="207" t="s">
        <v>576</v>
      </c>
      <c r="C19" s="207" t="s">
        <v>576</v>
      </c>
      <c r="D19" s="207" t="s">
        <v>606</v>
      </c>
      <c r="E19" s="207" t="s">
        <v>578</v>
      </c>
      <c r="F19" s="207"/>
      <c r="G19" s="207" t="s">
        <v>607</v>
      </c>
      <c r="H19" s="207" t="s">
        <v>595</v>
      </c>
      <c r="I19" s="207" t="s">
        <v>599</v>
      </c>
      <c r="J19" s="207" t="s">
        <v>608</v>
      </c>
    </row>
    <row r="20" spans="1:10">
      <c r="A20">
        <v>2002</v>
      </c>
      <c r="B20" s="207" t="s">
        <v>609</v>
      </c>
      <c r="C20" s="207" t="s">
        <v>578</v>
      </c>
      <c r="D20" s="207" t="s">
        <v>610</v>
      </c>
      <c r="E20" s="207" t="s">
        <v>572</v>
      </c>
      <c r="F20" s="207"/>
      <c r="G20" s="207" t="s">
        <v>611</v>
      </c>
      <c r="H20" s="207" t="s">
        <v>573</v>
      </c>
      <c r="I20" s="207" t="s">
        <v>612</v>
      </c>
      <c r="J20" s="207" t="s">
        <v>608</v>
      </c>
    </row>
    <row r="21" spans="1:10">
      <c r="A21">
        <v>2006</v>
      </c>
      <c r="B21" s="207" t="s">
        <v>572</v>
      </c>
      <c r="C21" s="207" t="s">
        <v>569</v>
      </c>
      <c r="D21" s="207" t="s">
        <v>613</v>
      </c>
      <c r="E21" s="207" t="s">
        <v>576</v>
      </c>
      <c r="F21" s="207"/>
      <c r="G21" s="207" t="s">
        <v>572</v>
      </c>
      <c r="H21" s="207" t="s">
        <v>587</v>
      </c>
      <c r="I21" s="207" t="s">
        <v>594</v>
      </c>
      <c r="J21" s="207" t="s">
        <v>608</v>
      </c>
    </row>
    <row r="22" spans="1:10">
      <c r="A22">
        <v>2010</v>
      </c>
      <c r="B22" s="207" t="s">
        <v>614</v>
      </c>
      <c r="C22" s="207" t="s">
        <v>584</v>
      </c>
      <c r="D22" s="207" t="s">
        <v>615</v>
      </c>
      <c r="E22" s="207" t="s">
        <v>599</v>
      </c>
      <c r="F22" s="207"/>
      <c r="G22" s="207" t="s">
        <v>572</v>
      </c>
      <c r="H22" s="207" t="s">
        <v>573</v>
      </c>
      <c r="I22" s="207" t="s">
        <v>562</v>
      </c>
      <c r="J22" s="207" t="s">
        <v>608</v>
      </c>
    </row>
    <row r="23" spans="1:10">
      <c r="A23">
        <v>2014</v>
      </c>
      <c r="B23" s="207" t="s">
        <v>578</v>
      </c>
      <c r="C23" s="207" t="s">
        <v>572</v>
      </c>
      <c r="D23" s="207" t="s">
        <v>615</v>
      </c>
      <c r="E23" s="207" t="s">
        <v>564</v>
      </c>
      <c r="F23" s="207"/>
      <c r="G23" s="207" t="s">
        <v>599</v>
      </c>
      <c r="H23" s="207" t="s">
        <v>606</v>
      </c>
      <c r="I23" s="207" t="s">
        <v>578</v>
      </c>
      <c r="J23" s="207" t="s">
        <v>608</v>
      </c>
    </row>
    <row r="24" spans="1:10">
      <c r="A24">
        <v>2018</v>
      </c>
      <c r="B24" s="207" t="s">
        <v>616</v>
      </c>
      <c r="C24" s="207" t="s">
        <v>576</v>
      </c>
      <c r="D24" s="207" t="s">
        <v>563</v>
      </c>
      <c r="E24" s="207" t="s">
        <v>607</v>
      </c>
      <c r="F24" s="207"/>
      <c r="G24" s="207" t="s">
        <v>602</v>
      </c>
      <c r="H24" s="207" t="s">
        <v>610</v>
      </c>
      <c r="I24" s="207" t="s">
        <v>592</v>
      </c>
      <c r="J24" s="207" t="s">
        <v>608</v>
      </c>
    </row>
    <row r="25" spans="1:10">
      <c r="A25">
        <v>2022</v>
      </c>
      <c r="B25" s="207" t="s">
        <v>617</v>
      </c>
      <c r="C25" s="207" t="s">
        <v>618</v>
      </c>
      <c r="D25" s="207" t="s">
        <v>618</v>
      </c>
      <c r="E25" s="207" t="s">
        <v>618</v>
      </c>
      <c r="F25" s="207" t="s">
        <v>618</v>
      </c>
      <c r="G25" s="207" t="s">
        <v>618</v>
      </c>
      <c r="H25" s="207" t="s">
        <v>618</v>
      </c>
      <c r="I25" s="207" t="s">
        <v>618</v>
      </c>
      <c r="J25" s="207" t="s">
        <v>608</v>
      </c>
    </row>
    <row r="26" spans="1:10">
      <c r="A26">
        <v>2026</v>
      </c>
      <c r="B26" s="207" t="s">
        <v>619</v>
      </c>
      <c r="C26" s="207" t="s">
        <v>618</v>
      </c>
      <c r="D26" s="207" t="s">
        <v>618</v>
      </c>
      <c r="E26" s="207" t="s">
        <v>618</v>
      </c>
      <c r="F26" s="207" t="s">
        <v>618</v>
      </c>
      <c r="G26" s="207" t="s">
        <v>618</v>
      </c>
      <c r="H26" s="207" t="s">
        <v>618</v>
      </c>
      <c r="I26" s="207" t="s">
        <v>618</v>
      </c>
      <c r="J26" s="207" t="s">
        <v>620</v>
      </c>
    </row>
  </sheetData>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9D8DD-E8AB-481E-A5CB-8E64CCBB9481}">
  <dimension ref="A1:F9"/>
  <sheetViews>
    <sheetView workbookViewId="0">
      <selection activeCell="A2" sqref="A2"/>
    </sheetView>
  </sheetViews>
  <sheetFormatPr baseColWidth="10" defaultRowHeight="15"/>
  <cols>
    <col min="1" max="6" width="33.42578125" bestFit="1" customWidth="1"/>
  </cols>
  <sheetData>
    <row r="1" spans="1:6">
      <c r="A1" t="s">
        <v>653</v>
      </c>
      <c r="B1" t="s">
        <v>654</v>
      </c>
      <c r="C1" t="s">
        <v>655</v>
      </c>
      <c r="D1" t="s">
        <v>656</v>
      </c>
      <c r="E1" t="s">
        <v>657</v>
      </c>
      <c r="F1" t="s">
        <v>658</v>
      </c>
    </row>
    <row r="2" spans="1:6">
      <c r="A2" s="207"/>
      <c r="B2" s="207" t="s">
        <v>659</v>
      </c>
      <c r="C2" s="207" t="s">
        <v>660</v>
      </c>
      <c r="D2" s="207" t="s">
        <v>661</v>
      </c>
      <c r="E2" s="207" t="s">
        <v>662</v>
      </c>
      <c r="F2" s="207" t="s">
        <v>663</v>
      </c>
    </row>
    <row r="3" spans="1:6">
      <c r="A3" s="207"/>
      <c r="B3" s="207" t="s">
        <v>664</v>
      </c>
      <c r="C3" s="207" t="s">
        <v>665</v>
      </c>
      <c r="D3" s="207" t="s">
        <v>666</v>
      </c>
      <c r="E3" s="207" t="s">
        <v>667</v>
      </c>
      <c r="F3" s="207" t="s">
        <v>668</v>
      </c>
    </row>
    <row r="4" spans="1:6">
      <c r="A4" s="207" t="s">
        <v>669</v>
      </c>
      <c r="B4" s="207" t="s">
        <v>669</v>
      </c>
      <c r="C4" s="207" t="s">
        <v>669</v>
      </c>
      <c r="D4" s="207" t="s">
        <v>669</v>
      </c>
      <c r="E4" s="207" t="s">
        <v>670</v>
      </c>
      <c r="F4" s="207" t="s">
        <v>671</v>
      </c>
    </row>
    <row r="5" spans="1:6">
      <c r="A5" s="207" t="s">
        <v>672</v>
      </c>
      <c r="B5" s="207" t="s">
        <v>672</v>
      </c>
      <c r="C5" s="207" t="s">
        <v>672</v>
      </c>
      <c r="D5" s="207" t="s">
        <v>672</v>
      </c>
      <c r="E5" s="207" t="s">
        <v>673</v>
      </c>
      <c r="F5" s="207" t="s">
        <v>673</v>
      </c>
    </row>
    <row r="6" spans="1:6">
      <c r="A6" s="207" t="s">
        <v>674</v>
      </c>
      <c r="B6" s="207" t="s">
        <v>674</v>
      </c>
      <c r="C6" s="207" t="s">
        <v>674</v>
      </c>
      <c r="D6" s="207" t="s">
        <v>674</v>
      </c>
      <c r="E6" s="207" t="s">
        <v>675</v>
      </c>
      <c r="F6" s="207" t="s">
        <v>675</v>
      </c>
    </row>
    <row r="7" spans="1:6">
      <c r="A7" s="207" t="s">
        <v>676</v>
      </c>
      <c r="B7" s="207" t="s">
        <v>676</v>
      </c>
      <c r="C7" s="207" t="s">
        <v>676</v>
      </c>
      <c r="D7" s="207" t="s">
        <v>676</v>
      </c>
      <c r="E7" s="207" t="s">
        <v>677</v>
      </c>
      <c r="F7" s="207" t="s">
        <v>677</v>
      </c>
    </row>
    <row r="8" spans="1:6">
      <c r="A8" s="207" t="s">
        <v>678</v>
      </c>
      <c r="B8" s="207" t="s">
        <v>678</v>
      </c>
      <c r="C8" s="207" t="s">
        <v>678</v>
      </c>
      <c r="D8" s="207" t="s">
        <v>678</v>
      </c>
      <c r="E8" s="207" t="s">
        <v>679</v>
      </c>
      <c r="F8" s="207" t="s">
        <v>680</v>
      </c>
    </row>
    <row r="9" spans="1:6">
      <c r="A9" s="207" t="s">
        <v>681</v>
      </c>
      <c r="B9" s="207" t="s">
        <v>681</v>
      </c>
      <c r="C9" s="207" t="s">
        <v>681</v>
      </c>
      <c r="D9" s="207" t="s">
        <v>681</v>
      </c>
      <c r="E9" s="207" t="s">
        <v>681</v>
      </c>
      <c r="F9" s="207" t="s">
        <v>681</v>
      </c>
    </row>
  </sheetData>
  <pageMargins left="0.7" right="0.7" top="0.75" bottom="0.75" header="0.3" footer="0.3"/>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87DD0-D3BB-4DAF-B755-D561D24D2C35}">
  <dimension ref="A1:D5"/>
  <sheetViews>
    <sheetView workbookViewId="0"/>
  </sheetViews>
  <sheetFormatPr baseColWidth="10" defaultRowHeight="15"/>
  <cols>
    <col min="1" max="1" width="33.140625" bestFit="1" customWidth="1"/>
    <col min="2" max="2" width="81.140625" bestFit="1" customWidth="1"/>
    <col min="3" max="3" width="39.85546875" bestFit="1" customWidth="1"/>
    <col min="4" max="4" width="27.42578125" bestFit="1" customWidth="1"/>
  </cols>
  <sheetData>
    <row r="1" spans="1:4">
      <c r="A1" t="s">
        <v>1096</v>
      </c>
      <c r="B1" t="s">
        <v>1097</v>
      </c>
      <c r="C1" t="s">
        <v>1098</v>
      </c>
      <c r="D1" t="s">
        <v>655</v>
      </c>
    </row>
    <row r="2" spans="1:4">
      <c r="A2" s="207" t="s">
        <v>666</v>
      </c>
      <c r="B2" s="207" t="s">
        <v>1157</v>
      </c>
      <c r="C2" s="207" t="s">
        <v>1100</v>
      </c>
      <c r="D2" s="207" t="s">
        <v>665</v>
      </c>
    </row>
    <row r="3" spans="1:4">
      <c r="A3" s="207" t="s">
        <v>661</v>
      </c>
      <c r="B3" s="207" t="s">
        <v>1158</v>
      </c>
      <c r="C3" s="207" t="s">
        <v>1118</v>
      </c>
      <c r="D3" s="207" t="s">
        <v>660</v>
      </c>
    </row>
    <row r="4" spans="1:4">
      <c r="A4" s="207" t="s">
        <v>1159</v>
      </c>
      <c r="B4" s="207" t="s">
        <v>1160</v>
      </c>
      <c r="C4" s="207"/>
      <c r="D4" s="207"/>
    </row>
    <row r="5" spans="1:4">
      <c r="A5" s="207" t="s">
        <v>1161</v>
      </c>
      <c r="B5" s="207" t="s">
        <v>1162</v>
      </c>
      <c r="C5" s="207"/>
      <c r="D5" s="207"/>
    </row>
  </sheetData>
  <pageMargins left="0.7" right="0.7" top="0.75" bottom="0.75" header="0.3" footer="0.3"/>
  <tableParts count="1">
    <tablePart r:id="rId1"/>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F6A89-90D3-4B00-A182-3D3F46FCE8BF}">
  <dimension ref="A1:F15"/>
  <sheetViews>
    <sheetView workbookViewId="0"/>
  </sheetViews>
  <sheetFormatPr baseColWidth="10" defaultRowHeight="15"/>
  <cols>
    <col min="1" max="6" width="33.42578125" bestFit="1" customWidth="1"/>
  </cols>
  <sheetData>
    <row r="1" spans="1:6">
      <c r="A1" t="s">
        <v>653</v>
      </c>
      <c r="B1" t="s">
        <v>654</v>
      </c>
      <c r="C1" t="s">
        <v>655</v>
      </c>
      <c r="D1" t="s">
        <v>656</v>
      </c>
      <c r="E1" t="s">
        <v>657</v>
      </c>
      <c r="F1" t="s">
        <v>658</v>
      </c>
    </row>
    <row r="2" spans="1:6">
      <c r="A2" s="207"/>
      <c r="B2" s="207" t="s">
        <v>659</v>
      </c>
      <c r="C2" s="207" t="s">
        <v>660</v>
      </c>
      <c r="D2" s="207" t="s">
        <v>1119</v>
      </c>
      <c r="E2" s="207" t="s">
        <v>1120</v>
      </c>
      <c r="F2" s="207" t="s">
        <v>1121</v>
      </c>
    </row>
    <row r="3" spans="1:6">
      <c r="A3" s="207"/>
      <c r="B3" s="207" t="s">
        <v>664</v>
      </c>
      <c r="C3" s="207" t="s">
        <v>665</v>
      </c>
      <c r="D3" s="207" t="s">
        <v>666</v>
      </c>
      <c r="E3" s="207" t="s">
        <v>1122</v>
      </c>
      <c r="F3" s="207" t="s">
        <v>1123</v>
      </c>
    </row>
    <row r="4" spans="1:6">
      <c r="A4" s="207"/>
      <c r="B4" s="207" t="s">
        <v>1124</v>
      </c>
      <c r="C4" s="207" t="s">
        <v>1108</v>
      </c>
      <c r="D4" s="207" t="s">
        <v>1125</v>
      </c>
      <c r="E4" s="207" t="s">
        <v>1126</v>
      </c>
      <c r="F4" s="207" t="s">
        <v>1127</v>
      </c>
    </row>
    <row r="5" spans="1:6">
      <c r="A5" s="207"/>
      <c r="B5" s="207" t="s">
        <v>1128</v>
      </c>
      <c r="C5" s="207" t="s">
        <v>1112</v>
      </c>
      <c r="D5" s="207" t="s">
        <v>1129</v>
      </c>
      <c r="E5" s="207" t="s">
        <v>1130</v>
      </c>
      <c r="F5" s="207" t="s">
        <v>1131</v>
      </c>
    </row>
    <row r="6" spans="1:6">
      <c r="A6" s="207"/>
      <c r="B6" s="207" t="s">
        <v>1132</v>
      </c>
      <c r="C6" s="207" t="s">
        <v>1104</v>
      </c>
      <c r="D6" s="207" t="s">
        <v>1102</v>
      </c>
      <c r="E6" s="207" t="s">
        <v>1133</v>
      </c>
      <c r="F6" s="207" t="s">
        <v>1134</v>
      </c>
    </row>
    <row r="7" spans="1:6">
      <c r="A7" s="207"/>
      <c r="B7" s="207" t="s">
        <v>1135</v>
      </c>
      <c r="C7" s="207" t="s">
        <v>1136</v>
      </c>
      <c r="D7" s="207" t="s">
        <v>1114</v>
      </c>
      <c r="E7" s="207" t="s">
        <v>1137</v>
      </c>
      <c r="F7" s="207" t="s">
        <v>1138</v>
      </c>
    </row>
    <row r="8" spans="1:6">
      <c r="A8" s="207"/>
      <c r="B8" s="207" t="s">
        <v>1139</v>
      </c>
      <c r="C8" s="207" t="s">
        <v>1140</v>
      </c>
      <c r="D8" s="207" t="s">
        <v>1141</v>
      </c>
      <c r="E8" s="207" t="s">
        <v>1142</v>
      </c>
      <c r="F8" s="207" t="s">
        <v>1143</v>
      </c>
    </row>
    <row r="9" spans="1:6">
      <c r="A9" s="207"/>
      <c r="B9" s="207" t="s">
        <v>1144</v>
      </c>
      <c r="C9" s="207" t="s">
        <v>1145</v>
      </c>
      <c r="D9" s="207" t="s">
        <v>1146</v>
      </c>
      <c r="E9" s="207" t="s">
        <v>1147</v>
      </c>
      <c r="F9" s="207" t="s">
        <v>1148</v>
      </c>
    </row>
    <row r="10" spans="1:6">
      <c r="A10" s="207" t="s">
        <v>669</v>
      </c>
      <c r="B10" s="207" t="s">
        <v>669</v>
      </c>
      <c r="C10" s="207" t="s">
        <v>669</v>
      </c>
      <c r="D10" s="207" t="s">
        <v>669</v>
      </c>
      <c r="E10" s="207" t="s">
        <v>1149</v>
      </c>
      <c r="F10" s="207" t="s">
        <v>1150</v>
      </c>
    </row>
    <row r="11" spans="1:6">
      <c r="A11" s="207" t="s">
        <v>672</v>
      </c>
      <c r="B11" s="207" t="s">
        <v>672</v>
      </c>
      <c r="C11" s="207" t="s">
        <v>672</v>
      </c>
      <c r="D11" s="207" t="s">
        <v>672</v>
      </c>
      <c r="E11" s="207" t="s">
        <v>1151</v>
      </c>
      <c r="F11" s="207" t="s">
        <v>1151</v>
      </c>
    </row>
    <row r="12" spans="1:6">
      <c r="A12" s="207" t="s">
        <v>674</v>
      </c>
      <c r="B12" s="207" t="s">
        <v>674</v>
      </c>
      <c r="C12" s="207" t="s">
        <v>674</v>
      </c>
      <c r="D12" s="207" t="s">
        <v>674</v>
      </c>
      <c r="E12" s="207" t="s">
        <v>1152</v>
      </c>
      <c r="F12" s="207" t="s">
        <v>1152</v>
      </c>
    </row>
    <row r="13" spans="1:6">
      <c r="A13" s="207" t="s">
        <v>676</v>
      </c>
      <c r="B13" s="207" t="s">
        <v>676</v>
      </c>
      <c r="C13" s="207" t="s">
        <v>676</v>
      </c>
      <c r="D13" s="207" t="s">
        <v>676</v>
      </c>
      <c r="E13" s="207" t="s">
        <v>1153</v>
      </c>
      <c r="F13" s="207" t="s">
        <v>1153</v>
      </c>
    </row>
    <row r="14" spans="1:6">
      <c r="A14" s="207" t="s">
        <v>1154</v>
      </c>
      <c r="B14" s="207" t="s">
        <v>1154</v>
      </c>
      <c r="C14" s="207" t="s">
        <v>1154</v>
      </c>
      <c r="D14" s="207" t="s">
        <v>1154</v>
      </c>
      <c r="E14" s="207" t="s">
        <v>679</v>
      </c>
      <c r="F14" s="207" t="s">
        <v>1155</v>
      </c>
    </row>
    <row r="15" spans="1:6">
      <c r="A15" s="207" t="s">
        <v>1156</v>
      </c>
      <c r="B15" s="207" t="s">
        <v>1156</v>
      </c>
      <c r="C15" s="207" t="s">
        <v>1156</v>
      </c>
      <c r="D15" s="207" t="s">
        <v>1156</v>
      </c>
      <c r="E15" s="207" t="s">
        <v>1156</v>
      </c>
      <c r="F15" s="207" t="s">
        <v>1156</v>
      </c>
    </row>
  </sheetData>
  <pageMargins left="0.7" right="0.7" top="0.75" bottom="0.75" header="0.3" footer="0.3"/>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29221-6CFF-4D37-B941-C2651E7591EC}">
  <dimension ref="A1:D7"/>
  <sheetViews>
    <sheetView workbookViewId="0"/>
  </sheetViews>
  <sheetFormatPr baseColWidth="10" defaultRowHeight="15"/>
  <cols>
    <col min="1" max="1" width="33.140625" bestFit="1" customWidth="1"/>
    <col min="2" max="2" width="81.140625" bestFit="1" customWidth="1"/>
    <col min="3" max="3" width="39.85546875" bestFit="1" customWidth="1"/>
    <col min="4" max="4" width="27.42578125" bestFit="1" customWidth="1"/>
  </cols>
  <sheetData>
    <row r="1" spans="1:4">
      <c r="A1" t="s">
        <v>1096</v>
      </c>
      <c r="B1" t="s">
        <v>1097</v>
      </c>
      <c r="C1" t="s">
        <v>1098</v>
      </c>
      <c r="D1" t="s">
        <v>655</v>
      </c>
    </row>
    <row r="2" spans="1:4">
      <c r="A2" s="207" t="s">
        <v>666</v>
      </c>
      <c r="B2" s="207" t="s">
        <v>1099</v>
      </c>
      <c r="C2" s="207" t="s">
        <v>1100</v>
      </c>
      <c r="D2" s="207" t="s">
        <v>665</v>
      </c>
    </row>
    <row r="3" spans="1:4">
      <c r="A3" s="207" t="s">
        <v>1101</v>
      </c>
      <c r="B3" s="207" t="s">
        <v>1102</v>
      </c>
      <c r="C3" s="207" t="s">
        <v>1103</v>
      </c>
      <c r="D3" s="207" t="s">
        <v>1104</v>
      </c>
    </row>
    <row r="4" spans="1:4">
      <c r="A4" s="207" t="s">
        <v>1105</v>
      </c>
      <c r="B4" s="207" t="s">
        <v>1106</v>
      </c>
      <c r="C4" s="207" t="s">
        <v>1107</v>
      </c>
      <c r="D4" s="207" t="s">
        <v>1108</v>
      </c>
    </row>
    <row r="5" spans="1:4">
      <c r="A5" s="207" t="s">
        <v>1109</v>
      </c>
      <c r="B5" s="207" t="s">
        <v>1110</v>
      </c>
      <c r="C5" s="207" t="s">
        <v>1111</v>
      </c>
      <c r="D5" s="207" t="s">
        <v>1112</v>
      </c>
    </row>
    <row r="6" spans="1:4">
      <c r="A6" s="207" t="s">
        <v>1113</v>
      </c>
      <c r="B6" s="207" t="s">
        <v>1114</v>
      </c>
      <c r="C6" s="207" t="s">
        <v>1115</v>
      </c>
      <c r="D6" s="207" t="s">
        <v>1116</v>
      </c>
    </row>
    <row r="7" spans="1:4">
      <c r="A7" s="207" t="s">
        <v>661</v>
      </c>
      <c r="B7" s="207" t="s">
        <v>1117</v>
      </c>
      <c r="C7" s="207" t="s">
        <v>1118</v>
      </c>
      <c r="D7" s="207" t="s">
        <v>660</v>
      </c>
    </row>
  </sheetData>
  <pageMargins left="0.7" right="0.7" top="0.75" bottom="0.75" header="0.3" footer="0.3"/>
  <tableParts count="1">
    <tablePart r:id="rId1"/>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BFEE10-32D5-443C-82A9-AD9FDFCF107F}">
  <dimension ref="A3:CA5"/>
  <sheetViews>
    <sheetView workbookViewId="0">
      <selection activeCell="J17" sqref="J17"/>
    </sheetView>
  </sheetViews>
  <sheetFormatPr baseColWidth="10" defaultRowHeight="15"/>
  <cols>
    <col min="1" max="1" width="22.42578125" bestFit="1" customWidth="1"/>
    <col min="2" max="2" width="13.7109375" bestFit="1" customWidth="1"/>
    <col min="3" max="3" width="9.28515625" bestFit="1" customWidth="1"/>
    <col min="4" max="4" width="12.28515625" bestFit="1" customWidth="1"/>
    <col min="5" max="5" width="9.28515625" bestFit="1" customWidth="1"/>
    <col min="6" max="6" width="12.28515625" bestFit="1" customWidth="1"/>
    <col min="7" max="7" width="9.28515625" bestFit="1" customWidth="1"/>
    <col min="8" max="8" width="12.28515625" bestFit="1" customWidth="1"/>
    <col min="9" max="9" width="8.28515625" bestFit="1" customWidth="1"/>
    <col min="10" max="10" width="11.28515625" bestFit="1" customWidth="1"/>
    <col min="11" max="11" width="9.28515625" bestFit="1" customWidth="1"/>
    <col min="12" max="12" width="12.28515625" bestFit="1" customWidth="1"/>
    <col min="13" max="13" width="8.28515625" bestFit="1" customWidth="1"/>
    <col min="14" max="14" width="11.28515625" bestFit="1" customWidth="1"/>
    <col min="15" max="15" width="9.28515625" bestFit="1" customWidth="1"/>
    <col min="16" max="16" width="12.28515625" bestFit="1" customWidth="1"/>
    <col min="17" max="17" width="9.28515625" bestFit="1" customWidth="1"/>
    <col min="18" max="18" width="12.28515625" bestFit="1" customWidth="1"/>
    <col min="19" max="19" width="9.28515625" bestFit="1" customWidth="1"/>
    <col min="20" max="20" width="12.28515625" bestFit="1" customWidth="1"/>
    <col min="21" max="21" width="9.28515625" bestFit="1" customWidth="1"/>
    <col min="22" max="22" width="12.28515625" bestFit="1" customWidth="1"/>
    <col min="23" max="23" width="10.7109375" bestFit="1" customWidth="1"/>
    <col min="24" max="24" width="13.7109375" bestFit="1" customWidth="1"/>
    <col min="25" max="25" width="9.28515625" bestFit="1" customWidth="1"/>
    <col min="26" max="26" width="12.28515625" bestFit="1" customWidth="1"/>
    <col min="27" max="27" width="9.28515625" bestFit="1" customWidth="1"/>
    <col min="28" max="28" width="12.28515625" bestFit="1" customWidth="1"/>
    <col min="29" max="29" width="9.28515625" bestFit="1" customWidth="1"/>
    <col min="30" max="30" width="12.28515625" bestFit="1" customWidth="1"/>
    <col min="31" max="31" width="9.28515625" bestFit="1" customWidth="1"/>
    <col min="32" max="32" width="12.28515625" bestFit="1" customWidth="1"/>
    <col min="33" max="33" width="9.28515625" bestFit="1" customWidth="1"/>
    <col min="34" max="34" width="12.28515625" bestFit="1" customWidth="1"/>
    <col min="35" max="35" width="9.28515625" bestFit="1" customWidth="1"/>
    <col min="36" max="36" width="12.28515625" bestFit="1" customWidth="1"/>
    <col min="37" max="37" width="9.28515625" bestFit="1" customWidth="1"/>
    <col min="38" max="38" width="12.28515625" bestFit="1" customWidth="1"/>
    <col min="39" max="39" width="9.28515625" bestFit="1" customWidth="1"/>
    <col min="40" max="40" width="12.28515625" bestFit="1" customWidth="1"/>
    <col min="41" max="41" width="8.28515625" bestFit="1" customWidth="1"/>
    <col min="42" max="42" width="11.28515625" bestFit="1" customWidth="1"/>
    <col min="43" max="43" width="9.28515625" bestFit="1" customWidth="1"/>
    <col min="44" max="44" width="12.28515625" bestFit="1" customWidth="1"/>
    <col min="45" max="45" width="9.28515625" bestFit="1" customWidth="1"/>
    <col min="46" max="46" width="12.28515625" bestFit="1" customWidth="1"/>
    <col min="47" max="47" width="9.28515625" bestFit="1" customWidth="1"/>
    <col min="48" max="48" width="12.28515625" bestFit="1" customWidth="1"/>
    <col min="49" max="49" width="8.28515625" bestFit="1" customWidth="1"/>
    <col min="50" max="50" width="11.28515625" bestFit="1" customWidth="1"/>
    <col min="51" max="51" width="9.28515625" bestFit="1" customWidth="1"/>
    <col min="52" max="52" width="12.28515625" bestFit="1" customWidth="1"/>
    <col min="53" max="53" width="7.28515625" bestFit="1" customWidth="1"/>
    <col min="54" max="54" width="10.28515625" bestFit="1" customWidth="1"/>
    <col min="55" max="55" width="7.28515625" bestFit="1" customWidth="1"/>
    <col min="56" max="56" width="10.28515625" bestFit="1" customWidth="1"/>
    <col min="57" max="57" width="9.28515625" bestFit="1" customWidth="1"/>
    <col min="58" max="58" width="12.28515625" bestFit="1" customWidth="1"/>
    <col min="59" max="59" width="9.28515625" bestFit="1" customWidth="1"/>
    <col min="60" max="60" width="12.28515625" bestFit="1" customWidth="1"/>
    <col min="61" max="61" width="7.28515625" bestFit="1" customWidth="1"/>
    <col min="62" max="62" width="10.28515625" bestFit="1" customWidth="1"/>
    <col min="63" max="63" width="8.28515625" bestFit="1" customWidth="1"/>
    <col min="64" max="64" width="11.28515625" bestFit="1" customWidth="1"/>
    <col min="65" max="65" width="7.28515625" bestFit="1" customWidth="1"/>
    <col min="66" max="66" width="10.28515625" bestFit="1" customWidth="1"/>
    <col min="67" max="67" width="9.28515625" bestFit="1" customWidth="1"/>
    <col min="68" max="68" width="12.28515625" bestFit="1" customWidth="1"/>
    <col min="69" max="69" width="22" bestFit="1" customWidth="1"/>
    <col min="70" max="70" width="25" bestFit="1" customWidth="1"/>
    <col min="71" max="71" width="10.7109375" bestFit="1" customWidth="1"/>
    <col min="72" max="72" width="13.7109375" bestFit="1" customWidth="1"/>
    <col min="73" max="73" width="10.5703125" bestFit="1" customWidth="1"/>
    <col min="74" max="74" width="10.7109375" bestFit="1" customWidth="1"/>
    <col min="75" max="75" width="8" bestFit="1" customWidth="1"/>
    <col min="76" max="76" width="11" bestFit="1" customWidth="1"/>
    <col min="77" max="77" width="12.85546875" bestFit="1" customWidth="1"/>
    <col min="78" max="78" width="15.85546875" bestFit="1" customWidth="1"/>
    <col min="79" max="79" width="12.5703125" bestFit="1" customWidth="1"/>
  </cols>
  <sheetData>
    <row r="3" spans="1:79">
      <c r="A3" s="210" t="s">
        <v>1175</v>
      </c>
    </row>
    <row r="4" spans="1:79">
      <c r="A4" t="s">
        <v>1031</v>
      </c>
      <c r="B4" t="s">
        <v>1176</v>
      </c>
      <c r="C4" t="s">
        <v>958</v>
      </c>
      <c r="D4" t="s">
        <v>1177</v>
      </c>
      <c r="E4" t="s">
        <v>969</v>
      </c>
      <c r="F4" t="s">
        <v>1178</v>
      </c>
      <c r="G4" t="s">
        <v>841</v>
      </c>
      <c r="H4" t="s">
        <v>1179</v>
      </c>
      <c r="I4" t="s">
        <v>702</v>
      </c>
      <c r="J4" t="s">
        <v>1180</v>
      </c>
      <c r="K4" t="s">
        <v>830</v>
      </c>
      <c r="L4" t="s">
        <v>1181</v>
      </c>
      <c r="M4" t="s">
        <v>882</v>
      </c>
      <c r="N4" t="s">
        <v>1182</v>
      </c>
      <c r="O4" t="s">
        <v>947</v>
      </c>
      <c r="P4" t="s">
        <v>1183</v>
      </c>
      <c r="Q4" t="s">
        <v>903</v>
      </c>
      <c r="R4" t="s">
        <v>1184</v>
      </c>
      <c r="S4" t="s">
        <v>925</v>
      </c>
      <c r="T4" t="s">
        <v>1185</v>
      </c>
      <c r="U4" t="s">
        <v>776</v>
      </c>
      <c r="V4" t="s">
        <v>1186</v>
      </c>
      <c r="W4" t="s">
        <v>744</v>
      </c>
      <c r="X4" t="s">
        <v>1187</v>
      </c>
      <c r="Y4" t="s">
        <v>980</v>
      </c>
      <c r="Z4" t="s">
        <v>1188</v>
      </c>
      <c r="AA4" t="s">
        <v>893</v>
      </c>
      <c r="AB4" t="s">
        <v>1189</v>
      </c>
      <c r="AC4" t="s">
        <v>819</v>
      </c>
      <c r="AD4" t="s">
        <v>1190</v>
      </c>
      <c r="AE4" t="s">
        <v>1021</v>
      </c>
      <c r="AF4" t="s">
        <v>1191</v>
      </c>
      <c r="AG4" t="s">
        <v>1011</v>
      </c>
      <c r="AH4" t="s">
        <v>1192</v>
      </c>
      <c r="AI4" t="s">
        <v>766</v>
      </c>
      <c r="AJ4" t="s">
        <v>1193</v>
      </c>
      <c r="AK4" t="s">
        <v>914</v>
      </c>
      <c r="AL4" t="s">
        <v>1194</v>
      </c>
      <c r="AM4" t="s">
        <v>1000</v>
      </c>
      <c r="AN4" t="s">
        <v>1195</v>
      </c>
      <c r="AO4" t="s">
        <v>723</v>
      </c>
      <c r="AP4" t="s">
        <v>1196</v>
      </c>
      <c r="AQ4" t="s">
        <v>851</v>
      </c>
      <c r="AR4" t="s">
        <v>1197</v>
      </c>
      <c r="AS4" t="s">
        <v>755</v>
      </c>
      <c r="AT4" t="s">
        <v>1198</v>
      </c>
      <c r="AU4" t="s">
        <v>808</v>
      </c>
      <c r="AV4" t="s">
        <v>1199</v>
      </c>
      <c r="AW4" t="s">
        <v>797</v>
      </c>
      <c r="AX4" t="s">
        <v>1200</v>
      </c>
      <c r="AY4" t="s">
        <v>936</v>
      </c>
      <c r="AZ4" t="s">
        <v>1201</v>
      </c>
      <c r="BA4" t="s">
        <v>873</v>
      </c>
      <c r="BB4" t="s">
        <v>1202</v>
      </c>
      <c r="BC4" t="s">
        <v>1042</v>
      </c>
      <c r="BD4" t="s">
        <v>1203</v>
      </c>
      <c r="BE4" t="s">
        <v>862</v>
      </c>
      <c r="BF4" t="s">
        <v>1204</v>
      </c>
      <c r="BG4" t="s">
        <v>734</v>
      </c>
      <c r="BH4" t="s">
        <v>1205</v>
      </c>
      <c r="BI4" t="s">
        <v>1053</v>
      </c>
      <c r="BJ4" t="s">
        <v>1206</v>
      </c>
      <c r="BK4" t="s">
        <v>786</v>
      </c>
      <c r="BL4" t="s">
        <v>1207</v>
      </c>
      <c r="BM4" t="s">
        <v>990</v>
      </c>
      <c r="BN4" t="s">
        <v>1208</v>
      </c>
      <c r="BO4" t="s">
        <v>712</v>
      </c>
      <c r="BP4" t="s">
        <v>1209</v>
      </c>
      <c r="BQ4" t="s">
        <v>1063</v>
      </c>
      <c r="BR4" t="s">
        <v>1210</v>
      </c>
      <c r="BS4" t="s">
        <v>698</v>
      </c>
      <c r="BT4" t="s">
        <v>1211</v>
      </c>
      <c r="BU4" t="s">
        <v>693</v>
      </c>
      <c r="BV4" t="s">
        <v>1212</v>
      </c>
      <c r="BW4" t="s">
        <v>657</v>
      </c>
      <c r="BX4" t="s">
        <v>691</v>
      </c>
      <c r="BY4" t="s">
        <v>1173</v>
      </c>
      <c r="BZ4" t="s">
        <v>1213</v>
      </c>
      <c r="CA4" t="s">
        <v>1174</v>
      </c>
    </row>
    <row r="5" spans="1:79">
      <c r="A5" t="s">
        <v>1033</v>
      </c>
      <c r="C5" t="s">
        <v>960</v>
      </c>
      <c r="E5" t="s">
        <v>971</v>
      </c>
      <c r="G5" t="s">
        <v>843</v>
      </c>
      <c r="I5" t="s">
        <v>704</v>
      </c>
      <c r="K5" t="s">
        <v>832</v>
      </c>
      <c r="M5" t="s">
        <v>884</v>
      </c>
      <c r="O5" t="s">
        <v>949</v>
      </c>
      <c r="Q5" t="s">
        <v>905</v>
      </c>
      <c r="S5" t="s">
        <v>927</v>
      </c>
      <c r="U5" t="s">
        <v>778</v>
      </c>
      <c r="W5" t="s">
        <v>746</v>
      </c>
      <c r="Y5" t="s">
        <v>982</v>
      </c>
      <c r="AA5" t="s">
        <v>895</v>
      </c>
      <c r="AC5" t="s">
        <v>821</v>
      </c>
      <c r="AE5" t="s">
        <v>1023</v>
      </c>
      <c r="AG5" t="s">
        <v>1013</v>
      </c>
      <c r="AI5" t="s">
        <v>768</v>
      </c>
      <c r="AK5" t="s">
        <v>916</v>
      </c>
      <c r="AM5" t="s">
        <v>1002</v>
      </c>
      <c r="AO5" t="s">
        <v>725</v>
      </c>
      <c r="AQ5" t="s">
        <v>853</v>
      </c>
      <c r="AS5" t="s">
        <v>757</v>
      </c>
      <c r="AU5" t="s">
        <v>810</v>
      </c>
      <c r="AW5" t="s">
        <v>799</v>
      </c>
      <c r="AY5" t="s">
        <v>938</v>
      </c>
      <c r="BA5" t="s">
        <v>875</v>
      </c>
      <c r="BC5" t="s">
        <v>1044</v>
      </c>
      <c r="BE5" t="s">
        <v>864</v>
      </c>
      <c r="BG5" t="s">
        <v>735</v>
      </c>
      <c r="BI5" t="s">
        <v>1055</v>
      </c>
      <c r="BK5" t="s">
        <v>788</v>
      </c>
      <c r="BM5" t="s">
        <v>992</v>
      </c>
      <c r="BO5" t="s">
        <v>714</v>
      </c>
      <c r="BQ5" t="s">
        <v>1063</v>
      </c>
      <c r="BS5" t="s">
        <v>699</v>
      </c>
      <c r="BU5" t="s">
        <v>694</v>
      </c>
      <c r="BW5" t="s">
        <v>657</v>
      </c>
      <c r="BY5" t="s">
        <v>1173</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FE51D-0DE0-4290-A3E1-9C0D100AB752}">
  <dimension ref="A3:A43"/>
  <sheetViews>
    <sheetView workbookViewId="0">
      <selection activeCell="A3" sqref="A3"/>
    </sheetView>
  </sheetViews>
  <sheetFormatPr baseColWidth="10" defaultRowHeight="15"/>
  <cols>
    <col min="1" max="1" width="20" bestFit="1" customWidth="1"/>
  </cols>
  <sheetData>
    <row r="3" spans="1:1">
      <c r="A3" s="210" t="s">
        <v>1172</v>
      </c>
    </row>
    <row r="4" spans="1:1">
      <c r="A4" s="211" t="s">
        <v>1031</v>
      </c>
    </row>
    <row r="5" spans="1:1">
      <c r="A5" s="211" t="s">
        <v>958</v>
      </c>
    </row>
    <row r="6" spans="1:1">
      <c r="A6" s="211" t="s">
        <v>969</v>
      </c>
    </row>
    <row r="7" spans="1:1">
      <c r="A7" s="211" t="s">
        <v>841</v>
      </c>
    </row>
    <row r="8" spans="1:1">
      <c r="A8" s="211" t="s">
        <v>702</v>
      </c>
    </row>
    <row r="9" spans="1:1">
      <c r="A9" s="211" t="s">
        <v>830</v>
      </c>
    </row>
    <row r="10" spans="1:1">
      <c r="A10" s="211" t="s">
        <v>882</v>
      </c>
    </row>
    <row r="11" spans="1:1">
      <c r="A11" s="211" t="s">
        <v>947</v>
      </c>
    </row>
    <row r="12" spans="1:1">
      <c r="A12" s="211" t="s">
        <v>903</v>
      </c>
    </row>
    <row r="13" spans="1:1">
      <c r="A13" s="211" t="s">
        <v>925</v>
      </c>
    </row>
    <row r="14" spans="1:1">
      <c r="A14" s="211" t="s">
        <v>776</v>
      </c>
    </row>
    <row r="15" spans="1:1">
      <c r="A15" s="211" t="s">
        <v>744</v>
      </c>
    </row>
    <row r="16" spans="1:1">
      <c r="A16" s="211" t="s">
        <v>980</v>
      </c>
    </row>
    <row r="17" spans="1:1">
      <c r="A17" s="211" t="s">
        <v>893</v>
      </c>
    </row>
    <row r="18" spans="1:1">
      <c r="A18" s="211" t="s">
        <v>819</v>
      </c>
    </row>
    <row r="19" spans="1:1">
      <c r="A19" s="211" t="s">
        <v>1021</v>
      </c>
    </row>
    <row r="20" spans="1:1">
      <c r="A20" s="211" t="s">
        <v>1011</v>
      </c>
    </row>
    <row r="21" spans="1:1">
      <c r="A21" s="211" t="s">
        <v>766</v>
      </c>
    </row>
    <row r="22" spans="1:1">
      <c r="A22" s="211" t="s">
        <v>914</v>
      </c>
    </row>
    <row r="23" spans="1:1">
      <c r="A23" s="211" t="s">
        <v>1000</v>
      </c>
    </row>
    <row r="24" spans="1:1">
      <c r="A24" s="211" t="s">
        <v>723</v>
      </c>
    </row>
    <row r="25" spans="1:1">
      <c r="A25" s="211" t="s">
        <v>851</v>
      </c>
    </row>
    <row r="26" spans="1:1">
      <c r="A26" s="211" t="s">
        <v>755</v>
      </c>
    </row>
    <row r="27" spans="1:1">
      <c r="A27" s="211" t="s">
        <v>808</v>
      </c>
    </row>
    <row r="28" spans="1:1">
      <c r="A28" s="211" t="s">
        <v>797</v>
      </c>
    </row>
    <row r="29" spans="1:1">
      <c r="A29" s="211" t="s">
        <v>936</v>
      </c>
    </row>
    <row r="30" spans="1:1">
      <c r="A30" s="211" t="s">
        <v>873</v>
      </c>
    </row>
    <row r="31" spans="1:1">
      <c r="A31" s="211" t="s">
        <v>1042</v>
      </c>
    </row>
    <row r="32" spans="1:1">
      <c r="A32" s="211" t="s">
        <v>862</v>
      </c>
    </row>
    <row r="33" spans="1:1">
      <c r="A33" s="211" t="s">
        <v>734</v>
      </c>
    </row>
    <row r="34" spans="1:1">
      <c r="A34" s="211" t="s">
        <v>1053</v>
      </c>
    </row>
    <row r="35" spans="1:1">
      <c r="A35" s="211" t="s">
        <v>786</v>
      </c>
    </row>
    <row r="36" spans="1:1">
      <c r="A36" s="211" t="s">
        <v>990</v>
      </c>
    </row>
    <row r="37" spans="1:1">
      <c r="A37" s="211" t="s">
        <v>712</v>
      </c>
    </row>
    <row r="38" spans="1:1">
      <c r="A38" s="211" t="s">
        <v>1063</v>
      </c>
    </row>
    <row r="39" spans="1:1">
      <c r="A39" s="211" t="s">
        <v>698</v>
      </c>
    </row>
    <row r="40" spans="1:1">
      <c r="A40" s="211" t="s">
        <v>693</v>
      </c>
    </row>
    <row r="41" spans="1:1">
      <c r="A41" s="211" t="s">
        <v>657</v>
      </c>
    </row>
    <row r="42" spans="1:1">
      <c r="A42" s="211" t="s">
        <v>1173</v>
      </c>
    </row>
    <row r="43" spans="1:1">
      <c r="A43" s="211" t="s">
        <v>1174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6052F-0181-4746-8AAA-06F484C4CAC5}">
  <dimension ref="A1:K40"/>
  <sheetViews>
    <sheetView workbookViewId="0">
      <selection activeCell="D9" sqref="D9:E16"/>
    </sheetView>
  </sheetViews>
  <sheetFormatPr baseColWidth="10" defaultRowHeight="15"/>
  <cols>
    <col min="1" max="1" width="20" bestFit="1" customWidth="1"/>
    <col min="2" max="2" width="22.140625" bestFit="1" customWidth="1"/>
    <col min="3" max="3" width="20" bestFit="1" customWidth="1"/>
    <col min="4" max="4" width="25.7109375" bestFit="1" customWidth="1"/>
    <col min="5" max="5" width="22" bestFit="1" customWidth="1"/>
    <col min="6" max="8" width="20" bestFit="1" customWidth="1"/>
    <col min="9" max="9" width="20.42578125" bestFit="1" customWidth="1"/>
    <col min="10" max="11" width="20" bestFit="1" customWidth="1"/>
  </cols>
  <sheetData>
    <row r="1" spans="1:11">
      <c r="A1" t="s">
        <v>1165</v>
      </c>
      <c r="B1" t="s">
        <v>683</v>
      </c>
      <c r="C1" t="s">
        <v>684</v>
      </c>
      <c r="D1" t="s">
        <v>685</v>
      </c>
      <c r="E1" t="s">
        <v>686</v>
      </c>
      <c r="F1" t="s">
        <v>687</v>
      </c>
      <c r="G1" t="s">
        <v>688</v>
      </c>
      <c r="H1" t="s">
        <v>689</v>
      </c>
      <c r="I1" t="s">
        <v>690</v>
      </c>
      <c r="J1" t="s">
        <v>691</v>
      </c>
      <c r="K1" t="s">
        <v>692</v>
      </c>
    </row>
    <row r="2" spans="1:11">
      <c r="A2" s="207" t="s">
        <v>682</v>
      </c>
      <c r="B2" s="207" t="s">
        <v>693</v>
      </c>
      <c r="C2" s="207" t="s">
        <v>693</v>
      </c>
      <c r="D2" s="207" t="s">
        <v>694</v>
      </c>
      <c r="E2" s="207" t="s">
        <v>694</v>
      </c>
      <c r="F2" s="207" t="s">
        <v>695</v>
      </c>
      <c r="G2" s="207" t="s">
        <v>695</v>
      </c>
      <c r="H2" s="207" t="s">
        <v>696</v>
      </c>
      <c r="I2" s="207" t="s">
        <v>697</v>
      </c>
      <c r="J2" s="207" t="s">
        <v>676</v>
      </c>
      <c r="K2" s="207" t="s">
        <v>676</v>
      </c>
    </row>
    <row r="3" spans="1:11">
      <c r="A3" s="207" t="s">
        <v>682</v>
      </c>
      <c r="B3" s="207" t="s">
        <v>698</v>
      </c>
      <c r="C3" s="207" t="s">
        <v>698</v>
      </c>
      <c r="D3" s="207" t="s">
        <v>699</v>
      </c>
      <c r="E3" s="207" t="s">
        <v>699</v>
      </c>
      <c r="F3" s="207" t="s">
        <v>695</v>
      </c>
      <c r="G3" s="207" t="s">
        <v>695</v>
      </c>
      <c r="H3" s="207" t="s">
        <v>696</v>
      </c>
      <c r="I3" s="207" t="s">
        <v>697</v>
      </c>
      <c r="J3" s="207" t="s">
        <v>676</v>
      </c>
      <c r="K3" s="207" t="s">
        <v>676</v>
      </c>
    </row>
    <row r="4" spans="1:11">
      <c r="A4" s="207" t="s">
        <v>682</v>
      </c>
      <c r="B4" s="207"/>
      <c r="C4" s="207"/>
      <c r="D4" s="207"/>
      <c r="E4" s="207"/>
      <c r="F4" s="207" t="s">
        <v>695</v>
      </c>
      <c r="G4" s="207" t="s">
        <v>695</v>
      </c>
      <c r="H4" s="207" t="s">
        <v>696</v>
      </c>
      <c r="I4" s="207" t="s">
        <v>697</v>
      </c>
      <c r="J4" s="207" t="s">
        <v>676</v>
      </c>
      <c r="K4" s="207" t="s">
        <v>676</v>
      </c>
    </row>
    <row r="5" spans="1:11">
      <c r="A5" s="207" t="s">
        <v>682</v>
      </c>
      <c r="B5" s="207" t="s">
        <v>657</v>
      </c>
      <c r="C5" s="207" t="s">
        <v>700</v>
      </c>
      <c r="D5" s="207" t="s">
        <v>657</v>
      </c>
      <c r="E5" s="207" t="s">
        <v>700</v>
      </c>
      <c r="F5" s="207" t="s">
        <v>657</v>
      </c>
      <c r="G5" s="207" t="s">
        <v>700</v>
      </c>
      <c r="H5" s="207" t="s">
        <v>657</v>
      </c>
      <c r="I5" s="207" t="s">
        <v>657</v>
      </c>
      <c r="J5" s="207" t="s">
        <v>657</v>
      </c>
      <c r="K5" s="207" t="s">
        <v>700</v>
      </c>
    </row>
    <row r="6" spans="1:11">
      <c r="A6" s="207" t="s">
        <v>701</v>
      </c>
      <c r="B6" s="207" t="s">
        <v>702</v>
      </c>
      <c r="C6" s="207" t="s">
        <v>703</v>
      </c>
      <c r="D6" s="207" t="s">
        <v>704</v>
      </c>
      <c r="E6" s="207" t="s">
        <v>705</v>
      </c>
      <c r="F6" s="207" t="s">
        <v>706</v>
      </c>
      <c r="G6" s="207" t="s">
        <v>707</v>
      </c>
      <c r="H6" s="207" t="s">
        <v>708</v>
      </c>
      <c r="I6" s="207" t="s">
        <v>620</v>
      </c>
      <c r="J6" s="207" t="s">
        <v>709</v>
      </c>
      <c r="K6" s="207" t="s">
        <v>710</v>
      </c>
    </row>
    <row r="7" spans="1:11">
      <c r="A7" s="207" t="s">
        <v>711</v>
      </c>
      <c r="B7" s="207" t="s">
        <v>712</v>
      </c>
      <c r="C7" s="207" t="s">
        <v>713</v>
      </c>
      <c r="D7" s="207" t="s">
        <v>714</v>
      </c>
      <c r="E7" s="207" t="s">
        <v>715</v>
      </c>
      <c r="F7" s="207" t="s">
        <v>716</v>
      </c>
      <c r="G7" s="207" t="s">
        <v>717</v>
      </c>
      <c r="H7" s="207" t="s">
        <v>718</v>
      </c>
      <c r="I7" s="207" t="s">
        <v>719</v>
      </c>
      <c r="J7" s="207" t="s">
        <v>720</v>
      </c>
      <c r="K7" s="207" t="s">
        <v>721</v>
      </c>
    </row>
    <row r="8" spans="1:11">
      <c r="A8" s="207" t="s">
        <v>722</v>
      </c>
      <c r="B8" s="207" t="s">
        <v>723</v>
      </c>
      <c r="C8" s="207" t="s">
        <v>724</v>
      </c>
      <c r="D8" s="207" t="s">
        <v>725</v>
      </c>
      <c r="E8" s="207" t="s">
        <v>726</v>
      </c>
      <c r="F8" s="207" t="s">
        <v>727</v>
      </c>
      <c r="G8" s="207" t="s">
        <v>728</v>
      </c>
      <c r="H8" s="207" t="s">
        <v>729</v>
      </c>
      <c r="I8" s="207" t="s">
        <v>730</v>
      </c>
      <c r="J8" s="207" t="s">
        <v>731</v>
      </c>
      <c r="K8" s="207" t="s">
        <v>732</v>
      </c>
    </row>
    <row r="9" spans="1:11">
      <c r="A9" s="207" t="s">
        <v>733</v>
      </c>
      <c r="B9" s="207" t="s">
        <v>734</v>
      </c>
      <c r="C9" s="207" t="s">
        <v>726</v>
      </c>
      <c r="D9" s="207" t="s">
        <v>735</v>
      </c>
      <c r="E9" s="207" t="s">
        <v>736</v>
      </c>
      <c r="F9" s="207" t="s">
        <v>737</v>
      </c>
      <c r="G9" s="207" t="s">
        <v>738</v>
      </c>
      <c r="H9" s="207" t="s">
        <v>739</v>
      </c>
      <c r="I9" s="207" t="s">
        <v>740</v>
      </c>
      <c r="J9" s="207" t="s">
        <v>741</v>
      </c>
      <c r="K9" s="207" t="s">
        <v>742</v>
      </c>
    </row>
    <row r="10" spans="1:11">
      <c r="A10" s="207" t="s">
        <v>743</v>
      </c>
      <c r="B10" s="207" t="s">
        <v>744</v>
      </c>
      <c r="C10" s="207" t="s">
        <v>745</v>
      </c>
      <c r="D10" s="207" t="s">
        <v>746</v>
      </c>
      <c r="E10" s="207" t="s">
        <v>747</v>
      </c>
      <c r="F10" s="207" t="s">
        <v>748</v>
      </c>
      <c r="G10" s="207" t="s">
        <v>749</v>
      </c>
      <c r="H10" s="207" t="s">
        <v>750</v>
      </c>
      <c r="I10" s="207" t="s">
        <v>751</v>
      </c>
      <c r="J10" s="207" t="s">
        <v>752</v>
      </c>
      <c r="K10" s="207" t="s">
        <v>753</v>
      </c>
    </row>
    <row r="11" spans="1:11">
      <c r="A11" s="207" t="s">
        <v>754</v>
      </c>
      <c r="B11" s="207" t="s">
        <v>755</v>
      </c>
      <c r="C11" s="207" t="s">
        <v>756</v>
      </c>
      <c r="D11" s="207" t="s">
        <v>757</v>
      </c>
      <c r="E11" s="207" t="s">
        <v>758</v>
      </c>
      <c r="F11" s="207" t="s">
        <v>759</v>
      </c>
      <c r="G11" s="207" t="s">
        <v>760</v>
      </c>
      <c r="H11" s="207" t="s">
        <v>761</v>
      </c>
      <c r="I11" s="207" t="s">
        <v>762</v>
      </c>
      <c r="J11" s="207" t="s">
        <v>763</v>
      </c>
      <c r="K11" s="207" t="s">
        <v>764</v>
      </c>
    </row>
    <row r="12" spans="1:11">
      <c r="A12" s="207" t="s">
        <v>765</v>
      </c>
      <c r="B12" s="207" t="s">
        <v>766</v>
      </c>
      <c r="C12" s="207" t="s">
        <v>767</v>
      </c>
      <c r="D12" s="207" t="s">
        <v>768</v>
      </c>
      <c r="E12" s="207" t="s">
        <v>769</v>
      </c>
      <c r="F12" s="207" t="s">
        <v>770</v>
      </c>
      <c r="G12" s="207" t="s">
        <v>707</v>
      </c>
      <c r="H12" s="207" t="s">
        <v>771</v>
      </c>
      <c r="I12" s="207" t="s">
        <v>772</v>
      </c>
      <c r="J12" s="207" t="s">
        <v>773</v>
      </c>
      <c r="K12" s="207" t="s">
        <v>774</v>
      </c>
    </row>
    <row r="13" spans="1:11">
      <c r="A13" s="207" t="s">
        <v>775</v>
      </c>
      <c r="B13" s="207" t="s">
        <v>776</v>
      </c>
      <c r="C13" s="207" t="s">
        <v>777</v>
      </c>
      <c r="D13" s="207" t="s">
        <v>778</v>
      </c>
      <c r="E13" s="207" t="s">
        <v>779</v>
      </c>
      <c r="F13" s="207" t="s">
        <v>780</v>
      </c>
      <c r="G13" s="207" t="s">
        <v>781</v>
      </c>
      <c r="H13" s="207" t="s">
        <v>782</v>
      </c>
      <c r="I13" s="207" t="s">
        <v>783</v>
      </c>
      <c r="J13" s="207" t="s">
        <v>784</v>
      </c>
      <c r="K13" s="207" t="s">
        <v>779</v>
      </c>
    </row>
    <row r="14" spans="1:11">
      <c r="A14" s="207" t="s">
        <v>785</v>
      </c>
      <c r="B14" s="207" t="s">
        <v>786</v>
      </c>
      <c r="C14" s="207" t="s">
        <v>787</v>
      </c>
      <c r="D14" s="207" t="s">
        <v>788</v>
      </c>
      <c r="E14" s="207" t="s">
        <v>789</v>
      </c>
      <c r="F14" s="207" t="s">
        <v>790</v>
      </c>
      <c r="G14" s="207" t="s">
        <v>791</v>
      </c>
      <c r="H14" s="207" t="s">
        <v>792</v>
      </c>
      <c r="I14" s="207" t="s">
        <v>793</v>
      </c>
      <c r="J14" s="207" t="s">
        <v>794</v>
      </c>
      <c r="K14" s="207" t="s">
        <v>795</v>
      </c>
    </row>
    <row r="15" spans="1:11">
      <c r="A15" s="207" t="s">
        <v>796</v>
      </c>
      <c r="B15" s="207" t="s">
        <v>797</v>
      </c>
      <c r="C15" s="207" t="s">
        <v>798</v>
      </c>
      <c r="D15" s="207" t="s">
        <v>799</v>
      </c>
      <c r="E15" s="207" t="s">
        <v>800</v>
      </c>
      <c r="F15" s="207" t="s">
        <v>801</v>
      </c>
      <c r="G15" s="207" t="s">
        <v>802</v>
      </c>
      <c r="H15" s="207" t="s">
        <v>803</v>
      </c>
      <c r="I15" s="207" t="s">
        <v>804</v>
      </c>
      <c r="J15" s="207" t="s">
        <v>805</v>
      </c>
      <c r="K15" s="207" t="s">
        <v>806</v>
      </c>
    </row>
    <row r="16" spans="1:11">
      <c r="A16" s="207" t="s">
        <v>807</v>
      </c>
      <c r="B16" s="207" t="s">
        <v>808</v>
      </c>
      <c r="C16" s="207" t="s">
        <v>809</v>
      </c>
      <c r="D16" s="207" t="s">
        <v>810</v>
      </c>
      <c r="E16" s="207" t="s">
        <v>811</v>
      </c>
      <c r="F16" s="207" t="s">
        <v>812</v>
      </c>
      <c r="G16" s="207" t="s">
        <v>813</v>
      </c>
      <c r="H16" s="207" t="s">
        <v>814</v>
      </c>
      <c r="I16" s="207" t="s">
        <v>815</v>
      </c>
      <c r="J16" s="207" t="s">
        <v>816</v>
      </c>
      <c r="K16" s="207" t="s">
        <v>817</v>
      </c>
    </row>
    <row r="17" spans="1:11">
      <c r="A17" s="207" t="s">
        <v>818</v>
      </c>
      <c r="B17" s="207" t="s">
        <v>819</v>
      </c>
      <c r="C17" s="207" t="s">
        <v>820</v>
      </c>
      <c r="D17" s="207" t="s">
        <v>821</v>
      </c>
      <c r="E17" s="207" t="s">
        <v>822</v>
      </c>
      <c r="F17" s="207" t="s">
        <v>823</v>
      </c>
      <c r="G17" s="207" t="s">
        <v>824</v>
      </c>
      <c r="H17" s="207" t="s">
        <v>825</v>
      </c>
      <c r="I17" s="207" t="s">
        <v>826</v>
      </c>
      <c r="J17" s="207" t="s">
        <v>827</v>
      </c>
      <c r="K17" s="207" t="s">
        <v>828</v>
      </c>
    </row>
    <row r="18" spans="1:11">
      <c r="A18" s="207" t="s">
        <v>829</v>
      </c>
      <c r="B18" s="207" t="s">
        <v>830</v>
      </c>
      <c r="C18" s="207" t="s">
        <v>831</v>
      </c>
      <c r="D18" s="207" t="s">
        <v>832</v>
      </c>
      <c r="E18" s="207" t="s">
        <v>833</v>
      </c>
      <c r="F18" s="207" t="s">
        <v>834</v>
      </c>
      <c r="G18" s="207" t="s">
        <v>835</v>
      </c>
      <c r="H18" s="207" t="s">
        <v>836</v>
      </c>
      <c r="I18" s="207" t="s">
        <v>837</v>
      </c>
      <c r="J18" s="207" t="s">
        <v>838</v>
      </c>
      <c r="K18" s="207" t="s">
        <v>839</v>
      </c>
    </row>
    <row r="19" spans="1:11">
      <c r="A19" s="207" t="s">
        <v>840</v>
      </c>
      <c r="B19" s="207" t="s">
        <v>841</v>
      </c>
      <c r="C19" s="207" t="s">
        <v>842</v>
      </c>
      <c r="D19" s="207" t="s">
        <v>843</v>
      </c>
      <c r="E19" s="207" t="s">
        <v>844</v>
      </c>
      <c r="F19" s="207" t="s">
        <v>845</v>
      </c>
      <c r="G19" s="207" t="s">
        <v>802</v>
      </c>
      <c r="H19" s="207" t="s">
        <v>846</v>
      </c>
      <c r="I19" s="207" t="s">
        <v>847</v>
      </c>
      <c r="J19" s="207" t="s">
        <v>848</v>
      </c>
      <c r="K19" s="207" t="s">
        <v>849</v>
      </c>
    </row>
    <row r="20" spans="1:11">
      <c r="A20" s="207" t="s">
        <v>850</v>
      </c>
      <c r="B20" s="207" t="s">
        <v>851</v>
      </c>
      <c r="C20" s="207" t="s">
        <v>852</v>
      </c>
      <c r="D20" s="207" t="s">
        <v>853</v>
      </c>
      <c r="E20" s="207" t="s">
        <v>854</v>
      </c>
      <c r="F20" s="207" t="s">
        <v>855</v>
      </c>
      <c r="G20" s="207" t="s">
        <v>856</v>
      </c>
      <c r="H20" s="207" t="s">
        <v>857</v>
      </c>
      <c r="I20" s="207" t="s">
        <v>858</v>
      </c>
      <c r="J20" s="207" t="s">
        <v>859</v>
      </c>
      <c r="K20" s="207" t="s">
        <v>860</v>
      </c>
    </row>
    <row r="21" spans="1:11">
      <c r="A21" s="207" t="s">
        <v>861</v>
      </c>
      <c r="B21" s="207" t="s">
        <v>862</v>
      </c>
      <c r="C21" s="207" t="s">
        <v>863</v>
      </c>
      <c r="D21" s="207" t="s">
        <v>864</v>
      </c>
      <c r="E21" s="207" t="s">
        <v>865</v>
      </c>
      <c r="F21" s="207" t="s">
        <v>866</v>
      </c>
      <c r="G21" s="207" t="s">
        <v>867</v>
      </c>
      <c r="H21" s="207" t="s">
        <v>868</v>
      </c>
      <c r="I21" s="207" t="s">
        <v>869</v>
      </c>
      <c r="J21" s="207" t="s">
        <v>870</v>
      </c>
      <c r="K21" s="207" t="s">
        <v>871</v>
      </c>
    </row>
    <row r="22" spans="1:11">
      <c r="A22" s="207" t="s">
        <v>872</v>
      </c>
      <c r="B22" s="207" t="s">
        <v>873</v>
      </c>
      <c r="C22" s="207" t="s">
        <v>874</v>
      </c>
      <c r="D22" s="207" t="s">
        <v>875</v>
      </c>
      <c r="E22" s="207" t="s">
        <v>876</v>
      </c>
      <c r="F22" s="207" t="s">
        <v>877</v>
      </c>
      <c r="G22" s="207" t="s">
        <v>835</v>
      </c>
      <c r="H22" s="207" t="s">
        <v>878</v>
      </c>
      <c r="I22" s="207" t="s">
        <v>601</v>
      </c>
      <c r="J22" s="207" t="s">
        <v>879</v>
      </c>
      <c r="K22" s="207" t="s">
        <v>880</v>
      </c>
    </row>
    <row r="23" spans="1:11">
      <c r="A23" s="207" t="s">
        <v>881</v>
      </c>
      <c r="B23" s="207" t="s">
        <v>882</v>
      </c>
      <c r="C23" s="207" t="s">
        <v>883</v>
      </c>
      <c r="D23" s="207" t="s">
        <v>884</v>
      </c>
      <c r="E23" s="207" t="s">
        <v>885</v>
      </c>
      <c r="F23" s="207" t="s">
        <v>886</v>
      </c>
      <c r="G23" s="207" t="s">
        <v>887</v>
      </c>
      <c r="H23" s="207" t="s">
        <v>888</v>
      </c>
      <c r="I23" s="207" t="s">
        <v>889</v>
      </c>
      <c r="J23" s="207" t="s">
        <v>890</v>
      </c>
      <c r="K23" s="207" t="s">
        <v>891</v>
      </c>
    </row>
    <row r="24" spans="1:11">
      <c r="A24" s="207" t="s">
        <v>892</v>
      </c>
      <c r="B24" s="207" t="s">
        <v>893</v>
      </c>
      <c r="C24" s="207" t="s">
        <v>894</v>
      </c>
      <c r="D24" s="207" t="s">
        <v>895</v>
      </c>
      <c r="E24" s="207" t="s">
        <v>896</v>
      </c>
      <c r="F24" s="207" t="s">
        <v>897</v>
      </c>
      <c r="G24" s="207" t="s">
        <v>707</v>
      </c>
      <c r="H24" s="207" t="s">
        <v>898</v>
      </c>
      <c r="I24" s="207" t="s">
        <v>899</v>
      </c>
      <c r="J24" s="207" t="s">
        <v>900</v>
      </c>
      <c r="K24" s="207" t="s">
        <v>901</v>
      </c>
    </row>
    <row r="25" spans="1:11">
      <c r="A25" s="207" t="s">
        <v>902</v>
      </c>
      <c r="B25" s="207" t="s">
        <v>903</v>
      </c>
      <c r="C25" s="207" t="s">
        <v>904</v>
      </c>
      <c r="D25" s="207" t="s">
        <v>905</v>
      </c>
      <c r="E25" s="207" t="s">
        <v>906</v>
      </c>
      <c r="F25" s="207" t="s">
        <v>907</v>
      </c>
      <c r="G25" s="207" t="s">
        <v>908</v>
      </c>
      <c r="H25" s="207" t="s">
        <v>909</v>
      </c>
      <c r="I25" s="207" t="s">
        <v>910</v>
      </c>
      <c r="J25" s="207" t="s">
        <v>911</v>
      </c>
      <c r="K25" s="207" t="s">
        <v>912</v>
      </c>
    </row>
    <row r="26" spans="1:11">
      <c r="A26" s="207" t="s">
        <v>913</v>
      </c>
      <c r="B26" s="207" t="s">
        <v>914</v>
      </c>
      <c r="C26" s="207" t="s">
        <v>915</v>
      </c>
      <c r="D26" s="207" t="s">
        <v>916</v>
      </c>
      <c r="E26" s="207" t="s">
        <v>917</v>
      </c>
      <c r="F26" s="207" t="s">
        <v>918</v>
      </c>
      <c r="G26" s="207" t="s">
        <v>919</v>
      </c>
      <c r="H26" s="207" t="s">
        <v>920</v>
      </c>
      <c r="I26" s="207" t="s">
        <v>921</v>
      </c>
      <c r="J26" s="207" t="s">
        <v>922</v>
      </c>
      <c r="K26" s="207" t="s">
        <v>923</v>
      </c>
    </row>
    <row r="27" spans="1:11">
      <c r="A27" s="207" t="s">
        <v>924</v>
      </c>
      <c r="B27" s="207" t="s">
        <v>925</v>
      </c>
      <c r="C27" s="207" t="s">
        <v>926</v>
      </c>
      <c r="D27" s="207" t="s">
        <v>927</v>
      </c>
      <c r="E27" s="207" t="s">
        <v>928</v>
      </c>
      <c r="F27" s="207" t="s">
        <v>929</v>
      </c>
      <c r="G27" s="207" t="s">
        <v>930</v>
      </c>
      <c r="H27" s="207" t="s">
        <v>931</v>
      </c>
      <c r="I27" s="207" t="s">
        <v>932</v>
      </c>
      <c r="J27" s="207" t="s">
        <v>933</v>
      </c>
      <c r="K27" s="207" t="s">
        <v>934</v>
      </c>
    </row>
    <row r="28" spans="1:11">
      <c r="A28" s="207" t="s">
        <v>935</v>
      </c>
      <c r="B28" s="207" t="s">
        <v>936</v>
      </c>
      <c r="C28" s="207" t="s">
        <v>937</v>
      </c>
      <c r="D28" s="207" t="s">
        <v>938</v>
      </c>
      <c r="E28" s="207" t="s">
        <v>939</v>
      </c>
      <c r="F28" s="207" t="s">
        <v>940</v>
      </c>
      <c r="G28" s="207" t="s">
        <v>941</v>
      </c>
      <c r="H28" s="207" t="s">
        <v>942</v>
      </c>
      <c r="I28" s="207" t="s">
        <v>943</v>
      </c>
      <c r="J28" s="207" t="s">
        <v>944</v>
      </c>
      <c r="K28" s="207" t="s">
        <v>945</v>
      </c>
    </row>
    <row r="29" spans="1:11">
      <c r="A29" s="207" t="s">
        <v>946</v>
      </c>
      <c r="B29" s="207" t="s">
        <v>947</v>
      </c>
      <c r="C29" s="207" t="s">
        <v>948</v>
      </c>
      <c r="D29" s="207" t="s">
        <v>949</v>
      </c>
      <c r="E29" s="207" t="s">
        <v>950</v>
      </c>
      <c r="F29" s="207" t="s">
        <v>951</v>
      </c>
      <c r="G29" s="207" t="s">
        <v>952</v>
      </c>
      <c r="H29" s="207" t="s">
        <v>953</v>
      </c>
      <c r="I29" s="207" t="s">
        <v>954</v>
      </c>
      <c r="J29" s="207" t="s">
        <v>955</v>
      </c>
      <c r="K29" s="207" t="s">
        <v>956</v>
      </c>
    </row>
    <row r="30" spans="1:11">
      <c r="A30" s="207" t="s">
        <v>957</v>
      </c>
      <c r="B30" s="207" t="s">
        <v>958</v>
      </c>
      <c r="C30" s="207" t="s">
        <v>959</v>
      </c>
      <c r="D30" s="207" t="s">
        <v>960</v>
      </c>
      <c r="E30" s="207" t="s">
        <v>961</v>
      </c>
      <c r="F30" s="207" t="s">
        <v>962</v>
      </c>
      <c r="G30" s="207" t="s">
        <v>963</v>
      </c>
      <c r="H30" s="207" t="s">
        <v>964</v>
      </c>
      <c r="I30" s="207" t="s">
        <v>965</v>
      </c>
      <c r="J30" s="207" t="s">
        <v>966</v>
      </c>
      <c r="K30" s="207" t="s">
        <v>967</v>
      </c>
    </row>
    <row r="31" spans="1:11">
      <c r="A31" s="207" t="s">
        <v>968</v>
      </c>
      <c r="B31" s="207" t="s">
        <v>969</v>
      </c>
      <c r="C31" s="207" t="s">
        <v>970</v>
      </c>
      <c r="D31" s="207" t="s">
        <v>971</v>
      </c>
      <c r="E31" s="207" t="s">
        <v>972</v>
      </c>
      <c r="F31" s="207" t="s">
        <v>973</v>
      </c>
      <c r="G31" s="207" t="s">
        <v>974</v>
      </c>
      <c r="H31" s="207" t="s">
        <v>975</v>
      </c>
      <c r="I31" s="207" t="s">
        <v>976</v>
      </c>
      <c r="J31" s="207" t="s">
        <v>977</v>
      </c>
      <c r="K31" s="207" t="s">
        <v>978</v>
      </c>
    </row>
    <row r="32" spans="1:11">
      <c r="A32" s="207" t="s">
        <v>979</v>
      </c>
      <c r="B32" s="207" t="s">
        <v>980</v>
      </c>
      <c r="C32" s="207" t="s">
        <v>981</v>
      </c>
      <c r="D32" s="207" t="s">
        <v>982</v>
      </c>
      <c r="E32" s="207" t="s">
        <v>983</v>
      </c>
      <c r="F32" s="207" t="s">
        <v>984</v>
      </c>
      <c r="G32" s="207" t="s">
        <v>985</v>
      </c>
      <c r="H32" s="207" t="s">
        <v>986</v>
      </c>
      <c r="I32" s="207" t="s">
        <v>987</v>
      </c>
      <c r="J32" s="207" t="s">
        <v>988</v>
      </c>
      <c r="K32" s="207" t="s">
        <v>978</v>
      </c>
    </row>
    <row r="33" spans="1:11">
      <c r="A33" s="207" t="s">
        <v>989</v>
      </c>
      <c r="B33" s="207" t="s">
        <v>990</v>
      </c>
      <c r="C33" s="207" t="s">
        <v>991</v>
      </c>
      <c r="D33" s="207" t="s">
        <v>992</v>
      </c>
      <c r="E33" s="207" t="s">
        <v>993</v>
      </c>
      <c r="F33" s="207" t="s">
        <v>994</v>
      </c>
      <c r="G33" s="207" t="s">
        <v>995</v>
      </c>
      <c r="H33" s="207" t="s">
        <v>996</v>
      </c>
      <c r="I33" s="207" t="s">
        <v>575</v>
      </c>
      <c r="J33" s="207" t="s">
        <v>997</v>
      </c>
      <c r="K33" s="207" t="s">
        <v>998</v>
      </c>
    </row>
    <row r="34" spans="1:11">
      <c r="A34" s="207" t="s">
        <v>999</v>
      </c>
      <c r="B34" s="207" t="s">
        <v>1000</v>
      </c>
      <c r="C34" s="207" t="s">
        <v>1001</v>
      </c>
      <c r="D34" s="207" t="s">
        <v>1002</v>
      </c>
      <c r="E34" s="207" t="s">
        <v>1003</v>
      </c>
      <c r="F34" s="207" t="s">
        <v>1004</v>
      </c>
      <c r="G34" s="207" t="s">
        <v>1005</v>
      </c>
      <c r="H34" s="207" t="s">
        <v>1006</v>
      </c>
      <c r="I34" s="207" t="s">
        <v>1007</v>
      </c>
      <c r="J34" s="207" t="s">
        <v>1008</v>
      </c>
      <c r="K34" s="207" t="s">
        <v>1009</v>
      </c>
    </row>
    <row r="35" spans="1:11">
      <c r="A35" s="207" t="s">
        <v>1010</v>
      </c>
      <c r="B35" s="207" t="s">
        <v>1011</v>
      </c>
      <c r="C35" s="207" t="s">
        <v>1012</v>
      </c>
      <c r="D35" s="207" t="s">
        <v>1013</v>
      </c>
      <c r="E35" s="207" t="s">
        <v>1014</v>
      </c>
      <c r="F35" s="207" t="s">
        <v>1015</v>
      </c>
      <c r="G35" s="207" t="s">
        <v>738</v>
      </c>
      <c r="H35" s="207" t="s">
        <v>1016</v>
      </c>
      <c r="I35" s="207" t="s">
        <v>1017</v>
      </c>
      <c r="J35" s="207" t="s">
        <v>1018</v>
      </c>
      <c r="K35" s="207" t="s">
        <v>1019</v>
      </c>
    </row>
    <row r="36" spans="1:11">
      <c r="A36" s="207" t="s">
        <v>1020</v>
      </c>
      <c r="B36" s="207" t="s">
        <v>1021</v>
      </c>
      <c r="C36" s="207" t="s">
        <v>1022</v>
      </c>
      <c r="D36" s="207" t="s">
        <v>1023</v>
      </c>
      <c r="E36" s="207" t="s">
        <v>1024</v>
      </c>
      <c r="F36" s="207" t="s">
        <v>1025</v>
      </c>
      <c r="G36" s="207" t="s">
        <v>930</v>
      </c>
      <c r="H36" s="207" t="s">
        <v>1026</v>
      </c>
      <c r="I36" s="207" t="s">
        <v>1027</v>
      </c>
      <c r="J36" s="207" t="s">
        <v>1028</v>
      </c>
      <c r="K36" s="207" t="s">
        <v>1029</v>
      </c>
    </row>
    <row r="37" spans="1:11">
      <c r="A37" s="207" t="s">
        <v>1030</v>
      </c>
      <c r="B37" s="207" t="s">
        <v>1031</v>
      </c>
      <c r="C37" s="207" t="s">
        <v>1032</v>
      </c>
      <c r="D37" s="207" t="s">
        <v>1033</v>
      </c>
      <c r="E37" s="207" t="s">
        <v>1034</v>
      </c>
      <c r="F37" s="207" t="s">
        <v>1035</v>
      </c>
      <c r="G37" s="207" t="s">
        <v>1036</v>
      </c>
      <c r="H37" s="207" t="s">
        <v>1037</v>
      </c>
      <c r="I37" s="207" t="s">
        <v>1038</v>
      </c>
      <c r="J37" s="207" t="s">
        <v>1039</v>
      </c>
      <c r="K37" s="207" t="s">
        <v>1040</v>
      </c>
    </row>
    <row r="38" spans="1:11">
      <c r="A38" s="207" t="s">
        <v>1041</v>
      </c>
      <c r="B38" s="207" t="s">
        <v>1042</v>
      </c>
      <c r="C38" s="207" t="s">
        <v>1043</v>
      </c>
      <c r="D38" s="207" t="s">
        <v>1044</v>
      </c>
      <c r="E38" s="207" t="s">
        <v>1045</v>
      </c>
      <c r="F38" s="207" t="s">
        <v>1046</v>
      </c>
      <c r="G38" s="207" t="s">
        <v>1047</v>
      </c>
      <c r="H38" s="207" t="s">
        <v>1048</v>
      </c>
      <c r="I38" s="207" t="s">
        <v>1049</v>
      </c>
      <c r="J38" s="207" t="s">
        <v>1050</v>
      </c>
      <c r="K38" s="207" t="s">
        <v>1051</v>
      </c>
    </row>
    <row r="39" spans="1:11">
      <c r="A39" s="207" t="s">
        <v>1052</v>
      </c>
      <c r="B39" s="207" t="s">
        <v>1053</v>
      </c>
      <c r="C39" s="207" t="s">
        <v>1054</v>
      </c>
      <c r="D39" s="207" t="s">
        <v>1055</v>
      </c>
      <c r="E39" s="207" t="s">
        <v>1056</v>
      </c>
      <c r="F39" s="207" t="s">
        <v>1057</v>
      </c>
      <c r="G39" s="207" t="s">
        <v>1058</v>
      </c>
      <c r="H39" s="207" t="s">
        <v>1059</v>
      </c>
      <c r="I39" s="207" t="s">
        <v>1060</v>
      </c>
      <c r="J39" s="207" t="s">
        <v>1061</v>
      </c>
      <c r="K39" s="207" t="s">
        <v>1062</v>
      </c>
    </row>
    <row r="40" spans="1:11">
      <c r="A40" s="207" t="s">
        <v>1063</v>
      </c>
      <c r="B40" s="207" t="s">
        <v>1063</v>
      </c>
      <c r="C40" s="207" t="s">
        <v>1063</v>
      </c>
      <c r="D40" s="207" t="s">
        <v>1063</v>
      </c>
      <c r="E40" s="207" t="s">
        <v>1063</v>
      </c>
      <c r="F40" s="207" t="s">
        <v>1063</v>
      </c>
      <c r="G40" s="207" t="s">
        <v>1063</v>
      </c>
      <c r="H40" s="207" t="s">
        <v>1063</v>
      </c>
      <c r="I40" s="207" t="s">
        <v>1063</v>
      </c>
      <c r="J40" s="207" t="s">
        <v>1063</v>
      </c>
      <c r="K40" s="207" t="s">
        <v>1063</v>
      </c>
    </row>
  </sheetData>
  <pageMargins left="0.7" right="0.7" top="0.75" bottom="0.75" header="0.3" footer="0.3"/>
  <pageSetup paperSize="9" orientation="portrait" r:id="rId1"/>
  <tableParts count="1">
    <tablePart r:id="rId2"/>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B14DD-B9C8-4E9E-A50D-B596DF60A9F2}">
  <dimension ref="C13:G26"/>
  <sheetViews>
    <sheetView topLeftCell="C5" workbookViewId="0">
      <selection activeCell="I20" sqref="I20"/>
    </sheetView>
  </sheetViews>
  <sheetFormatPr baseColWidth="10" defaultRowHeight="15"/>
  <sheetData>
    <row r="13" spans="6:7">
      <c r="F13" s="212" t="s">
        <v>701</v>
      </c>
      <c r="G13" s="213">
        <v>12883</v>
      </c>
    </row>
    <row r="14" spans="6:7">
      <c r="F14" s="214" t="s">
        <v>711</v>
      </c>
      <c r="G14" s="215">
        <v>942005</v>
      </c>
    </row>
    <row r="15" spans="6:7">
      <c r="F15" s="212" t="s">
        <v>722</v>
      </c>
      <c r="G15" s="213">
        <v>32082</v>
      </c>
    </row>
    <row r="16" spans="6:7">
      <c r="F16" s="214" t="s">
        <v>733</v>
      </c>
      <c r="G16" s="215">
        <v>672832</v>
      </c>
    </row>
    <row r="17" spans="3:4">
      <c r="C17" s="212" t="s">
        <v>701</v>
      </c>
      <c r="D17" s="213">
        <v>54.61</v>
      </c>
    </row>
    <row r="18" spans="3:4">
      <c r="C18" s="214" t="s">
        <v>711</v>
      </c>
      <c r="D18" s="215" t="s">
        <v>713</v>
      </c>
    </row>
    <row r="19" spans="3:4">
      <c r="C19" s="212" t="s">
        <v>722</v>
      </c>
      <c r="D19" s="213" t="s">
        <v>724</v>
      </c>
    </row>
    <row r="20" spans="3:4">
      <c r="C20" s="214" t="s">
        <v>733</v>
      </c>
      <c r="D20" s="215" t="s">
        <v>726</v>
      </c>
    </row>
    <row r="21" spans="3:4">
      <c r="C21" s="212" t="s">
        <v>743</v>
      </c>
      <c r="D21" s="213" t="s">
        <v>745</v>
      </c>
    </row>
    <row r="22" spans="3:4">
      <c r="C22" s="214" t="s">
        <v>754</v>
      </c>
      <c r="D22" s="215" t="s">
        <v>756</v>
      </c>
    </row>
    <row r="23" spans="3:4">
      <c r="C23" s="212" t="s">
        <v>765</v>
      </c>
      <c r="D23" s="213" t="s">
        <v>767</v>
      </c>
    </row>
    <row r="24" spans="3:4">
      <c r="C24" s="214" t="s">
        <v>775</v>
      </c>
      <c r="D24" s="215" t="s">
        <v>777</v>
      </c>
    </row>
    <row r="25" spans="3:4">
      <c r="C25" s="212" t="s">
        <v>785</v>
      </c>
      <c r="D25" s="213" t="s">
        <v>787</v>
      </c>
    </row>
    <row r="26" spans="3:4">
      <c r="C26" s="214" t="s">
        <v>796</v>
      </c>
      <c r="D26" s="215" t="s">
        <v>798</v>
      </c>
    </row>
  </sheetData>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ABAC1-58F0-4A46-A4A5-AC72CB9F46C7}">
  <dimension ref="A1:H8"/>
  <sheetViews>
    <sheetView workbookViewId="0"/>
  </sheetViews>
  <sheetFormatPr baseColWidth="10" defaultRowHeight="15"/>
  <cols>
    <col min="1" max="1" width="9.7109375" bestFit="1" customWidth="1"/>
    <col min="2" max="2" width="26.85546875" bestFit="1" customWidth="1"/>
    <col min="3" max="3" width="17.5703125" bestFit="1" customWidth="1"/>
    <col min="4" max="4" width="38" bestFit="1" customWidth="1"/>
    <col min="5" max="5" width="18.7109375" bestFit="1" customWidth="1"/>
    <col min="6" max="6" width="11.7109375" customWidth="1"/>
    <col min="7" max="7" width="7.140625" bestFit="1" customWidth="1"/>
    <col min="8" max="8" width="13.5703125" bestFit="1" customWidth="1"/>
  </cols>
  <sheetData>
    <row r="1" spans="1:8">
      <c r="A1" t="s">
        <v>1064</v>
      </c>
      <c r="B1" t="s">
        <v>1065</v>
      </c>
      <c r="C1" t="s">
        <v>1066</v>
      </c>
      <c r="D1" t="s">
        <v>1067</v>
      </c>
      <c r="E1" t="s">
        <v>1068</v>
      </c>
      <c r="F1" t="s">
        <v>1069</v>
      </c>
      <c r="G1" t="s">
        <v>700</v>
      </c>
      <c r="H1" t="s">
        <v>1070</v>
      </c>
    </row>
    <row r="2" spans="1:8">
      <c r="A2" s="207" t="s">
        <v>1064</v>
      </c>
      <c r="B2" s="207" t="s">
        <v>1064</v>
      </c>
      <c r="C2" s="207" t="s">
        <v>1071</v>
      </c>
      <c r="D2" s="207" t="s">
        <v>1071</v>
      </c>
      <c r="E2" s="207" t="s">
        <v>1071</v>
      </c>
      <c r="F2" s="207" t="s">
        <v>1072</v>
      </c>
      <c r="G2" s="207" t="s">
        <v>700</v>
      </c>
      <c r="H2" s="207" t="s">
        <v>1070</v>
      </c>
    </row>
    <row r="3" spans="1:8">
      <c r="A3" s="207"/>
      <c r="B3" s="207" t="s">
        <v>1073</v>
      </c>
      <c r="C3" s="207"/>
      <c r="D3" s="207" t="s">
        <v>1074</v>
      </c>
      <c r="E3" s="207" t="s">
        <v>659</v>
      </c>
      <c r="F3" s="207" t="s">
        <v>1075</v>
      </c>
      <c r="G3" s="207" t="s">
        <v>1076</v>
      </c>
      <c r="H3" s="207" t="s">
        <v>1077</v>
      </c>
    </row>
    <row r="4" spans="1:8">
      <c r="A4" s="207"/>
      <c r="B4" s="207" t="s">
        <v>1073</v>
      </c>
      <c r="C4" s="207"/>
      <c r="D4" s="207" t="s">
        <v>1078</v>
      </c>
      <c r="E4" s="207" t="s">
        <v>659</v>
      </c>
      <c r="F4" s="207" t="s">
        <v>1075</v>
      </c>
      <c r="G4" s="207" t="s">
        <v>1076</v>
      </c>
      <c r="H4" s="207" t="s">
        <v>1077</v>
      </c>
    </row>
    <row r="5" spans="1:8">
      <c r="A5" s="207"/>
      <c r="B5" s="207" t="s">
        <v>1073</v>
      </c>
      <c r="C5" s="207"/>
      <c r="D5" s="207" t="s">
        <v>1079</v>
      </c>
      <c r="E5" s="207" t="s">
        <v>660</v>
      </c>
      <c r="F5" s="207" t="s">
        <v>1080</v>
      </c>
      <c r="G5" s="207" t="s">
        <v>1081</v>
      </c>
      <c r="H5" s="207" t="s">
        <v>1082</v>
      </c>
    </row>
    <row r="6" spans="1:8">
      <c r="A6" s="207"/>
      <c r="B6" s="207" t="s">
        <v>1073</v>
      </c>
      <c r="C6" s="207"/>
      <c r="D6" s="207" t="s">
        <v>1083</v>
      </c>
      <c r="E6" s="207" t="s">
        <v>1084</v>
      </c>
      <c r="F6" s="207" t="s">
        <v>1085</v>
      </c>
      <c r="G6" s="207" t="s">
        <v>1086</v>
      </c>
      <c r="H6" s="207" t="s">
        <v>558</v>
      </c>
    </row>
    <row r="7" spans="1:8">
      <c r="A7" s="207"/>
      <c r="B7" s="207" t="s">
        <v>1073</v>
      </c>
      <c r="C7" s="207"/>
      <c r="D7" s="207" t="s">
        <v>1087</v>
      </c>
      <c r="E7" s="207" t="s">
        <v>1088</v>
      </c>
      <c r="F7" s="207" t="s">
        <v>1089</v>
      </c>
      <c r="G7" s="207" t="s">
        <v>1090</v>
      </c>
      <c r="H7" s="207" t="s">
        <v>560</v>
      </c>
    </row>
    <row r="8" spans="1:8">
      <c r="A8" s="207"/>
      <c r="B8" s="207" t="s">
        <v>1073</v>
      </c>
      <c r="C8" s="207"/>
      <c r="D8" s="207" t="s">
        <v>1091</v>
      </c>
      <c r="E8" s="207" t="s">
        <v>1092</v>
      </c>
      <c r="F8" s="207" t="s">
        <v>1093</v>
      </c>
      <c r="G8" s="207" t="s">
        <v>1094</v>
      </c>
      <c r="H8" s="207" t="s">
        <v>1095</v>
      </c>
    </row>
  </sheetData>
  <pageMargins left="0.7" right="0.7" top="0.75" bottom="0.75" header="0.3" footer="0.3"/>
  <tableParts count="1">
    <tablePart r:id="rId1"/>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C8D6A-FCBC-48C2-9FF2-AB6508666873}">
  <dimension ref="A1:I7"/>
  <sheetViews>
    <sheetView topLeftCell="D1" workbookViewId="0"/>
  </sheetViews>
  <sheetFormatPr baseColWidth="10" defaultRowHeight="15"/>
  <cols>
    <col min="1" max="1" width="21.85546875" bestFit="1" customWidth="1"/>
    <col min="2" max="2" width="22.85546875" bestFit="1" customWidth="1"/>
    <col min="3" max="3" width="58.5703125" bestFit="1" customWidth="1"/>
    <col min="4" max="4" width="22" bestFit="1" customWidth="1"/>
    <col min="5" max="5" width="62.7109375" bestFit="1" customWidth="1"/>
    <col min="6" max="6" width="17" bestFit="1" customWidth="1"/>
    <col min="7" max="7" width="25.7109375" bestFit="1" customWidth="1"/>
    <col min="8" max="8" width="81.140625" bestFit="1" customWidth="1"/>
    <col min="9" max="9" width="18" bestFit="1" customWidth="1"/>
  </cols>
  <sheetData>
    <row r="1" spans="1:9">
      <c r="A1" t="s">
        <v>624</v>
      </c>
      <c r="B1" t="s">
        <v>625</v>
      </c>
      <c r="C1" t="s">
        <v>626</v>
      </c>
      <c r="D1" t="s">
        <v>627</v>
      </c>
      <c r="E1" t="s">
        <v>628</v>
      </c>
      <c r="F1" t="s">
        <v>629</v>
      </c>
      <c r="G1" t="s">
        <v>630</v>
      </c>
      <c r="H1" t="s">
        <v>631</v>
      </c>
      <c r="I1" t="s">
        <v>632</v>
      </c>
    </row>
    <row r="2" spans="1:9">
      <c r="A2" s="207"/>
      <c r="B2" s="207" t="s">
        <v>633</v>
      </c>
      <c r="C2" s="207" t="s">
        <v>634</v>
      </c>
      <c r="D2" s="207" t="s">
        <v>633</v>
      </c>
      <c r="E2" s="207" t="s">
        <v>635</v>
      </c>
      <c r="F2" t="s">
        <v>636</v>
      </c>
      <c r="G2" s="207" t="s">
        <v>633</v>
      </c>
      <c r="H2" s="207" t="s">
        <v>637</v>
      </c>
      <c r="I2" t="s">
        <v>636</v>
      </c>
    </row>
    <row r="3" spans="1:9">
      <c r="A3" s="207"/>
      <c r="B3" s="207" t="s">
        <v>633</v>
      </c>
      <c r="C3" s="207" t="s">
        <v>638</v>
      </c>
      <c r="D3" s="207" t="s">
        <v>633</v>
      </c>
      <c r="E3" s="207" t="s">
        <v>639</v>
      </c>
      <c r="F3" t="s">
        <v>636</v>
      </c>
      <c r="G3" s="207" t="s">
        <v>633</v>
      </c>
      <c r="H3" s="207" t="s">
        <v>640</v>
      </c>
      <c r="I3" t="s">
        <v>636</v>
      </c>
    </row>
    <row r="4" spans="1:9">
      <c r="A4" s="207"/>
      <c r="B4" s="207" t="s">
        <v>633</v>
      </c>
      <c r="C4" s="207" t="s">
        <v>641</v>
      </c>
      <c r="D4" s="207" t="s">
        <v>633</v>
      </c>
      <c r="E4" s="207" t="s">
        <v>642</v>
      </c>
      <c r="F4" t="s">
        <v>636</v>
      </c>
      <c r="G4" s="207" t="s">
        <v>633</v>
      </c>
      <c r="H4" s="207" t="s">
        <v>643</v>
      </c>
      <c r="I4" t="s">
        <v>636</v>
      </c>
    </row>
    <row r="5" spans="1:9">
      <c r="A5" s="207"/>
      <c r="B5" s="207" t="s">
        <v>633</v>
      </c>
      <c r="C5" s="207" t="s">
        <v>644</v>
      </c>
      <c r="D5" s="207" t="s">
        <v>633</v>
      </c>
      <c r="E5" s="207" t="s">
        <v>645</v>
      </c>
      <c r="F5" t="s">
        <v>636</v>
      </c>
      <c r="G5" s="207" t="s">
        <v>633</v>
      </c>
      <c r="H5" s="207" t="s">
        <v>646</v>
      </c>
      <c r="I5" t="s">
        <v>636</v>
      </c>
    </row>
    <row r="6" spans="1:9">
      <c r="A6" s="207"/>
      <c r="B6" s="207" t="s">
        <v>633</v>
      </c>
      <c r="C6" s="207" t="s">
        <v>647</v>
      </c>
      <c r="D6" s="207" t="s">
        <v>633</v>
      </c>
      <c r="E6" s="207" t="s">
        <v>648</v>
      </c>
      <c r="F6" t="s">
        <v>636</v>
      </c>
      <c r="G6" s="207" t="s">
        <v>633</v>
      </c>
      <c r="H6" s="207" t="s">
        <v>649</v>
      </c>
      <c r="I6" t="s">
        <v>636</v>
      </c>
    </row>
    <row r="7" spans="1:9">
      <c r="A7" s="207"/>
      <c r="B7" s="207" t="s">
        <v>633</v>
      </c>
      <c r="C7" s="207" t="s">
        <v>650</v>
      </c>
      <c r="D7" s="207" t="s">
        <v>633</v>
      </c>
      <c r="E7" s="207" t="s">
        <v>651</v>
      </c>
      <c r="F7" t="s">
        <v>636</v>
      </c>
      <c r="G7" s="207" t="s">
        <v>633</v>
      </c>
      <c r="H7" s="207" t="s">
        <v>652</v>
      </c>
      <c r="I7" t="s">
        <v>636</v>
      </c>
    </row>
  </sheetData>
  <pageMargins left="0.7" right="0.7" top="0.75" bottom="0.75" header="0.3" footer="0.3"/>
  <tableParts count="1">
    <tablePart r:id="rId1"/>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3D088-943F-4F80-917C-996E68D07281}">
  <dimension ref="A1"/>
  <sheetViews>
    <sheetView workbookViewId="0"/>
  </sheetViews>
  <sheetFormatPr baseColWidth="10" defaultRowHeight="15"/>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B25C8-85FA-40FE-98D5-89510BE8C2FB}">
  <dimension ref="A1"/>
  <sheetViews>
    <sheetView workbookViewId="0"/>
  </sheetViews>
  <sheetFormatPr baseColWidth="10"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20.xml>�� 
</file>

<file path=customXml/item21.xml>�� 
</file>

<file path=customXml/itemProps1.xml><?xml version="1.0" encoding="utf-8"?>
<ds:datastoreItem xmlns:ds="http://schemas.openxmlformats.org/officeDocument/2006/customXml" ds:itemID="{CB2074EE-857F-48D6-A9E5-C6B2F86F34BF}">
  <ds:schemaRefs/>
</ds:datastoreItem>
</file>

<file path=customXml/itemProps2.xml><?xml version="1.0" encoding="utf-8"?>
<ds:datastoreItem xmlns:ds="http://schemas.openxmlformats.org/officeDocument/2006/customXml" ds:itemID="{66AE69EF-476C-4CC9-9076-0AB416D03A8B}">
  <ds:schemaRefs/>
</ds:datastoreItem>
</file>

<file path=customXml/itemProps3.xml><?xml version="1.0" encoding="utf-8"?>
<ds:datastoreItem xmlns:ds="http://schemas.openxmlformats.org/officeDocument/2006/customXml" ds:itemID="{1D8FC3B3-A90F-466D-8C9D-51120047782C}">
  <ds:schemaRefs/>
</ds:datastoreItem>
</file>

<file path=customXml/itemProps4.xml><?xml version="1.0" encoding="utf-8"?>
<ds:datastoreItem xmlns:ds="http://schemas.openxmlformats.org/officeDocument/2006/customXml" ds:itemID="{E80E3BE9-2612-4CCA-A28B-50BF2C8F261C}">
  <ds:schemaRefs/>
</ds:datastoreItem>
</file>

<file path=customXml/itemProps5.xml><?xml version="1.0" encoding="utf-8"?>
<ds:datastoreItem xmlns:ds="http://schemas.openxmlformats.org/officeDocument/2006/customXml" ds:itemID="{E9C490DC-E30D-4D0E-88AC-2E633AE38301}">
  <ds:schemaRefs/>
</ds:datastoreItem>
</file>

<file path=customXml/itemProps6.xml><?xml version="1.0" encoding="utf-8"?>
<ds:datastoreItem xmlns:ds="http://schemas.openxmlformats.org/officeDocument/2006/customXml" ds:itemID="{0AE03455-32D1-43ED-BE12-E8ED1BFB970B}">
  <ds:schemaRefs/>
</ds:datastoreItem>
</file>

<file path=customXml/itemProps7.xml><?xml version="1.0" encoding="utf-8"?>
<ds:datastoreItem xmlns:ds="http://schemas.openxmlformats.org/officeDocument/2006/customXml" ds:itemID="{581512D6-1E25-4F6C-8D9A-815EF4AD6A59}">
  <ds:schemaRefs/>
</ds:datastoreItem>
</file>

<file path=customXml/itemProps8.xml><?xml version="1.0" encoding="utf-8"?>
<ds:datastoreItem xmlns:ds="http://schemas.openxmlformats.org/officeDocument/2006/customXml" ds:itemID="{AE0BBE29-34BB-4CEF-9693-FFCCFC1BD522}">
  <ds:schemaRefs/>
</ds:datastoreItem>
</file>

<file path=customXml/itemProps9.xml><?xml version="1.0" encoding="utf-8"?>
<ds:datastoreItem xmlns:ds="http://schemas.openxmlformats.org/officeDocument/2006/customXml" ds:itemID="{9D78EABA-A86A-4C1F-85A4-9E8C631B9003}">
  <ds:schemaRefs/>
</ds:datastoreItem>
</file>

<file path=customXml/itemProps10.xml><?xml version="1.0" encoding="utf-8"?>
<ds:datastoreItem xmlns:ds="http://schemas.openxmlformats.org/officeDocument/2006/customXml" ds:itemID="{704F64DF-473E-426D-A4A5-526E0D3F8197}">
  <ds:schemaRefs/>
</ds:datastoreItem>
</file>

<file path=customXml/itemProps11.xml><?xml version="1.0" encoding="utf-8"?>
<ds:datastoreItem xmlns:ds="http://schemas.openxmlformats.org/officeDocument/2006/customXml" ds:itemID="{19A0AD71-BC32-4C09-9DB3-FF2CEAFF71F0}">
  <ds:schemaRefs>
    <ds:schemaRef ds:uri="http://schemas.microsoft.com/DataMashup"/>
  </ds:schemaRefs>
</ds:datastoreItem>
</file>

<file path=customXml/itemProps12.xml><?xml version="1.0" encoding="utf-8"?>
<ds:datastoreItem xmlns:ds="http://schemas.openxmlformats.org/officeDocument/2006/customXml" ds:itemID="{5A26B639-808F-4A2C-8F59-CA06F19A1BB6}">
  <ds:schemaRefs/>
</ds:datastoreItem>
</file>

<file path=customXml/itemProps13.xml><?xml version="1.0" encoding="utf-8"?>
<ds:datastoreItem xmlns:ds="http://schemas.openxmlformats.org/officeDocument/2006/customXml" ds:itemID="{87DE5867-FFD2-4788-A8CD-F6DF8A100105}">
  <ds:schemaRefs/>
</ds:datastoreItem>
</file>

<file path=customXml/itemProps14.xml><?xml version="1.0" encoding="utf-8"?>
<ds:datastoreItem xmlns:ds="http://schemas.openxmlformats.org/officeDocument/2006/customXml" ds:itemID="{B8A308A4-FFBB-44D7-AA1D-385F5A986CFE}">
  <ds:schemaRefs/>
</ds:datastoreItem>
</file>

<file path=customXml/itemProps15.xml><?xml version="1.0" encoding="utf-8"?>
<ds:datastoreItem xmlns:ds="http://schemas.openxmlformats.org/officeDocument/2006/customXml" ds:itemID="{01F47A6D-8A0D-4E02-83A0-D703E93210E3}">
  <ds:schemaRefs/>
</ds:datastoreItem>
</file>

<file path=customXml/itemProps16.xml><?xml version="1.0" encoding="utf-8"?>
<ds:datastoreItem xmlns:ds="http://schemas.openxmlformats.org/officeDocument/2006/customXml" ds:itemID="{6C1CC2F9-31D8-49F9-9929-700140DEC5F0}">
  <ds:schemaRefs/>
</ds:datastoreItem>
</file>

<file path=customXml/itemProps17.xml><?xml version="1.0" encoding="utf-8"?>
<ds:datastoreItem xmlns:ds="http://schemas.openxmlformats.org/officeDocument/2006/customXml" ds:itemID="{C9731A9D-1A56-4B64-BB67-0A26C38A340C}">
  <ds:schemaRefs/>
</ds:datastoreItem>
</file>

<file path=customXml/itemProps18.xml><?xml version="1.0" encoding="utf-8"?>
<ds:datastoreItem xmlns:ds="http://schemas.openxmlformats.org/officeDocument/2006/customXml" ds:itemID="{36D38993-E59A-44B4-8A06-E5563C82542D}">
  <ds:schemaRefs/>
</ds:datastoreItem>
</file>

<file path=customXml/itemProps19.xml><?xml version="1.0" encoding="utf-8"?>
<ds:datastoreItem xmlns:ds="http://schemas.openxmlformats.org/officeDocument/2006/customXml" ds:itemID="{A130ACCB-A8EA-4C8D-844F-43B9271260FD}">
  <ds:schemaRefs/>
</ds:datastoreItem>
</file>

<file path=customXml/itemProps20.xml><?xml version="1.0" encoding="utf-8"?>
<ds:datastoreItem xmlns:ds="http://schemas.openxmlformats.org/officeDocument/2006/customXml" ds:itemID="{027B2999-18D4-45E3-8BF2-27D706304F93}">
  <ds:schemaRefs/>
</ds:datastoreItem>
</file>

<file path=customXml/itemProps21.xml><?xml version="1.0" encoding="utf-8"?>
<ds:datastoreItem xmlns:ds="http://schemas.openxmlformats.org/officeDocument/2006/customXml" ds:itemID="{DECE5BD0-6DC5-402E-B8DD-6D49D37365A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26</vt:i4>
      </vt:variant>
      <vt:variant>
        <vt:lpstr>Rangos con nombre</vt:lpstr>
      </vt:variant>
      <vt:variant>
        <vt:i4>1</vt:i4>
      </vt:variant>
    </vt:vector>
  </HeadingPairs>
  <TitlesOfParts>
    <vt:vector size="27" baseType="lpstr">
      <vt:lpstr>analisis ofertas</vt:lpstr>
      <vt:lpstr>analisis adicion kac</vt:lpstr>
      <vt:lpstr>Hoja4</vt:lpstr>
      <vt:lpstr>gaseosa</vt:lpstr>
      <vt:lpstr>notas</vt:lpstr>
      <vt:lpstr>Hoja1</vt:lpstr>
      <vt:lpstr>curso</vt:lpstr>
      <vt:lpstr>pagos</vt:lpstr>
      <vt:lpstr>estado financiero</vt:lpstr>
      <vt:lpstr>Hoja2</vt:lpstr>
      <vt:lpstr>calculadora</vt:lpstr>
      <vt:lpstr>Hoja3</vt:lpstr>
      <vt:lpstr>tablas pivot</vt:lpstr>
      <vt:lpstr>Campeonatos</vt:lpstr>
      <vt:lpstr>Segunda vuelta_editar_ (2)</vt:lpstr>
      <vt:lpstr>Segunda vuelta_editar_</vt:lpstr>
      <vt:lpstr>Primera vuelta_editar_ (2)</vt:lpstr>
      <vt:lpstr>Primera vuelta_editar_</vt:lpstr>
      <vt:lpstr>Hoja8</vt:lpstr>
      <vt:lpstr>Hoja11</vt:lpstr>
      <vt:lpstr>Por departamento_editar_</vt:lpstr>
      <vt:lpstr>Hoja14</vt:lpstr>
      <vt:lpstr>Pacto Histórico_editar_</vt:lpstr>
      <vt:lpstr>Candidatos_editar_</vt:lpstr>
      <vt:lpstr>Hoja7</vt:lpstr>
      <vt:lpstr>Hoja5</vt:lpstr>
      <vt:lpstr>lnkContractReferenceLink_0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 Luis Penaloza Angulo</dc:creator>
  <cp:keywords/>
  <dc:description/>
  <cp:lastModifiedBy>quant jeffrey</cp:lastModifiedBy>
  <cp:revision/>
  <cp:lastPrinted>2023-01-16T19:22:06Z</cp:lastPrinted>
  <dcterms:created xsi:type="dcterms:W3CDTF">2015-06-05T18:19:34Z</dcterms:created>
  <dcterms:modified xsi:type="dcterms:W3CDTF">2023-01-17T19:41:58Z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2022-10-26T14:23:24Z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8f4018df-2645-435e-a73d-3aa05b34e478</vt:lpwstr>
  </property>
  <property fmtid="{D5CDD505-2E9C-101B-9397-08002B2CF9AE}" pid="8" name="MSIP_Label_1299739c-ad3d-4908-806e-4d91151a6e13_ContentBits">
    <vt:lpwstr>0</vt:lpwstr>
  </property>
</Properties>
</file>