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Mi Personal Trabajo\1. ALCALDIA TEUSAQUILLO\2023\FORMULACION 2023\"/>
    </mc:Choice>
  </mc:AlternateContent>
  <xr:revisionPtr revIDLastSave="0" documentId="13_ncr:1_{C80ED89B-79C3-4C91-8BD4-1ACE4C86F1A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ORIZACION FINAL 2022" sheetId="4" r:id="rId1"/>
    <sheet name="CON ANDENES" sheetId="6" r:id="rId2"/>
    <sheet name="Hoja1" sheetId="5" r:id="rId3"/>
  </sheets>
  <definedNames>
    <definedName name="_xlnm._FilterDatabase" localSheetId="1" hidden="1">'CON ANDENES'!$B$4:$Y$27</definedName>
    <definedName name="_xlnm._FilterDatabase" localSheetId="0" hidden="1">'PRIORIZACION FINAL 2022'!$B$4:$Y$19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3" i="4" l="1"/>
  <c r="T12" i="4"/>
  <c r="T9" i="4"/>
  <c r="T8" i="4"/>
  <c r="S16" i="4"/>
  <c r="S15" i="4"/>
  <c r="S14" i="4"/>
  <c r="S11" i="4"/>
  <c r="S18" i="4"/>
  <c r="S10" i="4"/>
  <c r="S17" i="4"/>
  <c r="S7" i="4"/>
  <c r="S6" i="4"/>
  <c r="S5" i="4"/>
  <c r="L19" i="4" l="1"/>
  <c r="L9" i="4"/>
  <c r="U9" i="4" s="1"/>
  <c r="W9" i="4" s="1"/>
  <c r="L8" i="4"/>
  <c r="U8" i="4" s="1"/>
  <c r="W8" i="4" s="1"/>
  <c r="L13" i="4"/>
  <c r="U13" i="4" s="1"/>
  <c r="W13" i="4" s="1"/>
  <c r="O10" i="4" l="1"/>
  <c r="U10" i="4" s="1"/>
  <c r="W10" i="4" s="1"/>
  <c r="L12" i="4"/>
  <c r="U12" i="4" s="1"/>
  <c r="W12" i="4" s="1"/>
  <c r="Y12" i="4" s="1"/>
  <c r="O12" i="4"/>
  <c r="L25" i="6"/>
  <c r="S25" i="6" s="1"/>
  <c r="U25" i="6" s="1"/>
  <c r="L24" i="6"/>
  <c r="S24" i="6" s="1"/>
  <c r="U24" i="6" s="1"/>
  <c r="V24" i="6" s="1"/>
  <c r="L23" i="6"/>
  <c r="S23" i="6" s="1"/>
  <c r="U23" i="6" s="1"/>
  <c r="S22" i="6"/>
  <c r="U22" i="6" s="1"/>
  <c r="L21" i="6"/>
  <c r="S21" i="6" s="1"/>
  <c r="U21" i="6" s="1"/>
  <c r="V21" i="6" s="1"/>
  <c r="T20" i="6"/>
  <c r="O20" i="6"/>
  <c r="O19" i="6"/>
  <c r="S19" i="6" s="1"/>
  <c r="U19" i="6" s="1"/>
  <c r="O18" i="6"/>
  <c r="P18" i="6" s="1"/>
  <c r="O17" i="6"/>
  <c r="S17" i="6" s="1"/>
  <c r="U17" i="6" s="1"/>
  <c r="V17" i="6" s="1"/>
  <c r="O16" i="6"/>
  <c r="S16" i="6" s="1"/>
  <c r="U16" i="6" s="1"/>
  <c r="O15" i="6"/>
  <c r="T14" i="6"/>
  <c r="O14" i="6"/>
  <c r="T13" i="6"/>
  <c r="O13" i="6"/>
  <c r="T12" i="6"/>
  <c r="O12" i="6"/>
  <c r="T11" i="6"/>
  <c r="O11" i="6"/>
  <c r="T10" i="6"/>
  <c r="O10" i="6"/>
  <c r="T9" i="6"/>
  <c r="O9" i="6"/>
  <c r="T8" i="6"/>
  <c r="O8" i="6"/>
  <c r="T7" i="6"/>
  <c r="O7" i="6"/>
  <c r="T6" i="6"/>
  <c r="O6" i="6"/>
  <c r="T5" i="6"/>
  <c r="O5" i="6"/>
  <c r="P10" i="4" l="1"/>
  <c r="P17" i="6"/>
  <c r="S18" i="6"/>
  <c r="U18" i="6" s="1"/>
  <c r="V25" i="6"/>
  <c r="W25" i="6" s="1"/>
  <c r="V19" i="6"/>
  <c r="W19" i="6" s="1"/>
  <c r="Y19" i="6" s="1"/>
  <c r="V18" i="6"/>
  <c r="W18" i="6" s="1"/>
  <c r="Y18" i="6" s="1"/>
  <c r="S20" i="6"/>
  <c r="U20" i="6" s="1"/>
  <c r="P20" i="6"/>
  <c r="W21" i="6"/>
  <c r="Y21" i="6" s="1"/>
  <c r="V23" i="6"/>
  <c r="W23" i="6" s="1"/>
  <c r="Y23" i="6" s="1"/>
  <c r="S5" i="6"/>
  <c r="U5" i="6" s="1"/>
  <c r="P5" i="6"/>
  <c r="S6" i="6"/>
  <c r="U6" i="6" s="1"/>
  <c r="P6" i="6"/>
  <c r="S7" i="6"/>
  <c r="U7" i="6" s="1"/>
  <c r="P7" i="6"/>
  <c r="S8" i="6"/>
  <c r="U8" i="6" s="1"/>
  <c r="P8" i="6"/>
  <c r="S9" i="6"/>
  <c r="U9" i="6" s="1"/>
  <c r="P9" i="6"/>
  <c r="S10" i="6"/>
  <c r="U10" i="6" s="1"/>
  <c r="P10" i="6"/>
  <c r="S11" i="6"/>
  <c r="U11" i="6" s="1"/>
  <c r="P11" i="6"/>
  <c r="S12" i="6"/>
  <c r="U12" i="6" s="1"/>
  <c r="P12" i="6"/>
  <c r="S13" i="6"/>
  <c r="U13" i="6" s="1"/>
  <c r="P13" i="6"/>
  <c r="S14" i="6"/>
  <c r="U14" i="6" s="1"/>
  <c r="P14" i="6"/>
  <c r="S15" i="6"/>
  <c r="U15" i="6" s="1"/>
  <c r="P15" i="6"/>
  <c r="P16" i="6"/>
  <c r="V16" i="6"/>
  <c r="W16" i="6" s="1"/>
  <c r="Y16" i="6" s="1"/>
  <c r="W17" i="6"/>
  <c r="Y17" i="6" s="1"/>
  <c r="V22" i="6"/>
  <c r="W22" i="6" s="1"/>
  <c r="Y22" i="6" s="1"/>
  <c r="W24" i="6"/>
  <c r="P19" i="6"/>
  <c r="V20" i="6" l="1"/>
  <c r="W20" i="6" s="1"/>
  <c r="Y20" i="6" s="1"/>
  <c r="V12" i="6"/>
  <c r="W12" i="6" s="1"/>
  <c r="Y12" i="6" s="1"/>
  <c r="V8" i="6"/>
  <c r="W8" i="6" s="1"/>
  <c r="Y8" i="6" s="1"/>
  <c r="P27" i="6"/>
  <c r="V14" i="6"/>
  <c r="W14" i="6" s="1"/>
  <c r="Y14" i="6" s="1"/>
  <c r="V10" i="6"/>
  <c r="W10" i="6" s="1"/>
  <c r="Y10" i="6" s="1"/>
  <c r="W6" i="6"/>
  <c r="Y6" i="6" s="1"/>
  <c r="V6" i="6"/>
  <c r="V15" i="6"/>
  <c r="W15" i="6" s="1"/>
  <c r="Y15" i="6" s="1"/>
  <c r="V13" i="6"/>
  <c r="W13" i="6" s="1"/>
  <c r="Y13" i="6" s="1"/>
  <c r="V11" i="6"/>
  <c r="W11" i="6" s="1"/>
  <c r="Y11" i="6" s="1"/>
  <c r="V9" i="6"/>
  <c r="W9" i="6" s="1"/>
  <c r="Y9" i="6" s="1"/>
  <c r="V7" i="6"/>
  <c r="W7" i="6" s="1"/>
  <c r="Y7" i="6" s="1"/>
  <c r="V5" i="6"/>
  <c r="W5" i="6" s="1"/>
  <c r="W27" i="6" l="1"/>
  <c r="W29" i="6" s="1"/>
  <c r="Y5" i="6"/>
  <c r="X33" i="6" l="1"/>
  <c r="X35" i="6" s="1"/>
  <c r="Y29" i="6"/>
  <c r="T5" i="4" l="1"/>
  <c r="O6" i="4"/>
  <c r="O7" i="4"/>
  <c r="O11" i="4"/>
  <c r="O14" i="4"/>
  <c r="O15" i="4"/>
  <c r="O16" i="4"/>
  <c r="O17" i="4"/>
  <c r="O18" i="4"/>
  <c r="P15" i="4" l="1"/>
  <c r="P6" i="4"/>
  <c r="P14" i="4"/>
  <c r="P18" i="4"/>
  <c r="P17" i="4"/>
  <c r="U17" i="4"/>
  <c r="W17" i="4" s="1"/>
  <c r="Y17" i="4" s="1"/>
  <c r="P11" i="4"/>
  <c r="P16" i="4"/>
  <c r="U16" i="4"/>
  <c r="W16" i="4" s="1"/>
  <c r="Y16" i="4" s="1"/>
  <c r="P7" i="4"/>
  <c r="T18" i="4"/>
  <c r="U18" i="4" l="1"/>
  <c r="W18" i="4" s="1"/>
  <c r="Y18" i="4" s="1"/>
  <c r="T7" i="4" l="1"/>
  <c r="U7" i="4" s="1"/>
  <c r="W7" i="4" s="1"/>
  <c r="Y7" i="4" s="1"/>
  <c r="T6" i="4"/>
  <c r="U6" i="4" s="1"/>
  <c r="T15" i="4"/>
  <c r="U15" i="4" s="1"/>
  <c r="W15" i="4" s="1"/>
  <c r="Y15" i="4" s="1"/>
  <c r="T14" i="4"/>
  <c r="U14" i="4" s="1"/>
  <c r="W14" i="4" s="1"/>
  <c r="Y14" i="4" s="1"/>
  <c r="W6" i="4" l="1"/>
  <c r="Y6" i="4" s="1"/>
  <c r="T11" i="4"/>
  <c r="U11" i="4" s="1"/>
  <c r="O5" i="4"/>
  <c r="W11" i="4" l="1"/>
  <c r="Y11" i="4" s="1"/>
  <c r="U5" i="4"/>
  <c r="P5" i="4"/>
  <c r="P19" i="4" s="1"/>
  <c r="W5" i="4" l="1"/>
  <c r="W19" i="4" s="1"/>
  <c r="W21" i="4" l="1"/>
  <c r="X25" i="4" l="1"/>
  <c r="Y5" i="4" l="1"/>
  <c r="X27" i="4" l="1"/>
</calcChain>
</file>

<file path=xl/sharedStrings.xml><?xml version="1.0" encoding="utf-8"?>
<sst xmlns="http://schemas.openxmlformats.org/spreadsheetml/2006/main" count="304" uniqueCount="118">
  <si>
    <t xml:space="preserve">CIV </t>
  </si>
  <si>
    <t xml:space="preserve">SEGMENTO </t>
  </si>
  <si>
    <t xml:space="preserve">DESDE </t>
  </si>
  <si>
    <t xml:space="preserve">HASTA </t>
  </si>
  <si>
    <t xml:space="preserve">BARRIO </t>
  </si>
  <si>
    <t xml:space="preserve">TIPO DE INTERVENCION </t>
  </si>
  <si>
    <t>CALZADA</t>
  </si>
  <si>
    <t>KR 45</t>
  </si>
  <si>
    <t>FICHAS</t>
  </si>
  <si>
    <t xml:space="preserve">AREA M2 ESPACIO PUBLICO </t>
  </si>
  <si>
    <t>AREA M2 CALZADA</t>
  </si>
  <si>
    <t>SIGMA</t>
  </si>
  <si>
    <t>LONGITUD DE SEGMENTO</t>
  </si>
  <si>
    <t>ANCHO DE SEGMENTO</t>
  </si>
  <si>
    <t xml:space="preserve">KM/CARRIL </t>
  </si>
  <si>
    <t xml:space="preserve"> COSTO IMPLEMENTACIÓN DE PROTOCOLOS</t>
  </si>
  <si>
    <t>TOTAL OBRA</t>
  </si>
  <si>
    <t>PK ID</t>
  </si>
  <si>
    <t>No.</t>
  </si>
  <si>
    <t>LA SOLEDAD</t>
  </si>
  <si>
    <t>KR 17</t>
  </si>
  <si>
    <t>DESCRIPCION ELEMENTO</t>
  </si>
  <si>
    <t>Total</t>
  </si>
  <si>
    <t>Interventoría</t>
  </si>
  <si>
    <t>Obra</t>
  </si>
  <si>
    <t>Presupuestos asignados</t>
  </si>
  <si>
    <t>COSTO DIRECTO CALZADA + AIU + COMPONENTES + CONSULTORÍA (DIAG,E&amp;D)</t>
  </si>
  <si>
    <t>COSTO DIRECTO ESPACIO PÚBLICO + AIU + COMPONENTES + CONSULTORÍA (DIAG)</t>
  </si>
  <si>
    <t>VALOR OBRA</t>
  </si>
  <si>
    <t>TOTAL INTERVENCIÓN CIV</t>
  </si>
  <si>
    <t>TIPO DE INTERVENCION DE ESPACIO PUBLICO</t>
  </si>
  <si>
    <t>N/A</t>
  </si>
  <si>
    <t>KR 57</t>
  </si>
  <si>
    <t>QUIRINAL</t>
  </si>
  <si>
    <t>SALITRE ORIENTAL</t>
  </si>
  <si>
    <t>KR 20</t>
  </si>
  <si>
    <t>PABLO VI</t>
  </si>
  <si>
    <t>CL 58</t>
  </si>
  <si>
    <t>CL 58A</t>
  </si>
  <si>
    <t>KR 14A</t>
  </si>
  <si>
    <t>CALLE 51</t>
  </si>
  <si>
    <t>Subtotal</t>
  </si>
  <si>
    <t>Priorización</t>
  </si>
  <si>
    <t xml:space="preserve">PRIORIZACIÓN FINAL </t>
  </si>
  <si>
    <t>TOTAL</t>
  </si>
  <si>
    <t>DG 61B</t>
  </si>
  <si>
    <t>TV 22A</t>
  </si>
  <si>
    <t>TV 23</t>
  </si>
  <si>
    <t>CL 22B</t>
  </si>
  <si>
    <t>AK 60</t>
  </si>
  <si>
    <t>KR 63</t>
  </si>
  <si>
    <t>CL 44C</t>
  </si>
  <si>
    <t>CL 44D</t>
  </si>
  <si>
    <t>KR 58</t>
  </si>
  <si>
    <t>DG 40ABIS</t>
  </si>
  <si>
    <t>CL 41BIS</t>
  </si>
  <si>
    <t>KR 21</t>
  </si>
  <si>
    <t>CL 39</t>
  </si>
  <si>
    <t>CL 39A</t>
  </si>
  <si>
    <t>KR 26</t>
  </si>
  <si>
    <t>CL 61F</t>
  </si>
  <si>
    <t>CL 62</t>
  </si>
  <si>
    <t>DG 46</t>
  </si>
  <si>
    <t xml:space="preserve">TV 16 BIS </t>
  </si>
  <si>
    <t>TV 16A</t>
  </si>
  <si>
    <t>CL 30</t>
  </si>
  <si>
    <t>CL 31</t>
  </si>
  <si>
    <t>KR 28</t>
  </si>
  <si>
    <t>CALLE 53B</t>
  </si>
  <si>
    <t>CALLE 53 BIS</t>
  </si>
  <si>
    <t>CALLE 45</t>
  </si>
  <si>
    <t>CARRERA 52</t>
  </si>
  <si>
    <t>CARRERA 53</t>
  </si>
  <si>
    <t>CALLE 44 B</t>
  </si>
  <si>
    <t>CRA 58</t>
  </si>
  <si>
    <t>CRA 59</t>
  </si>
  <si>
    <t>CRA 28 BIS</t>
  </si>
  <si>
    <t>CALLE 52A</t>
  </si>
  <si>
    <t>GAB</t>
  </si>
  <si>
    <t>LAB DE INFRA</t>
  </si>
  <si>
    <t xml:space="preserve">Actividades  Especiales </t>
  </si>
  <si>
    <t>Acciones de Movilidad</t>
  </si>
  <si>
    <t>ANDEN</t>
  </si>
  <si>
    <t>CRA 14</t>
  </si>
  <si>
    <t>CALLE 60</t>
  </si>
  <si>
    <t>CRA 14A</t>
  </si>
  <si>
    <t>CRA 27A</t>
  </si>
  <si>
    <t>CRA 28</t>
  </si>
  <si>
    <t>Comunidad</t>
  </si>
  <si>
    <t>Rehabilitación</t>
  </si>
  <si>
    <t>carrera 19</t>
  </si>
  <si>
    <t>calle 32</t>
  </si>
  <si>
    <t>calle 33</t>
  </si>
  <si>
    <t>DG 40A</t>
  </si>
  <si>
    <t>CRA 15</t>
  </si>
  <si>
    <t>AV CARACAS</t>
  </si>
  <si>
    <t>CALLE 40</t>
  </si>
  <si>
    <t>CR 25</t>
  </si>
  <si>
    <t>CR 26</t>
  </si>
  <si>
    <t>CL 45C</t>
  </si>
  <si>
    <t>CRA 21A</t>
  </si>
  <si>
    <t>CRA 22</t>
  </si>
  <si>
    <t>Reconstrucción</t>
  </si>
  <si>
    <t xml:space="preserve">CRA 21  </t>
  </si>
  <si>
    <t>comunidad</t>
  </si>
  <si>
    <t>CRA 27B</t>
  </si>
  <si>
    <t>CL 53A</t>
  </si>
  <si>
    <t>CL 53B</t>
  </si>
  <si>
    <t>KR 27A</t>
  </si>
  <si>
    <t>KR 27B</t>
  </si>
  <si>
    <t>KR 15</t>
  </si>
  <si>
    <t>CL 51</t>
  </si>
  <si>
    <t>CL 52</t>
  </si>
  <si>
    <t>Rehabilitacion Andén</t>
  </si>
  <si>
    <t>Mantenimiento</t>
  </si>
  <si>
    <t>KR 43</t>
  </si>
  <si>
    <t>CL 25B</t>
  </si>
  <si>
    <t>AC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</si>
</sst>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&quot;$&quot;\ #,##0"/>
    <numFmt numFmtId="166" formatCode="0.0%"/>
    <numFmt numFmtId="167" formatCode="&quot;$&quot;\ #,##0.0000"/>
    <numFmt numFmtId="168" formatCode="&quot;$&quot;\ #,##0.00"/>
  </numFmts>
  <fonts count="17" x14ac:knownFonts="1">
    <font>
      <sz val="11"/>
      <color theme="1"/>
      <name val="Calibri"/>
      <family val="2"/>
      <scheme val="minor"/>
    </font>
    <font>
      <sz val="9"/>
      <color theme="1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10" fillId="0" borderId="0"/>
  </cellStyleXfs>
  <cellXfs count="10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0" fontId="9" fillId="0" borderId="0" xfId="2" applyFont="1" applyAlignment="1">
      <alignment horizontal="center"/>
    </xf>
    <xf numFmtId="165" fontId="9" fillId="0" borderId="0" xfId="2" applyNumberFormat="1" applyFont="1" applyAlignment="1">
      <alignment horizontal="center"/>
    </xf>
    <xf numFmtId="165" fontId="9" fillId="0" borderId="1" xfId="2" applyNumberFormat="1" applyFont="1" applyBorder="1" applyAlignment="1">
      <alignment horizontal="center"/>
    </xf>
    <xf numFmtId="166" fontId="9" fillId="0" borderId="1" xfId="2" applyNumberFormat="1" applyFont="1" applyBorder="1" applyAlignment="1">
      <alignment horizontal="center"/>
    </xf>
    <xf numFmtId="165" fontId="9" fillId="0" borderId="2" xfId="2" applyNumberFormat="1" applyFont="1" applyBorder="1" applyAlignment="1">
      <alignment horizontal="center"/>
    </xf>
    <xf numFmtId="165" fontId="11" fillId="6" borderId="1" xfId="2" applyNumberFormat="1" applyFont="1" applyFill="1" applyBorder="1" applyAlignment="1">
      <alignment horizontal="center"/>
    </xf>
    <xf numFmtId="165" fontId="11" fillId="5" borderId="1" xfId="2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165" fontId="0" fillId="0" borderId="0" xfId="0" applyNumberFormat="1"/>
    <xf numFmtId="165" fontId="9" fillId="0" borderId="0" xfId="2" applyNumberFormat="1" applyFont="1" applyBorder="1" applyAlignment="1">
      <alignment horizontal="center"/>
    </xf>
    <xf numFmtId="167" fontId="11" fillId="6" borderId="1" xfId="2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4" fontId="4" fillId="10" borderId="18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168" fontId="0" fillId="0" borderId="0" xfId="0" applyNumberFormat="1" applyFill="1"/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44" fontId="0" fillId="0" borderId="0" xfId="0" applyNumberFormat="1" applyFill="1"/>
    <xf numFmtId="164" fontId="0" fillId="0" borderId="0" xfId="0" applyNumberFormat="1" applyFill="1"/>
    <xf numFmtId="44" fontId="4" fillId="0" borderId="5" xfId="1" applyFont="1" applyFill="1" applyBorder="1" applyAlignment="1">
      <alignment horizontal="center" vertical="center"/>
    </xf>
    <xf numFmtId="44" fontId="4" fillId="0" borderId="17" xfId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center" vertical="center"/>
    </xf>
    <xf numFmtId="2" fontId="7" fillId="0" borderId="15" xfId="0" applyNumberFormat="1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8" borderId="9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2" fontId="8" fillId="10" borderId="1" xfId="0" applyNumberFormat="1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 wrapText="1"/>
    </xf>
    <xf numFmtId="44" fontId="4" fillId="0" borderId="2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4" fontId="0" fillId="0" borderId="0" xfId="1" applyFont="1"/>
    <xf numFmtId="0" fontId="0" fillId="0" borderId="1" xfId="0" applyFill="1" applyBorder="1" applyAlignment="1">
      <alignment horizontal="center" vertical="center"/>
    </xf>
    <xf numFmtId="168" fontId="9" fillId="0" borderId="0" xfId="2" applyNumberFormat="1" applyFont="1" applyAlignment="1">
      <alignment horizontal="center"/>
    </xf>
    <xf numFmtId="165" fontId="6" fillId="7" borderId="23" xfId="0" applyNumberFormat="1" applyFont="1" applyFill="1" applyBorder="1" applyAlignment="1">
      <alignment horizontal="center" vertical="center"/>
    </xf>
    <xf numFmtId="44" fontId="0" fillId="0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44" fontId="4" fillId="0" borderId="0" xfId="1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44" fontId="4" fillId="0" borderId="24" xfId="1" applyFont="1" applyFill="1" applyBorder="1" applyAlignment="1">
      <alignment horizontal="center" vertical="center"/>
    </xf>
    <xf numFmtId="44" fontId="6" fillId="0" borderId="25" xfId="0" applyNumberFormat="1" applyFont="1" applyFill="1" applyBorder="1" applyAlignment="1">
      <alignment horizontal="center" vertical="center"/>
    </xf>
    <xf numFmtId="165" fontId="9" fillId="0" borderId="25" xfId="2" applyNumberFormat="1" applyFont="1" applyBorder="1" applyAlignment="1">
      <alignment horizontal="center" vertical="center"/>
    </xf>
    <xf numFmtId="165" fontId="12" fillId="7" borderId="1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4" fillId="0" borderId="5" xfId="0" applyNumberFormat="1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44" fontId="4" fillId="0" borderId="26" xfId="1" applyFont="1" applyFill="1" applyBorder="1" applyAlignment="1">
      <alignment horizontal="center" vertical="center"/>
    </xf>
    <xf numFmtId="44" fontId="4" fillId="0" borderId="27" xfId="1" applyFont="1" applyFill="1" applyBorder="1" applyAlignment="1">
      <alignment horizontal="center" vertical="center"/>
    </xf>
    <xf numFmtId="44" fontId="4" fillId="10" borderId="21" xfId="0" applyNumberFormat="1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4" fontId="4" fillId="0" borderId="18" xfId="0" applyNumberFormat="1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 wrapText="1"/>
    </xf>
    <xf numFmtId="2" fontId="6" fillId="0" borderId="0" xfId="0" applyNumberFormat="1" applyFont="1"/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65" fontId="11" fillId="5" borderId="10" xfId="2" applyNumberFormat="1" applyFont="1" applyFill="1" applyBorder="1" applyAlignment="1">
      <alignment horizontal="center"/>
    </xf>
    <xf numFmtId="165" fontId="11" fillId="5" borderId="7" xfId="2" applyNumberFormat="1" applyFont="1" applyFill="1" applyBorder="1" applyAlignment="1">
      <alignment horizontal="center"/>
    </xf>
    <xf numFmtId="44" fontId="0" fillId="0" borderId="21" xfId="0" applyNumberFormat="1" applyFill="1" applyBorder="1" applyAlignment="1">
      <alignment horizontal="center" vertical="center"/>
    </xf>
    <xf numFmtId="44" fontId="0" fillId="0" borderId="22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7"/>
  <sheetViews>
    <sheetView tabSelected="1" zoomScale="75" zoomScaleNormal="75" workbookViewId="0">
      <selection activeCell="AA19" sqref="AA19:AA30"/>
    </sheetView>
  </sheetViews>
  <sheetFormatPr baseColWidth="10" defaultRowHeight="14.4" x14ac:dyDescent="0.3"/>
  <cols>
    <col min="1" max="1" width="3.88671875" customWidth="1"/>
    <col min="2" max="2" width="6.33203125" style="2" customWidth="1"/>
    <col min="3" max="3" width="13" customWidth="1"/>
    <col min="4" max="4" width="11.44140625" style="2" customWidth="1"/>
    <col min="5" max="5" width="18.6640625" customWidth="1"/>
    <col min="6" max="6" width="13.6640625" customWidth="1"/>
    <col min="7" max="7" width="13" customWidth="1"/>
    <col min="8" max="8" width="14.33203125" customWidth="1"/>
    <col min="9" max="9" width="16.88671875" customWidth="1"/>
    <col min="10" max="10" width="18.33203125" hidden="1" customWidth="1"/>
    <col min="11" max="11" width="11.44140625" hidden="1" customWidth="1"/>
    <col min="12" max="12" width="15.109375" customWidth="1"/>
    <col min="13" max="13" width="18.44140625" customWidth="1"/>
    <col min="14" max="14" width="18.5546875" customWidth="1"/>
    <col min="15" max="15" width="14.6640625" customWidth="1"/>
    <col min="16" max="16" width="16.109375" customWidth="1"/>
    <col min="17" max="17" width="22.88671875" customWidth="1"/>
    <col min="18" max="18" width="19" customWidth="1"/>
    <col min="19" max="19" width="23.109375" customWidth="1"/>
    <col min="20" max="20" width="25.109375" customWidth="1"/>
    <col min="21" max="21" width="22.88671875" customWidth="1"/>
    <col min="22" max="22" width="31.5546875" hidden="1" customWidth="1"/>
    <col min="23" max="23" width="21.88671875" customWidth="1"/>
    <col min="24" max="24" width="23" customWidth="1"/>
    <col min="25" max="25" width="24.44140625" hidden="1" customWidth="1"/>
    <col min="26" max="26" width="11.44140625" customWidth="1"/>
    <col min="27" max="27" width="37.6640625" customWidth="1"/>
    <col min="29" max="29" width="21.33203125" customWidth="1"/>
    <col min="30" max="30" width="22.44140625" customWidth="1"/>
  </cols>
  <sheetData>
    <row r="1" spans="1:32" ht="15" thickBot="1" x14ac:dyDescent="0.35"/>
    <row r="2" spans="1:32" ht="15" customHeight="1" x14ac:dyDescent="0.3">
      <c r="A2" s="2"/>
      <c r="B2" s="89" t="s">
        <v>43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1"/>
    </row>
    <row r="3" spans="1:32" ht="15.75" customHeight="1" thickBot="1" x14ac:dyDescent="0.35">
      <c r="A3" s="2"/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4"/>
      <c r="Y3" s="95"/>
    </row>
    <row r="4" spans="1:32" s="1" customFormat="1" ht="31.5" customHeight="1" thickBot="1" x14ac:dyDescent="0.25">
      <c r="A4" s="15"/>
      <c r="B4" s="29" t="s">
        <v>18</v>
      </c>
      <c r="C4" s="30" t="s">
        <v>0</v>
      </c>
      <c r="D4" s="30" t="s">
        <v>17</v>
      </c>
      <c r="E4" s="30" t="s">
        <v>21</v>
      </c>
      <c r="F4" s="30" t="s">
        <v>1</v>
      </c>
      <c r="G4" s="30" t="s">
        <v>2</v>
      </c>
      <c r="H4" s="30" t="s">
        <v>3</v>
      </c>
      <c r="I4" s="30" t="s">
        <v>42</v>
      </c>
      <c r="J4" s="21" t="s">
        <v>4</v>
      </c>
      <c r="K4" s="21" t="s">
        <v>8</v>
      </c>
      <c r="L4" s="20" t="s">
        <v>9</v>
      </c>
      <c r="M4" s="20" t="s">
        <v>12</v>
      </c>
      <c r="N4" s="48" t="s">
        <v>13</v>
      </c>
      <c r="O4" s="87" t="s">
        <v>10</v>
      </c>
      <c r="P4" s="87" t="s">
        <v>14</v>
      </c>
      <c r="Q4" s="51" t="s">
        <v>5</v>
      </c>
      <c r="R4" s="20" t="s">
        <v>30</v>
      </c>
      <c r="S4" s="3" t="s">
        <v>26</v>
      </c>
      <c r="T4" s="4" t="s">
        <v>27</v>
      </c>
      <c r="U4" s="3" t="s">
        <v>16</v>
      </c>
      <c r="V4" s="4" t="s">
        <v>15</v>
      </c>
      <c r="W4" s="23" t="s">
        <v>28</v>
      </c>
      <c r="X4" s="59"/>
      <c r="Y4" s="22" t="s">
        <v>29</v>
      </c>
    </row>
    <row r="5" spans="1:32" s="6" customFormat="1" ht="16.2" thickBot="1" x14ac:dyDescent="0.35">
      <c r="A5" s="85"/>
      <c r="B5" s="7">
        <v>1</v>
      </c>
      <c r="C5" s="68">
        <v>13001337</v>
      </c>
      <c r="D5" s="5">
        <v>181133</v>
      </c>
      <c r="E5" s="5" t="s">
        <v>6</v>
      </c>
      <c r="F5" s="55" t="s">
        <v>99</v>
      </c>
      <c r="G5" s="55" t="s">
        <v>100</v>
      </c>
      <c r="H5" s="55" t="s">
        <v>101</v>
      </c>
      <c r="I5" s="5" t="s">
        <v>104</v>
      </c>
      <c r="J5" s="5" t="s">
        <v>34</v>
      </c>
      <c r="K5" s="7" t="s">
        <v>11</v>
      </c>
      <c r="L5" s="74">
        <v>0</v>
      </c>
      <c r="M5" s="74">
        <v>46</v>
      </c>
      <c r="N5" s="74">
        <v>6.7</v>
      </c>
      <c r="O5" s="74">
        <f t="shared" ref="O5:O18" si="0">M5*N5</f>
        <v>308.2</v>
      </c>
      <c r="P5" s="74">
        <f t="shared" ref="P5:P18" si="1">+O5/3500</f>
        <v>8.8057142857142848E-2</v>
      </c>
      <c r="Q5" s="5"/>
      <c r="R5" s="25" t="s">
        <v>102</v>
      </c>
      <c r="S5" s="26">
        <f>664785*O5</f>
        <v>204886737</v>
      </c>
      <c r="T5" s="26">
        <f>64163*L5</f>
        <v>0</v>
      </c>
      <c r="U5" s="26">
        <f>+S5+T5</f>
        <v>204886737</v>
      </c>
      <c r="V5" s="26"/>
      <c r="W5" s="26">
        <f t="shared" ref="W5:W18" si="2">ROUND(+U5+V5,0)</f>
        <v>204886737</v>
      </c>
      <c r="X5" s="60"/>
      <c r="Y5" s="86">
        <f>+W5+X5</f>
        <v>204886737</v>
      </c>
    </row>
    <row r="6" spans="1:32" ht="16.2" thickBot="1" x14ac:dyDescent="0.35">
      <c r="A6" s="2"/>
      <c r="B6" s="7">
        <v>2</v>
      </c>
      <c r="C6" s="68">
        <v>13001341</v>
      </c>
      <c r="D6" s="5">
        <v>181132</v>
      </c>
      <c r="E6" s="5" t="s">
        <v>6</v>
      </c>
      <c r="F6" s="55" t="s">
        <v>99</v>
      </c>
      <c r="G6" s="55" t="s">
        <v>103</v>
      </c>
      <c r="H6" s="55" t="s">
        <v>100</v>
      </c>
      <c r="I6" s="5" t="s">
        <v>104</v>
      </c>
      <c r="J6" s="5" t="s">
        <v>33</v>
      </c>
      <c r="K6" s="7" t="s">
        <v>11</v>
      </c>
      <c r="L6" s="74">
        <v>0</v>
      </c>
      <c r="M6" s="74">
        <v>46</v>
      </c>
      <c r="N6" s="74">
        <v>7</v>
      </c>
      <c r="O6" s="74">
        <f t="shared" si="0"/>
        <v>322</v>
      </c>
      <c r="P6" s="74">
        <f t="shared" si="1"/>
        <v>9.1999999999999998E-2</v>
      </c>
      <c r="Q6" s="5"/>
      <c r="R6" s="25" t="s">
        <v>102</v>
      </c>
      <c r="S6" s="26">
        <f>664785*O6</f>
        <v>214060770</v>
      </c>
      <c r="T6" s="26">
        <f>64163*L6</f>
        <v>0</v>
      </c>
      <c r="U6" s="26">
        <f t="shared" ref="U6:U18" si="3">+S6+T6</f>
        <v>214060770</v>
      </c>
      <c r="V6" s="26"/>
      <c r="W6" s="26">
        <f t="shared" si="2"/>
        <v>214060770</v>
      </c>
      <c r="X6" s="60"/>
      <c r="Y6" s="24">
        <f t="shared" ref="Y6:Y18" si="4">+W6+X6</f>
        <v>214060770</v>
      </c>
    </row>
    <row r="7" spans="1:32" ht="16.2" thickBot="1" x14ac:dyDescent="0.35">
      <c r="A7" s="2"/>
      <c r="B7" s="7">
        <v>3</v>
      </c>
      <c r="C7" s="68">
        <v>13000937</v>
      </c>
      <c r="D7" s="69">
        <v>180692</v>
      </c>
      <c r="E7" s="5" t="s">
        <v>6</v>
      </c>
      <c r="F7" s="55" t="s">
        <v>105</v>
      </c>
      <c r="G7" s="55" t="s">
        <v>106</v>
      </c>
      <c r="H7" s="55" t="s">
        <v>107</v>
      </c>
      <c r="I7" s="5" t="s">
        <v>104</v>
      </c>
      <c r="J7" s="5" t="s">
        <v>33</v>
      </c>
      <c r="K7" s="7" t="s">
        <v>11</v>
      </c>
      <c r="L7" s="74">
        <v>0</v>
      </c>
      <c r="M7" s="25">
        <v>88</v>
      </c>
      <c r="N7" s="25">
        <v>7</v>
      </c>
      <c r="O7" s="74">
        <f t="shared" si="0"/>
        <v>616</v>
      </c>
      <c r="P7" s="74">
        <f t="shared" si="1"/>
        <v>0.17599999999999999</v>
      </c>
      <c r="Q7" s="5"/>
      <c r="R7" s="25" t="s">
        <v>102</v>
      </c>
      <c r="S7" s="26">
        <f>664785*O7</f>
        <v>409507560</v>
      </c>
      <c r="T7" s="39">
        <f>64163*L7</f>
        <v>0</v>
      </c>
      <c r="U7" s="26">
        <f t="shared" si="3"/>
        <v>409507560</v>
      </c>
      <c r="V7" s="26"/>
      <c r="W7" s="26">
        <f t="shared" si="2"/>
        <v>409507560</v>
      </c>
      <c r="X7" s="60"/>
      <c r="Y7" s="24">
        <f t="shared" si="4"/>
        <v>409507560</v>
      </c>
    </row>
    <row r="8" spans="1:32" ht="16.2" thickBot="1" x14ac:dyDescent="0.35">
      <c r="A8" s="2"/>
      <c r="B8" s="7">
        <v>4</v>
      </c>
      <c r="C8" s="68">
        <v>13000937</v>
      </c>
      <c r="D8" s="69">
        <v>66745</v>
      </c>
      <c r="E8" s="5" t="s">
        <v>82</v>
      </c>
      <c r="F8" s="55" t="s">
        <v>105</v>
      </c>
      <c r="G8" s="55" t="s">
        <v>106</v>
      </c>
      <c r="H8" s="55" t="s">
        <v>107</v>
      </c>
      <c r="I8" s="5" t="s">
        <v>104</v>
      </c>
      <c r="J8" s="5"/>
      <c r="K8" s="7"/>
      <c r="L8" s="74">
        <f>M8*N8</f>
        <v>248.9751</v>
      </c>
      <c r="M8" s="25">
        <v>82.17</v>
      </c>
      <c r="N8" s="25">
        <v>3.03</v>
      </c>
      <c r="O8" s="74"/>
      <c r="P8" s="74"/>
      <c r="Q8" s="5" t="s">
        <v>113</v>
      </c>
      <c r="R8" s="25"/>
      <c r="S8" s="26"/>
      <c r="T8" s="39">
        <f>161345*L8</f>
        <v>40170887.509499997</v>
      </c>
      <c r="U8" s="26">
        <f t="shared" si="3"/>
        <v>40170887.509499997</v>
      </c>
      <c r="V8" s="26"/>
      <c r="W8" s="26">
        <f t="shared" si="2"/>
        <v>40170888</v>
      </c>
      <c r="X8" s="60"/>
      <c r="Y8" s="24"/>
    </row>
    <row r="9" spans="1:32" ht="16.2" thickBot="1" x14ac:dyDescent="0.35">
      <c r="A9" s="2"/>
      <c r="B9" s="7">
        <v>5</v>
      </c>
      <c r="C9" s="68">
        <v>13000937</v>
      </c>
      <c r="D9" s="69">
        <v>66746</v>
      </c>
      <c r="E9" s="5" t="s">
        <v>82</v>
      </c>
      <c r="F9" s="55" t="s">
        <v>105</v>
      </c>
      <c r="G9" s="55" t="s">
        <v>106</v>
      </c>
      <c r="H9" s="55" t="s">
        <v>107</v>
      </c>
      <c r="I9" s="5" t="s">
        <v>104</v>
      </c>
      <c r="J9" s="5"/>
      <c r="K9" s="7"/>
      <c r="L9" s="74">
        <f>M9*N9</f>
        <v>184.5</v>
      </c>
      <c r="M9" s="25">
        <v>82</v>
      </c>
      <c r="N9" s="25">
        <v>2.25</v>
      </c>
      <c r="O9" s="74"/>
      <c r="P9" s="74"/>
      <c r="Q9" s="5" t="s">
        <v>113</v>
      </c>
      <c r="R9" s="25"/>
      <c r="S9" s="26"/>
      <c r="T9" s="39">
        <f>161345*L9</f>
        <v>29768152.5</v>
      </c>
      <c r="U9" s="26">
        <f t="shared" si="3"/>
        <v>29768152.5</v>
      </c>
      <c r="V9" s="26"/>
      <c r="W9" s="26">
        <f t="shared" si="2"/>
        <v>29768153</v>
      </c>
      <c r="X9" s="60"/>
      <c r="Y9" s="24"/>
    </row>
    <row r="10" spans="1:32" ht="16.2" thickBot="1" x14ac:dyDescent="0.35">
      <c r="A10" s="2"/>
      <c r="B10" s="7">
        <v>6</v>
      </c>
      <c r="C10" s="68">
        <v>13000927</v>
      </c>
      <c r="D10" s="69">
        <v>180717</v>
      </c>
      <c r="E10" s="5" t="s">
        <v>6</v>
      </c>
      <c r="F10" s="55" t="s">
        <v>67</v>
      </c>
      <c r="G10" s="55" t="s">
        <v>106</v>
      </c>
      <c r="H10" s="55" t="s">
        <v>107</v>
      </c>
      <c r="I10" s="5" t="s">
        <v>104</v>
      </c>
      <c r="J10" s="5"/>
      <c r="K10" s="7"/>
      <c r="L10" s="74">
        <v>0</v>
      </c>
      <c r="M10" s="25">
        <v>92</v>
      </c>
      <c r="N10" s="25">
        <v>6.57</v>
      </c>
      <c r="O10" s="74">
        <f t="shared" si="0"/>
        <v>604.44000000000005</v>
      </c>
      <c r="P10" s="74">
        <f t="shared" si="1"/>
        <v>0.17269714285714288</v>
      </c>
      <c r="Q10" s="5"/>
      <c r="R10" s="25" t="s">
        <v>114</v>
      </c>
      <c r="S10" s="26">
        <f>112290*O10</f>
        <v>67872567.600000009</v>
      </c>
      <c r="T10" s="39"/>
      <c r="U10" s="26">
        <f t="shared" si="3"/>
        <v>67872567.600000009</v>
      </c>
      <c r="V10" s="26"/>
      <c r="W10" s="26">
        <f t="shared" si="2"/>
        <v>67872568</v>
      </c>
      <c r="X10" s="60"/>
      <c r="Y10" s="24"/>
    </row>
    <row r="11" spans="1:32" ht="16.2" thickBot="1" x14ac:dyDescent="0.35">
      <c r="A11" s="2"/>
      <c r="B11" s="7">
        <v>7</v>
      </c>
      <c r="C11" s="68">
        <v>13000943</v>
      </c>
      <c r="D11" s="70">
        <v>181260</v>
      </c>
      <c r="E11" s="5" t="s">
        <v>6</v>
      </c>
      <c r="F11" s="55" t="s">
        <v>106</v>
      </c>
      <c r="G11" s="55" t="s">
        <v>108</v>
      </c>
      <c r="H11" s="55" t="s">
        <v>109</v>
      </c>
      <c r="I11" s="5" t="s">
        <v>104</v>
      </c>
      <c r="J11" s="70"/>
      <c r="K11" s="7" t="s">
        <v>11</v>
      </c>
      <c r="L11" s="74">
        <v>0</v>
      </c>
      <c r="M11" s="25">
        <v>55</v>
      </c>
      <c r="N11" s="25">
        <v>6.5</v>
      </c>
      <c r="O11" s="74">
        <f t="shared" si="0"/>
        <v>357.5</v>
      </c>
      <c r="P11" s="74">
        <f t="shared" si="1"/>
        <v>0.10214285714285715</v>
      </c>
      <c r="Q11" s="5"/>
      <c r="R11" s="25" t="s">
        <v>89</v>
      </c>
      <c r="S11" s="26">
        <f>419417*O11</f>
        <v>149941577.5</v>
      </c>
      <c r="T11" s="39">
        <f t="shared" ref="T11" si="5">64163*L11</f>
        <v>0</v>
      </c>
      <c r="U11" s="26">
        <f t="shared" si="3"/>
        <v>149941577.5</v>
      </c>
      <c r="V11" s="26"/>
      <c r="W11" s="26">
        <f t="shared" si="2"/>
        <v>149941578</v>
      </c>
      <c r="X11" s="60"/>
      <c r="Y11" s="24">
        <f t="shared" si="4"/>
        <v>149941578</v>
      </c>
      <c r="AA11" s="43"/>
    </row>
    <row r="12" spans="1:32" ht="16.2" thickBot="1" x14ac:dyDescent="0.35">
      <c r="A12" s="2"/>
      <c r="B12" s="7">
        <v>8</v>
      </c>
      <c r="C12" s="68">
        <v>13000943</v>
      </c>
      <c r="D12" s="70">
        <v>67772</v>
      </c>
      <c r="E12" s="5" t="s">
        <v>82</v>
      </c>
      <c r="F12" s="55" t="s">
        <v>106</v>
      </c>
      <c r="G12" s="55" t="s">
        <v>108</v>
      </c>
      <c r="H12" s="55" t="s">
        <v>109</v>
      </c>
      <c r="I12" s="5" t="s">
        <v>104</v>
      </c>
      <c r="J12" s="70"/>
      <c r="K12" s="7"/>
      <c r="L12" s="74">
        <f>M12*N12</f>
        <v>168</v>
      </c>
      <c r="M12" s="25">
        <v>60</v>
      </c>
      <c r="N12" s="25">
        <v>2.8</v>
      </c>
      <c r="O12" s="74">
        <f t="shared" si="0"/>
        <v>168</v>
      </c>
      <c r="P12" s="74"/>
      <c r="Q12" s="5" t="s">
        <v>113</v>
      </c>
      <c r="R12" s="25"/>
      <c r="S12" s="26"/>
      <c r="T12" s="39">
        <f>161345*L12</f>
        <v>27105960</v>
      </c>
      <c r="U12" s="26">
        <f>T12</f>
        <v>27105960</v>
      </c>
      <c r="V12" s="26"/>
      <c r="W12" s="26">
        <f t="shared" si="2"/>
        <v>27105960</v>
      </c>
      <c r="X12" s="60"/>
      <c r="Y12" s="24">
        <f t="shared" si="4"/>
        <v>27105960</v>
      </c>
      <c r="AA12" s="43"/>
    </row>
    <row r="13" spans="1:32" ht="16.2" thickBot="1" x14ac:dyDescent="0.35">
      <c r="A13" s="2"/>
      <c r="B13" s="7">
        <v>9</v>
      </c>
      <c r="C13" s="68">
        <v>13000943</v>
      </c>
      <c r="D13" s="70">
        <v>67773</v>
      </c>
      <c r="E13" s="5" t="s">
        <v>82</v>
      </c>
      <c r="F13" s="55" t="s">
        <v>106</v>
      </c>
      <c r="G13" s="55" t="s">
        <v>108</v>
      </c>
      <c r="H13" s="55" t="s">
        <v>109</v>
      </c>
      <c r="I13" s="5" t="s">
        <v>104</v>
      </c>
      <c r="J13" s="70"/>
      <c r="K13" s="7"/>
      <c r="L13" s="74">
        <f>M13*N13</f>
        <v>105.875</v>
      </c>
      <c r="M13" s="25">
        <v>42.35</v>
      </c>
      <c r="N13" s="25">
        <v>2.5</v>
      </c>
      <c r="O13" s="74"/>
      <c r="P13" s="74"/>
      <c r="Q13" s="5" t="s">
        <v>113</v>
      </c>
      <c r="R13" s="25"/>
      <c r="S13" s="26"/>
      <c r="T13" s="39">
        <f>161345*L13</f>
        <v>17082401.875</v>
      </c>
      <c r="U13" s="26">
        <f>T13</f>
        <v>17082401.875</v>
      </c>
      <c r="V13" s="26"/>
      <c r="W13" s="26">
        <f t="shared" si="2"/>
        <v>17082402</v>
      </c>
      <c r="X13" s="60"/>
      <c r="Y13" s="24"/>
      <c r="AA13" s="43"/>
    </row>
    <row r="14" spans="1:32" ht="16.2" thickBot="1" x14ac:dyDescent="0.35">
      <c r="A14" s="2"/>
      <c r="B14" s="7">
        <v>10</v>
      </c>
      <c r="C14" s="68">
        <v>13001190</v>
      </c>
      <c r="D14" s="69">
        <v>180248</v>
      </c>
      <c r="E14" s="5" t="s">
        <v>6</v>
      </c>
      <c r="F14" s="55" t="s">
        <v>110</v>
      </c>
      <c r="G14" s="55" t="s">
        <v>111</v>
      </c>
      <c r="H14" s="55" t="s">
        <v>112</v>
      </c>
      <c r="I14" s="5" t="s">
        <v>104</v>
      </c>
      <c r="J14" s="70" t="s">
        <v>19</v>
      </c>
      <c r="K14" s="7" t="s">
        <v>11</v>
      </c>
      <c r="L14" s="74">
        <v>0</v>
      </c>
      <c r="M14" s="25">
        <v>111</v>
      </c>
      <c r="N14" s="25">
        <v>7</v>
      </c>
      <c r="O14" s="74">
        <f t="shared" si="0"/>
        <v>777</v>
      </c>
      <c r="P14" s="74">
        <f t="shared" si="1"/>
        <v>0.222</v>
      </c>
      <c r="Q14" s="5"/>
      <c r="R14" s="25" t="s">
        <v>89</v>
      </c>
      <c r="S14" s="26">
        <f>419417*O14</f>
        <v>325887009</v>
      </c>
      <c r="T14" s="39">
        <f>64163*L14</f>
        <v>0</v>
      </c>
      <c r="U14" s="26">
        <f t="shared" si="3"/>
        <v>325887009</v>
      </c>
      <c r="V14" s="26"/>
      <c r="W14" s="26">
        <f t="shared" si="2"/>
        <v>325887009</v>
      </c>
      <c r="X14" s="60"/>
      <c r="Y14" s="24">
        <f t="shared" si="4"/>
        <v>325887009</v>
      </c>
      <c r="AA14" s="6"/>
      <c r="AB14" s="6"/>
      <c r="AC14" s="6"/>
      <c r="AD14" s="6"/>
      <c r="AE14" s="6"/>
      <c r="AF14" s="6"/>
    </row>
    <row r="15" spans="1:32" ht="16.2" thickBot="1" x14ac:dyDescent="0.35">
      <c r="A15" s="2"/>
      <c r="B15" s="7">
        <v>11</v>
      </c>
      <c r="C15" s="68">
        <v>13001457</v>
      </c>
      <c r="D15" s="69">
        <v>181708</v>
      </c>
      <c r="E15" s="5" t="s">
        <v>6</v>
      </c>
      <c r="F15" s="69" t="s">
        <v>115</v>
      </c>
      <c r="G15" s="69" t="s">
        <v>116</v>
      </c>
      <c r="H15" s="69" t="s">
        <v>117</v>
      </c>
      <c r="I15" s="5" t="s">
        <v>104</v>
      </c>
      <c r="J15" s="70" t="s">
        <v>36</v>
      </c>
      <c r="K15" s="7" t="s">
        <v>11</v>
      </c>
      <c r="L15" s="74">
        <v>0</v>
      </c>
      <c r="M15" s="25">
        <v>55</v>
      </c>
      <c r="N15" s="25">
        <v>6.6</v>
      </c>
      <c r="O15" s="74">
        <f t="shared" si="0"/>
        <v>363</v>
      </c>
      <c r="P15" s="74">
        <f t="shared" si="1"/>
        <v>0.10371428571428572</v>
      </c>
      <c r="Q15" s="5"/>
      <c r="R15" s="25" t="s">
        <v>89</v>
      </c>
      <c r="S15" s="26">
        <f>419417*O15</f>
        <v>152248371</v>
      </c>
      <c r="T15" s="39">
        <f t="shared" ref="T15" si="6">64163*L15</f>
        <v>0</v>
      </c>
      <c r="U15" s="26">
        <f t="shared" si="3"/>
        <v>152248371</v>
      </c>
      <c r="V15" s="26"/>
      <c r="W15" s="26">
        <f t="shared" si="2"/>
        <v>152248371</v>
      </c>
      <c r="X15" s="60"/>
      <c r="Y15" s="24">
        <f t="shared" si="4"/>
        <v>152248371</v>
      </c>
      <c r="AA15" s="6"/>
      <c r="AB15" s="6"/>
      <c r="AC15" s="6"/>
      <c r="AD15" s="6"/>
      <c r="AE15" s="6"/>
      <c r="AF15" s="6"/>
    </row>
    <row r="16" spans="1:32" ht="16.2" thickBot="1" x14ac:dyDescent="0.35">
      <c r="A16" s="2"/>
      <c r="B16" s="7">
        <v>12</v>
      </c>
      <c r="C16" s="68">
        <v>13001429</v>
      </c>
      <c r="D16" s="71">
        <v>181109</v>
      </c>
      <c r="E16" s="5" t="s">
        <v>6</v>
      </c>
      <c r="F16" s="71" t="s">
        <v>62</v>
      </c>
      <c r="G16" s="71" t="s">
        <v>63</v>
      </c>
      <c r="H16" s="71" t="s">
        <v>64</v>
      </c>
      <c r="I16" s="5" t="s">
        <v>79</v>
      </c>
      <c r="J16" s="71"/>
      <c r="K16" s="7"/>
      <c r="L16" s="74">
        <v>0</v>
      </c>
      <c r="M16" s="74">
        <v>69.599999999999994</v>
      </c>
      <c r="N16" s="25">
        <v>7</v>
      </c>
      <c r="O16" s="74">
        <f t="shared" si="0"/>
        <v>487.19999999999993</v>
      </c>
      <c r="P16" s="74">
        <f t="shared" si="1"/>
        <v>0.13919999999999999</v>
      </c>
      <c r="Q16" s="25"/>
      <c r="R16" s="25" t="s">
        <v>89</v>
      </c>
      <c r="S16" s="26">
        <f>419417*O16</f>
        <v>204339962.39999998</v>
      </c>
      <c r="T16" s="39"/>
      <c r="U16" s="26">
        <f t="shared" si="3"/>
        <v>204339962.39999998</v>
      </c>
      <c r="V16" s="26"/>
      <c r="W16" s="26">
        <f t="shared" si="2"/>
        <v>204339962</v>
      </c>
      <c r="X16" s="60"/>
      <c r="Y16" s="24">
        <f t="shared" si="4"/>
        <v>204339962</v>
      </c>
    </row>
    <row r="17" spans="1:27" ht="16.2" thickBot="1" x14ac:dyDescent="0.35">
      <c r="A17" s="2"/>
      <c r="B17" s="7">
        <v>13</v>
      </c>
      <c r="C17" s="68">
        <v>13002328</v>
      </c>
      <c r="D17" s="71">
        <v>506520</v>
      </c>
      <c r="E17" s="5" t="s">
        <v>6</v>
      </c>
      <c r="F17" s="71" t="s">
        <v>20</v>
      </c>
      <c r="G17" s="71" t="s">
        <v>65</v>
      </c>
      <c r="H17" s="71" t="s">
        <v>66</v>
      </c>
      <c r="I17" s="5" t="s">
        <v>79</v>
      </c>
      <c r="J17" s="71"/>
      <c r="K17" s="7"/>
      <c r="L17" s="74">
        <v>0</v>
      </c>
      <c r="M17" s="74">
        <v>73</v>
      </c>
      <c r="N17" s="25">
        <v>7.71</v>
      </c>
      <c r="O17" s="74">
        <f t="shared" si="0"/>
        <v>562.83000000000004</v>
      </c>
      <c r="P17" s="74">
        <f t="shared" si="1"/>
        <v>0.16080857142857144</v>
      </c>
      <c r="Q17" s="25"/>
      <c r="R17" s="25" t="s">
        <v>102</v>
      </c>
      <c r="S17" s="26">
        <f>664785*O17</f>
        <v>374160941.55000001</v>
      </c>
      <c r="T17" s="39"/>
      <c r="U17" s="26">
        <f t="shared" si="3"/>
        <v>374160941.55000001</v>
      </c>
      <c r="V17" s="26"/>
      <c r="W17" s="26">
        <f t="shared" si="2"/>
        <v>374160942</v>
      </c>
      <c r="X17" s="60"/>
      <c r="Y17" s="24">
        <f t="shared" si="4"/>
        <v>374160942</v>
      </c>
    </row>
    <row r="18" spans="1:27" ht="15.6" x14ac:dyDescent="0.3">
      <c r="A18" s="2"/>
      <c r="B18" s="7">
        <v>14</v>
      </c>
      <c r="C18" s="68">
        <v>13001178</v>
      </c>
      <c r="D18" s="55">
        <v>180720</v>
      </c>
      <c r="E18" s="5" t="s">
        <v>6</v>
      </c>
      <c r="F18" s="71" t="s">
        <v>76</v>
      </c>
      <c r="G18" s="71" t="s">
        <v>40</v>
      </c>
      <c r="H18" s="71" t="s">
        <v>77</v>
      </c>
      <c r="I18" s="5" t="s">
        <v>79</v>
      </c>
      <c r="J18" s="71"/>
      <c r="K18" s="7" t="s">
        <v>11</v>
      </c>
      <c r="L18" s="74">
        <v>0</v>
      </c>
      <c r="M18" s="25">
        <v>157.83000000000001</v>
      </c>
      <c r="N18" s="71">
        <v>7.67</v>
      </c>
      <c r="O18" s="74">
        <f t="shared" si="0"/>
        <v>1210.5561</v>
      </c>
      <c r="P18" s="74">
        <f t="shared" si="1"/>
        <v>0.34587317142857144</v>
      </c>
      <c r="Q18" s="25"/>
      <c r="R18" s="25" t="s">
        <v>114</v>
      </c>
      <c r="S18" s="26">
        <f>112290*O18</f>
        <v>135933344.46900001</v>
      </c>
      <c r="T18" s="39">
        <f>180828*L18</f>
        <v>0</v>
      </c>
      <c r="U18" s="26">
        <f t="shared" si="3"/>
        <v>135933344.46900001</v>
      </c>
      <c r="V18" s="26"/>
      <c r="W18" s="26">
        <f t="shared" si="2"/>
        <v>135933344</v>
      </c>
      <c r="X18" s="60"/>
      <c r="Y18" s="24">
        <f t="shared" si="4"/>
        <v>135933344</v>
      </c>
    </row>
    <row r="19" spans="1:27" ht="18.600000000000001" thickBot="1" x14ac:dyDescent="0.35">
      <c r="A19" s="2"/>
      <c r="L19" s="88">
        <f>L13+L12+L9+L8</f>
        <v>707.3501</v>
      </c>
      <c r="O19" s="2"/>
      <c r="P19" s="40">
        <f>SUM(P5:P18)</f>
        <v>1.6024931714285713</v>
      </c>
      <c r="Q19" s="101" t="s">
        <v>41</v>
      </c>
      <c r="R19" s="101"/>
      <c r="S19" s="28"/>
      <c r="T19" s="28"/>
      <c r="U19" s="41"/>
      <c r="V19" s="53" t="s">
        <v>41</v>
      </c>
      <c r="W19" s="65">
        <f>SUM(W5:W18)</f>
        <v>2352966244</v>
      </c>
      <c r="X19" s="58"/>
      <c r="Y19" s="98"/>
    </row>
    <row r="20" spans="1:27" ht="22.5" customHeight="1" x14ac:dyDescent="0.3">
      <c r="A20" s="2"/>
      <c r="B20" s="44"/>
      <c r="C20" s="45"/>
      <c r="D20" s="27"/>
      <c r="E20" s="33"/>
      <c r="F20" s="32"/>
      <c r="G20" s="32"/>
      <c r="H20" s="32"/>
      <c r="I20" s="2"/>
      <c r="J20" s="2"/>
      <c r="K20" s="2"/>
      <c r="L20" s="16"/>
      <c r="M20" s="2"/>
      <c r="N20" s="2"/>
      <c r="O20" s="2"/>
      <c r="P20" s="16"/>
      <c r="Q20" s="100" t="s">
        <v>80</v>
      </c>
      <c r="R20" s="100"/>
      <c r="S20" s="28"/>
      <c r="T20" s="28"/>
      <c r="U20" s="63" t="s">
        <v>81</v>
      </c>
      <c r="W20" s="66">
        <v>804180157</v>
      </c>
      <c r="X20" s="61"/>
      <c r="Y20" s="99"/>
      <c r="AA20" s="17"/>
    </row>
    <row r="21" spans="1:27" ht="16.2" thickBot="1" x14ac:dyDescent="0.35">
      <c r="A21" s="2"/>
      <c r="B21" s="44"/>
      <c r="C21" s="46"/>
      <c r="D21" s="44"/>
      <c r="E21" s="33"/>
      <c r="F21" s="32"/>
      <c r="G21" s="32"/>
      <c r="H21" s="32"/>
      <c r="I21" s="2"/>
      <c r="J21" s="2"/>
      <c r="K21" s="2"/>
      <c r="L21" s="2"/>
      <c r="M21" s="2"/>
      <c r="N21" s="2"/>
      <c r="O21" s="2"/>
      <c r="P21" s="2"/>
      <c r="Q21" s="102" t="s">
        <v>44</v>
      </c>
      <c r="R21" s="103"/>
      <c r="S21" s="28"/>
      <c r="T21" s="28"/>
      <c r="U21" s="28"/>
      <c r="V21" s="53"/>
      <c r="W21" s="67">
        <f>+W19+W20</f>
        <v>3157146401</v>
      </c>
      <c r="X21" s="62"/>
      <c r="Y21" s="57"/>
      <c r="AA21" s="17"/>
    </row>
    <row r="22" spans="1:27" ht="15.6" x14ac:dyDescent="0.3">
      <c r="B22" s="44"/>
      <c r="C22" s="46"/>
      <c r="D22" s="44"/>
      <c r="E22" s="33"/>
      <c r="F22" s="34"/>
      <c r="G22" s="34"/>
      <c r="H22" s="34"/>
      <c r="W22" s="31"/>
      <c r="X22" s="6"/>
      <c r="Y22" s="6"/>
    </row>
    <row r="23" spans="1:27" x14ac:dyDescent="0.3">
      <c r="B23" s="44"/>
      <c r="C23" s="46"/>
      <c r="D23" s="44"/>
      <c r="W23" s="17"/>
    </row>
    <row r="24" spans="1:27" x14ac:dyDescent="0.3">
      <c r="B24" s="44"/>
      <c r="C24" s="46"/>
      <c r="D24" s="44"/>
      <c r="W24" s="96" t="s">
        <v>25</v>
      </c>
      <c r="X24" s="97"/>
      <c r="Y24" s="8"/>
    </row>
    <row r="25" spans="1:27" x14ac:dyDescent="0.3">
      <c r="B25" s="44"/>
      <c r="C25" s="47"/>
      <c r="D25" s="44"/>
      <c r="V25" s="17"/>
      <c r="W25" s="19" t="s">
        <v>24</v>
      </c>
      <c r="X25" s="12">
        <f>W21</f>
        <v>3157146401</v>
      </c>
      <c r="Y25" s="56"/>
    </row>
    <row r="26" spans="1:27" x14ac:dyDescent="0.3">
      <c r="V26" s="18"/>
      <c r="W26" s="13" t="s">
        <v>23</v>
      </c>
      <c r="X26" s="10">
        <v>343048012</v>
      </c>
      <c r="Y26" s="11">
        <v>0.106</v>
      </c>
    </row>
    <row r="27" spans="1:27" x14ac:dyDescent="0.3">
      <c r="W27" s="14" t="s">
        <v>22</v>
      </c>
      <c r="X27" s="14">
        <f>+X25+X26</f>
        <v>3500194413</v>
      </c>
      <c r="Y27" s="9"/>
      <c r="AA27" s="17"/>
    </row>
    <row r="28" spans="1:27" x14ac:dyDescent="0.3">
      <c r="X28" s="17"/>
    </row>
    <row r="34" spans="24:24" x14ac:dyDescent="0.3">
      <c r="X34" s="54"/>
    </row>
    <row r="37" spans="24:24" x14ac:dyDescent="0.3">
      <c r="X37" s="43"/>
    </row>
  </sheetData>
  <autoFilter ref="B4:Y19" xr:uid="{00000000-0009-0000-0000-000000000000}"/>
  <mergeCells count="6">
    <mergeCell ref="B2:Y3"/>
    <mergeCell ref="W24:X24"/>
    <mergeCell ref="Y19:Y20"/>
    <mergeCell ref="Q20:R20"/>
    <mergeCell ref="Q19:R19"/>
    <mergeCell ref="Q21:R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5"/>
  <sheetViews>
    <sheetView topLeftCell="A16" zoomScale="75" zoomScaleNormal="75" workbookViewId="0">
      <selection activeCell="E39" sqref="E39"/>
    </sheetView>
  </sheetViews>
  <sheetFormatPr baseColWidth="10" defaultRowHeight="14.4" x14ac:dyDescent="0.3"/>
  <cols>
    <col min="1" max="1" width="3.88671875" customWidth="1"/>
    <col min="2" max="2" width="6.33203125" style="2" customWidth="1"/>
    <col min="3" max="3" width="13" customWidth="1"/>
    <col min="4" max="4" width="11.44140625" style="2" customWidth="1"/>
    <col min="5" max="5" width="18.6640625" customWidth="1"/>
    <col min="6" max="6" width="13.6640625" customWidth="1"/>
    <col min="7" max="7" width="13" customWidth="1"/>
    <col min="8" max="8" width="14.33203125" customWidth="1"/>
    <col min="9" max="9" width="16.88671875" customWidth="1"/>
    <col min="10" max="10" width="18.33203125" hidden="1" customWidth="1"/>
    <col min="11" max="11" width="11.44140625" hidden="1" customWidth="1"/>
    <col min="12" max="12" width="15.109375" customWidth="1"/>
    <col min="13" max="13" width="18.44140625" customWidth="1"/>
    <col min="14" max="14" width="18.5546875" customWidth="1"/>
    <col min="15" max="15" width="14.6640625" customWidth="1"/>
    <col min="16" max="16" width="16.109375" customWidth="1"/>
    <col min="17" max="17" width="20.5546875" customWidth="1"/>
    <col min="18" max="18" width="19" customWidth="1"/>
    <col min="19" max="19" width="23.109375" customWidth="1"/>
    <col min="20" max="20" width="25.88671875" customWidth="1"/>
    <col min="21" max="21" width="22.88671875" customWidth="1"/>
    <col min="22" max="22" width="31.5546875" customWidth="1"/>
    <col min="23" max="23" width="21.88671875" customWidth="1"/>
    <col min="24" max="24" width="23" customWidth="1"/>
    <col min="25" max="25" width="24.44140625" hidden="1" customWidth="1"/>
    <col min="26" max="26" width="11.44140625" customWidth="1"/>
    <col min="27" max="27" width="37.6640625" customWidth="1"/>
    <col min="29" max="29" width="21.33203125" customWidth="1"/>
    <col min="30" max="30" width="22.44140625" customWidth="1"/>
  </cols>
  <sheetData>
    <row r="1" spans="1:32" ht="15" thickBot="1" x14ac:dyDescent="0.35"/>
    <row r="2" spans="1:32" ht="15" customHeight="1" x14ac:dyDescent="0.3">
      <c r="A2" s="2"/>
      <c r="B2" s="89" t="s">
        <v>43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1"/>
    </row>
    <row r="3" spans="1:32" ht="15.75" customHeight="1" thickBot="1" x14ac:dyDescent="0.35">
      <c r="A3" s="2"/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4"/>
      <c r="Y3" s="95"/>
    </row>
    <row r="4" spans="1:32" s="1" customFormat="1" ht="31.5" customHeight="1" thickBot="1" x14ac:dyDescent="0.25">
      <c r="A4" s="15"/>
      <c r="B4" s="29" t="s">
        <v>18</v>
      </c>
      <c r="C4" s="30" t="s">
        <v>0</v>
      </c>
      <c r="D4" s="30" t="s">
        <v>17</v>
      </c>
      <c r="E4" s="30" t="s">
        <v>21</v>
      </c>
      <c r="F4" s="30" t="s">
        <v>1</v>
      </c>
      <c r="G4" s="30" t="s">
        <v>2</v>
      </c>
      <c r="H4" s="30" t="s">
        <v>3</v>
      </c>
      <c r="I4" s="30" t="s">
        <v>42</v>
      </c>
      <c r="J4" s="21" t="s">
        <v>4</v>
      </c>
      <c r="K4" s="21" t="s">
        <v>8</v>
      </c>
      <c r="L4" s="20" t="s">
        <v>9</v>
      </c>
      <c r="M4" s="20" t="s">
        <v>12</v>
      </c>
      <c r="N4" s="48" t="s">
        <v>13</v>
      </c>
      <c r="O4" s="49" t="s">
        <v>10</v>
      </c>
      <c r="P4" s="49" t="s">
        <v>14</v>
      </c>
      <c r="Q4" s="51" t="s">
        <v>5</v>
      </c>
      <c r="R4" s="20" t="s">
        <v>30</v>
      </c>
      <c r="S4" s="3" t="s">
        <v>26</v>
      </c>
      <c r="T4" s="4" t="s">
        <v>27</v>
      </c>
      <c r="U4" s="3" t="s">
        <v>16</v>
      </c>
      <c r="V4" s="4" t="s">
        <v>15</v>
      </c>
      <c r="W4" s="23" t="s">
        <v>28</v>
      </c>
      <c r="X4" s="59"/>
      <c r="Y4" s="22" t="s">
        <v>29</v>
      </c>
    </row>
    <row r="5" spans="1:32" ht="16.2" thickBot="1" x14ac:dyDescent="0.35">
      <c r="A5" s="2"/>
      <c r="B5" s="7">
        <v>1</v>
      </c>
      <c r="C5" s="68">
        <v>13000455</v>
      </c>
      <c r="D5" s="5">
        <v>181447</v>
      </c>
      <c r="E5" s="5" t="s">
        <v>6</v>
      </c>
      <c r="F5" s="55" t="s">
        <v>45</v>
      </c>
      <c r="G5" s="55" t="s">
        <v>46</v>
      </c>
      <c r="H5" s="55" t="s">
        <v>47</v>
      </c>
      <c r="I5" s="5" t="s">
        <v>78</v>
      </c>
      <c r="J5" s="5" t="s">
        <v>34</v>
      </c>
      <c r="K5" s="7" t="s">
        <v>11</v>
      </c>
      <c r="L5" s="74">
        <v>0</v>
      </c>
      <c r="M5" s="75">
        <v>78.540000000000006</v>
      </c>
      <c r="N5" s="75">
        <v>7.43</v>
      </c>
      <c r="O5" s="76">
        <f t="shared" ref="O5:O20" si="0">M5*N5</f>
        <v>583.55219999999997</v>
      </c>
      <c r="P5" s="76">
        <f t="shared" ref="P5:P20" si="1">+O5/3500</f>
        <v>0.16672919999999999</v>
      </c>
      <c r="Q5" s="5"/>
      <c r="R5" s="50" t="s">
        <v>31</v>
      </c>
      <c r="S5" s="37">
        <f>96458*O5</f>
        <v>56288278.107599996</v>
      </c>
      <c r="T5" s="37">
        <f>64163*L5</f>
        <v>0</v>
      </c>
      <c r="U5" s="37">
        <f>+S5+T5</f>
        <v>56288278.107599996</v>
      </c>
      <c r="V5" s="38">
        <f>+U5*0.5%</f>
        <v>281441.39053799998</v>
      </c>
      <c r="W5" s="64">
        <f t="shared" ref="W5:W25" si="2">ROUND(+U5+V5,0)</f>
        <v>56569719</v>
      </c>
      <c r="X5" s="60"/>
      <c r="Y5" s="24">
        <f>+W5+X5</f>
        <v>56569719</v>
      </c>
    </row>
    <row r="6" spans="1:32" ht="16.2" thickBot="1" x14ac:dyDescent="0.35">
      <c r="A6" s="2"/>
      <c r="B6" s="7">
        <v>2</v>
      </c>
      <c r="C6" s="68">
        <v>13000665</v>
      </c>
      <c r="D6" s="5">
        <v>180464</v>
      </c>
      <c r="E6" s="5" t="s">
        <v>6</v>
      </c>
      <c r="F6" s="55" t="s">
        <v>35</v>
      </c>
      <c r="G6" s="55" t="s">
        <v>37</v>
      </c>
      <c r="H6" s="55" t="s">
        <v>38</v>
      </c>
      <c r="I6" s="5" t="s">
        <v>78</v>
      </c>
      <c r="J6" s="5" t="s">
        <v>33</v>
      </c>
      <c r="K6" s="7" t="s">
        <v>11</v>
      </c>
      <c r="L6" s="74">
        <v>0</v>
      </c>
      <c r="M6" s="74">
        <v>70.13</v>
      </c>
      <c r="N6" s="74">
        <v>7.57</v>
      </c>
      <c r="O6" s="74">
        <f t="shared" si="0"/>
        <v>530.88409999999999</v>
      </c>
      <c r="P6" s="74">
        <f t="shared" si="1"/>
        <v>0.15168117142857143</v>
      </c>
      <c r="Q6" s="5"/>
      <c r="R6" s="50" t="s">
        <v>31</v>
      </c>
      <c r="S6" s="37">
        <f>96458*O6</f>
        <v>51208018.517799996</v>
      </c>
      <c r="T6" s="26">
        <f>64163*L6</f>
        <v>0</v>
      </c>
      <c r="U6" s="37">
        <f t="shared" ref="U6:U25" si="3">+S6+T6</f>
        <v>51208018.517799996</v>
      </c>
      <c r="V6" s="38">
        <f t="shared" ref="V6:V25" si="4">+U6*0.5%</f>
        <v>256040.09258899998</v>
      </c>
      <c r="W6" s="64">
        <f t="shared" si="2"/>
        <v>51464059</v>
      </c>
      <c r="X6" s="60"/>
      <c r="Y6" s="24">
        <f t="shared" ref="Y6:Y23" si="5">+W6+X6</f>
        <v>51464059</v>
      </c>
    </row>
    <row r="7" spans="1:32" ht="16.2" thickBot="1" x14ac:dyDescent="0.35">
      <c r="A7" s="2"/>
      <c r="B7" s="7">
        <v>3</v>
      </c>
      <c r="C7" s="68">
        <v>13000881</v>
      </c>
      <c r="D7" s="69">
        <v>600385</v>
      </c>
      <c r="E7" s="5" t="s">
        <v>6</v>
      </c>
      <c r="F7" s="55" t="s">
        <v>48</v>
      </c>
      <c r="G7" s="55" t="s">
        <v>49</v>
      </c>
      <c r="H7" s="55" t="s">
        <v>50</v>
      </c>
      <c r="I7" s="5" t="s">
        <v>78</v>
      </c>
      <c r="J7" s="5" t="s">
        <v>33</v>
      </c>
      <c r="K7" s="7" t="s">
        <v>11</v>
      </c>
      <c r="L7" s="74">
        <v>0</v>
      </c>
      <c r="M7" s="25">
        <v>123.13</v>
      </c>
      <c r="N7" s="25">
        <v>5.96</v>
      </c>
      <c r="O7" s="74">
        <f t="shared" si="0"/>
        <v>733.85479999999995</v>
      </c>
      <c r="P7" s="74">
        <f t="shared" si="1"/>
        <v>0.20967279999999999</v>
      </c>
      <c r="Q7" s="5"/>
      <c r="R7" s="50" t="s">
        <v>31</v>
      </c>
      <c r="S7" s="37">
        <f>632654*O7</f>
        <v>464276174.63919997</v>
      </c>
      <c r="T7" s="39">
        <f>64163*L7</f>
        <v>0</v>
      </c>
      <c r="U7" s="37">
        <f t="shared" si="3"/>
        <v>464276174.63919997</v>
      </c>
      <c r="V7" s="38">
        <f t="shared" si="4"/>
        <v>2321380.8731959998</v>
      </c>
      <c r="W7" s="64">
        <f t="shared" si="2"/>
        <v>466597556</v>
      </c>
      <c r="X7" s="60"/>
      <c r="Y7" s="24">
        <f t="shared" si="5"/>
        <v>466597556</v>
      </c>
    </row>
    <row r="8" spans="1:32" ht="16.2" thickBot="1" x14ac:dyDescent="0.35">
      <c r="A8" s="2"/>
      <c r="B8" s="7">
        <v>4</v>
      </c>
      <c r="C8" s="68">
        <v>13000881</v>
      </c>
      <c r="D8" s="70">
        <v>600387</v>
      </c>
      <c r="E8" s="5" t="s">
        <v>6</v>
      </c>
      <c r="F8" s="55" t="s">
        <v>48</v>
      </c>
      <c r="G8" s="55" t="s">
        <v>49</v>
      </c>
      <c r="H8" s="55" t="s">
        <v>50</v>
      </c>
      <c r="I8" s="5" t="s">
        <v>78</v>
      </c>
      <c r="J8" s="70"/>
      <c r="K8" s="7" t="s">
        <v>11</v>
      </c>
      <c r="L8" s="74">
        <v>0</v>
      </c>
      <c r="M8" s="25">
        <v>123.13</v>
      </c>
      <c r="N8" s="25">
        <v>5.96</v>
      </c>
      <c r="O8" s="74">
        <f t="shared" si="0"/>
        <v>733.85479999999995</v>
      </c>
      <c r="P8" s="74">
        <f t="shared" si="1"/>
        <v>0.20967279999999999</v>
      </c>
      <c r="Q8" s="5"/>
      <c r="R8" s="50" t="s">
        <v>31</v>
      </c>
      <c r="S8" s="37">
        <f>632654*O8</f>
        <v>464276174.63919997</v>
      </c>
      <c r="T8" s="39">
        <f t="shared" ref="T8" si="6">64163*L8</f>
        <v>0</v>
      </c>
      <c r="U8" s="37">
        <f t="shared" si="3"/>
        <v>464276174.63919997</v>
      </c>
      <c r="V8" s="38">
        <f t="shared" si="4"/>
        <v>2321380.8731959998</v>
      </c>
      <c r="W8" s="64">
        <f t="shared" si="2"/>
        <v>466597556</v>
      </c>
      <c r="X8" s="60"/>
      <c r="Y8" s="24">
        <f t="shared" si="5"/>
        <v>466597556</v>
      </c>
      <c r="AA8" s="43"/>
    </row>
    <row r="9" spans="1:32" ht="16.2" thickBot="1" x14ac:dyDescent="0.35">
      <c r="A9" s="2"/>
      <c r="B9" s="7">
        <v>5</v>
      </c>
      <c r="C9" s="68">
        <v>13001020</v>
      </c>
      <c r="D9" s="69">
        <v>181756</v>
      </c>
      <c r="E9" s="5" t="s">
        <v>6</v>
      </c>
      <c r="F9" s="55" t="s">
        <v>7</v>
      </c>
      <c r="G9" s="55" t="s">
        <v>51</v>
      </c>
      <c r="H9" s="55" t="s">
        <v>52</v>
      </c>
      <c r="I9" s="5" t="s">
        <v>78</v>
      </c>
      <c r="J9" s="70" t="s">
        <v>19</v>
      </c>
      <c r="K9" s="7" t="s">
        <v>11</v>
      </c>
      <c r="L9" s="74">
        <v>0</v>
      </c>
      <c r="M9" s="25">
        <v>188.79</v>
      </c>
      <c r="N9" s="25">
        <v>8.34</v>
      </c>
      <c r="O9" s="74">
        <f t="shared" si="0"/>
        <v>1574.5085999999999</v>
      </c>
      <c r="P9" s="74">
        <f t="shared" si="1"/>
        <v>0.44985959999999997</v>
      </c>
      <c r="Q9" s="5"/>
      <c r="R9" s="50" t="s">
        <v>31</v>
      </c>
      <c r="S9" s="37">
        <f>96458*O9</f>
        <v>151873950.5388</v>
      </c>
      <c r="T9" s="39">
        <f>64163*L9</f>
        <v>0</v>
      </c>
      <c r="U9" s="37">
        <f t="shared" si="3"/>
        <v>151873950.5388</v>
      </c>
      <c r="V9" s="38">
        <f t="shared" si="4"/>
        <v>759369.75269400002</v>
      </c>
      <c r="W9" s="64">
        <f t="shared" si="2"/>
        <v>152633320</v>
      </c>
      <c r="X9" s="60"/>
      <c r="Y9" s="24">
        <f t="shared" si="5"/>
        <v>152633320</v>
      </c>
      <c r="AA9" s="6"/>
      <c r="AB9" s="6"/>
      <c r="AC9" s="6"/>
      <c r="AD9" s="6"/>
      <c r="AE9" s="6"/>
      <c r="AF9" s="6"/>
    </row>
    <row r="10" spans="1:32" ht="16.2" thickBot="1" x14ac:dyDescent="0.35">
      <c r="A10" s="2"/>
      <c r="B10" s="7">
        <v>6</v>
      </c>
      <c r="C10" s="68">
        <v>13001026</v>
      </c>
      <c r="D10" s="69">
        <v>600397</v>
      </c>
      <c r="E10" s="5" t="s">
        <v>6</v>
      </c>
      <c r="F10" s="69" t="s">
        <v>48</v>
      </c>
      <c r="G10" s="69" t="s">
        <v>32</v>
      </c>
      <c r="H10" s="69" t="s">
        <v>53</v>
      </c>
      <c r="I10" s="5" t="s">
        <v>78</v>
      </c>
      <c r="J10" s="70" t="s">
        <v>36</v>
      </c>
      <c r="K10" s="7" t="s">
        <v>11</v>
      </c>
      <c r="L10" s="74">
        <v>0</v>
      </c>
      <c r="M10" s="25">
        <v>94.29</v>
      </c>
      <c r="N10" s="25">
        <v>6.31</v>
      </c>
      <c r="O10" s="74">
        <f t="shared" si="0"/>
        <v>594.96990000000005</v>
      </c>
      <c r="P10" s="74">
        <f t="shared" si="1"/>
        <v>0.16999140000000001</v>
      </c>
      <c r="Q10" s="5"/>
      <c r="R10" s="50" t="s">
        <v>31</v>
      </c>
      <c r="S10" s="37">
        <f>632654*O10</f>
        <v>376410087.11460006</v>
      </c>
      <c r="T10" s="39">
        <f t="shared" ref="T10:T11" si="7">64163*L10</f>
        <v>0</v>
      </c>
      <c r="U10" s="37">
        <f t="shared" si="3"/>
        <v>376410087.11460006</v>
      </c>
      <c r="V10" s="38">
        <f t="shared" si="4"/>
        <v>1882050.4355730005</v>
      </c>
      <c r="W10" s="64">
        <f t="shared" si="2"/>
        <v>378292138</v>
      </c>
      <c r="X10" s="60"/>
      <c r="Y10" s="24">
        <f t="shared" si="5"/>
        <v>378292138</v>
      </c>
      <c r="AA10" s="6"/>
      <c r="AB10" s="6"/>
      <c r="AC10" s="6"/>
      <c r="AD10" s="6"/>
      <c r="AE10" s="6"/>
      <c r="AF10" s="6"/>
    </row>
    <row r="11" spans="1:32" ht="16.2" thickBot="1" x14ac:dyDescent="0.35">
      <c r="A11" s="2"/>
      <c r="B11" s="7">
        <v>7</v>
      </c>
      <c r="C11" s="68">
        <v>13001026</v>
      </c>
      <c r="D11" s="70">
        <v>600401</v>
      </c>
      <c r="E11" s="5" t="s">
        <v>6</v>
      </c>
      <c r="F11" s="71" t="s">
        <v>48</v>
      </c>
      <c r="G11" s="71" t="s">
        <v>32</v>
      </c>
      <c r="H11" s="71" t="s">
        <v>53</v>
      </c>
      <c r="I11" s="5" t="s">
        <v>78</v>
      </c>
      <c r="J11" s="71"/>
      <c r="K11" s="7" t="s">
        <v>11</v>
      </c>
      <c r="L11" s="74">
        <v>0</v>
      </c>
      <c r="M11" s="25">
        <v>94.29</v>
      </c>
      <c r="N11" s="71">
        <v>6.31</v>
      </c>
      <c r="O11" s="74">
        <f t="shared" si="0"/>
        <v>594.96990000000005</v>
      </c>
      <c r="P11" s="74">
        <f t="shared" si="1"/>
        <v>0.16999140000000001</v>
      </c>
      <c r="Q11" s="5"/>
      <c r="R11" s="50" t="s">
        <v>31</v>
      </c>
      <c r="S11" s="37">
        <f>632654*O11</f>
        <v>376410087.11460006</v>
      </c>
      <c r="T11" s="39">
        <f t="shared" si="7"/>
        <v>0</v>
      </c>
      <c r="U11" s="37">
        <f t="shared" si="3"/>
        <v>376410087.11460006</v>
      </c>
      <c r="V11" s="38">
        <f t="shared" si="4"/>
        <v>1882050.4355730005</v>
      </c>
      <c r="W11" s="64">
        <f t="shared" si="2"/>
        <v>378292138</v>
      </c>
      <c r="X11" s="60"/>
      <c r="Y11" s="24">
        <f t="shared" si="5"/>
        <v>378292138</v>
      </c>
      <c r="AA11" s="35"/>
      <c r="AB11" s="6"/>
      <c r="AC11" s="35"/>
      <c r="AD11" s="36"/>
      <c r="AE11" s="6"/>
      <c r="AF11" s="6"/>
    </row>
    <row r="12" spans="1:32" ht="16.2" thickBot="1" x14ac:dyDescent="0.35">
      <c r="A12" s="2"/>
      <c r="B12" s="7">
        <v>8</v>
      </c>
      <c r="C12" s="68">
        <v>13001923</v>
      </c>
      <c r="D12" s="72">
        <v>181014</v>
      </c>
      <c r="E12" s="5" t="s">
        <v>6</v>
      </c>
      <c r="F12" s="71" t="s">
        <v>39</v>
      </c>
      <c r="G12" s="71" t="s">
        <v>54</v>
      </c>
      <c r="H12" s="71" t="s">
        <v>55</v>
      </c>
      <c r="I12" s="5" t="s">
        <v>78</v>
      </c>
      <c r="J12" s="71"/>
      <c r="K12" s="7" t="s">
        <v>11</v>
      </c>
      <c r="L12" s="74">
        <v>0</v>
      </c>
      <c r="M12" s="25">
        <v>71.010000000000005</v>
      </c>
      <c r="N12" s="71">
        <v>5.04</v>
      </c>
      <c r="O12" s="74">
        <f t="shared" si="0"/>
        <v>357.89040000000006</v>
      </c>
      <c r="P12" s="74">
        <f t="shared" si="1"/>
        <v>0.10225440000000002</v>
      </c>
      <c r="Q12" s="25"/>
      <c r="R12" s="50" t="s">
        <v>31</v>
      </c>
      <c r="S12" s="37">
        <f t="shared" ref="S12:S20" si="8">96458*O12</f>
        <v>34521392.203200005</v>
      </c>
      <c r="T12" s="39">
        <f>180828*L12</f>
        <v>0</v>
      </c>
      <c r="U12" s="37">
        <f t="shared" si="3"/>
        <v>34521392.203200005</v>
      </c>
      <c r="V12" s="38">
        <f t="shared" si="4"/>
        <v>172606.96101600002</v>
      </c>
      <c r="W12" s="64">
        <f t="shared" si="2"/>
        <v>34693999</v>
      </c>
      <c r="X12" s="60"/>
      <c r="Y12" s="24">
        <f t="shared" si="5"/>
        <v>34693999</v>
      </c>
      <c r="AA12" s="6"/>
      <c r="AB12" s="6"/>
      <c r="AC12" s="35"/>
      <c r="AD12" s="6"/>
      <c r="AE12" s="6"/>
      <c r="AF12" s="6"/>
    </row>
    <row r="13" spans="1:32" ht="32.25" customHeight="1" thickBot="1" x14ac:dyDescent="0.35">
      <c r="A13" s="2"/>
      <c r="B13" s="7">
        <v>9</v>
      </c>
      <c r="C13" s="68">
        <v>13002019</v>
      </c>
      <c r="D13" s="71">
        <v>180483</v>
      </c>
      <c r="E13" s="5" t="s">
        <v>6</v>
      </c>
      <c r="F13" s="71" t="s">
        <v>56</v>
      </c>
      <c r="G13" s="71" t="s">
        <v>57</v>
      </c>
      <c r="H13" s="71" t="s">
        <v>58</v>
      </c>
      <c r="I13" s="5" t="s">
        <v>78</v>
      </c>
      <c r="J13" s="71"/>
      <c r="K13" s="7" t="s">
        <v>11</v>
      </c>
      <c r="L13" s="74">
        <v>0</v>
      </c>
      <c r="M13" s="25">
        <v>102.59</v>
      </c>
      <c r="N13" s="71">
        <v>7.46</v>
      </c>
      <c r="O13" s="74">
        <f t="shared" si="0"/>
        <v>765.32140000000004</v>
      </c>
      <c r="P13" s="74">
        <f t="shared" si="1"/>
        <v>0.21866325714285714</v>
      </c>
      <c r="Q13" s="25"/>
      <c r="R13" s="50" t="s">
        <v>31</v>
      </c>
      <c r="S13" s="37">
        <f t="shared" si="8"/>
        <v>73821371.601199999</v>
      </c>
      <c r="T13" s="39">
        <f>137604.41*L13</f>
        <v>0</v>
      </c>
      <c r="U13" s="37">
        <f t="shared" si="3"/>
        <v>73821371.601199999</v>
      </c>
      <c r="V13" s="38">
        <f t="shared" si="4"/>
        <v>369106.85800599999</v>
      </c>
      <c r="W13" s="64">
        <f t="shared" si="2"/>
        <v>74190478</v>
      </c>
      <c r="X13" s="60"/>
      <c r="Y13" s="24">
        <f t="shared" si="5"/>
        <v>74190478</v>
      </c>
      <c r="AA13" s="6"/>
      <c r="AB13" s="6"/>
      <c r="AC13" s="36"/>
      <c r="AD13" s="6"/>
      <c r="AE13" s="6"/>
      <c r="AF13" s="6"/>
    </row>
    <row r="14" spans="1:32" ht="16.2" thickBot="1" x14ac:dyDescent="0.35">
      <c r="A14" s="2"/>
      <c r="B14" s="7">
        <v>10</v>
      </c>
      <c r="C14" s="68">
        <v>13000296</v>
      </c>
      <c r="D14" s="72">
        <v>180663</v>
      </c>
      <c r="E14" s="5" t="s">
        <v>6</v>
      </c>
      <c r="F14" s="71" t="s">
        <v>59</v>
      </c>
      <c r="G14" s="71" t="s">
        <v>60</v>
      </c>
      <c r="H14" s="71" t="s">
        <v>61</v>
      </c>
      <c r="I14" s="5" t="s">
        <v>79</v>
      </c>
      <c r="J14" s="71"/>
      <c r="K14" s="7" t="s">
        <v>11</v>
      </c>
      <c r="L14" s="74">
        <v>0</v>
      </c>
      <c r="M14" s="25">
        <v>73.28</v>
      </c>
      <c r="N14" s="71">
        <v>6.78</v>
      </c>
      <c r="O14" s="74">
        <f t="shared" si="0"/>
        <v>496.83840000000004</v>
      </c>
      <c r="P14" s="74">
        <f t="shared" si="1"/>
        <v>0.14195382857142858</v>
      </c>
      <c r="Q14" s="25"/>
      <c r="R14" s="50" t="s">
        <v>31</v>
      </c>
      <c r="S14" s="37">
        <f t="shared" si="8"/>
        <v>47924038.387200005</v>
      </c>
      <c r="T14" s="39">
        <f>180828*L14</f>
        <v>0</v>
      </c>
      <c r="U14" s="37">
        <f t="shared" si="3"/>
        <v>47924038.387200005</v>
      </c>
      <c r="V14" s="38">
        <f t="shared" si="4"/>
        <v>239620.19193600002</v>
      </c>
      <c r="W14" s="64">
        <f t="shared" si="2"/>
        <v>48163659</v>
      </c>
      <c r="X14" s="60"/>
      <c r="Y14" s="24">
        <f t="shared" si="5"/>
        <v>48163659</v>
      </c>
    </row>
    <row r="15" spans="1:32" ht="16.2" thickBot="1" x14ac:dyDescent="0.35">
      <c r="A15" s="2"/>
      <c r="B15" s="7">
        <v>11</v>
      </c>
      <c r="C15" s="68">
        <v>13001429</v>
      </c>
      <c r="D15" s="71">
        <v>181109</v>
      </c>
      <c r="E15" s="5" t="s">
        <v>6</v>
      </c>
      <c r="F15" s="71" t="s">
        <v>62</v>
      </c>
      <c r="G15" s="71" t="s">
        <v>63</v>
      </c>
      <c r="H15" s="71" t="s">
        <v>64</v>
      </c>
      <c r="I15" s="5" t="s">
        <v>79</v>
      </c>
      <c r="J15" s="71"/>
      <c r="K15" s="7"/>
      <c r="L15" s="74">
        <v>0</v>
      </c>
      <c r="M15" s="74">
        <v>65.959999999999994</v>
      </c>
      <c r="N15" s="25">
        <v>9</v>
      </c>
      <c r="O15" s="74">
        <f t="shared" si="0"/>
        <v>593.64</v>
      </c>
      <c r="P15" s="74">
        <f t="shared" si="1"/>
        <v>0.16961142857142858</v>
      </c>
      <c r="Q15" s="25"/>
      <c r="R15" s="50" t="s">
        <v>31</v>
      </c>
      <c r="S15" s="37">
        <f t="shared" si="8"/>
        <v>57261327.119999997</v>
      </c>
      <c r="T15" s="39"/>
      <c r="U15" s="37">
        <f t="shared" si="3"/>
        <v>57261327.119999997</v>
      </c>
      <c r="V15" s="38">
        <f t="shared" si="4"/>
        <v>286306.63559999998</v>
      </c>
      <c r="W15" s="64">
        <f t="shared" si="2"/>
        <v>57547634</v>
      </c>
      <c r="X15" s="60"/>
      <c r="Y15" s="24">
        <f t="shared" si="5"/>
        <v>57547634</v>
      </c>
    </row>
    <row r="16" spans="1:32" ht="16.2" thickBot="1" x14ac:dyDescent="0.35">
      <c r="A16" s="2"/>
      <c r="B16" s="7">
        <v>12</v>
      </c>
      <c r="C16" s="68">
        <v>13002328</v>
      </c>
      <c r="D16" s="71">
        <v>506520</v>
      </c>
      <c r="E16" s="5" t="s">
        <v>6</v>
      </c>
      <c r="F16" s="71" t="s">
        <v>20</v>
      </c>
      <c r="G16" s="71" t="s">
        <v>65</v>
      </c>
      <c r="H16" s="71" t="s">
        <v>66</v>
      </c>
      <c r="I16" s="5" t="s">
        <v>79</v>
      </c>
      <c r="J16" s="71"/>
      <c r="K16" s="7"/>
      <c r="L16" s="74">
        <v>0</v>
      </c>
      <c r="M16" s="74">
        <v>73.2</v>
      </c>
      <c r="N16" s="25">
        <v>7.69</v>
      </c>
      <c r="O16" s="74">
        <f t="shared" si="0"/>
        <v>562.90800000000002</v>
      </c>
      <c r="P16" s="74">
        <f t="shared" si="1"/>
        <v>0.16083085714285714</v>
      </c>
      <c r="Q16" s="25"/>
      <c r="R16" s="50" t="s">
        <v>31</v>
      </c>
      <c r="S16" s="37">
        <f t="shared" si="8"/>
        <v>54296979.864</v>
      </c>
      <c r="T16" s="39"/>
      <c r="U16" s="37">
        <f t="shared" si="3"/>
        <v>54296979.864</v>
      </c>
      <c r="V16" s="38">
        <f t="shared" si="4"/>
        <v>271484.89932000003</v>
      </c>
      <c r="W16" s="64">
        <f t="shared" si="2"/>
        <v>54568465</v>
      </c>
      <c r="X16" s="60"/>
      <c r="Y16" s="24">
        <f t="shared" si="5"/>
        <v>54568465</v>
      </c>
    </row>
    <row r="17" spans="1:25" ht="16.2" thickBot="1" x14ac:dyDescent="0.35">
      <c r="A17" s="2"/>
      <c r="B17" s="7">
        <v>13</v>
      </c>
      <c r="C17" s="68">
        <v>13002410</v>
      </c>
      <c r="D17" s="71">
        <v>180718</v>
      </c>
      <c r="E17" s="5" t="s">
        <v>6</v>
      </c>
      <c r="F17" s="71" t="s">
        <v>67</v>
      </c>
      <c r="G17" s="71" t="s">
        <v>68</v>
      </c>
      <c r="H17" s="71" t="s">
        <v>69</v>
      </c>
      <c r="I17" s="5" t="s">
        <v>79</v>
      </c>
      <c r="J17" s="71"/>
      <c r="K17" s="7"/>
      <c r="L17" s="74">
        <v>0</v>
      </c>
      <c r="M17" s="74">
        <v>69.790000000000006</v>
      </c>
      <c r="N17" s="25">
        <v>9.3699999999999992</v>
      </c>
      <c r="O17" s="74">
        <f t="shared" si="0"/>
        <v>653.93230000000005</v>
      </c>
      <c r="P17" s="74">
        <f t="shared" si="1"/>
        <v>0.18683780000000003</v>
      </c>
      <c r="Q17" s="25"/>
      <c r="R17" s="50" t="s">
        <v>31</v>
      </c>
      <c r="S17" s="37">
        <f t="shared" si="8"/>
        <v>63077001.793400005</v>
      </c>
      <c r="T17" s="39"/>
      <c r="U17" s="37">
        <f t="shared" si="3"/>
        <v>63077001.793400005</v>
      </c>
      <c r="V17" s="38">
        <f t="shared" si="4"/>
        <v>315385.008967</v>
      </c>
      <c r="W17" s="64">
        <f t="shared" si="2"/>
        <v>63392387</v>
      </c>
      <c r="X17" s="60"/>
      <c r="Y17" s="24">
        <f t="shared" si="5"/>
        <v>63392387</v>
      </c>
    </row>
    <row r="18" spans="1:25" ht="16.2" thickBot="1" x14ac:dyDescent="0.35">
      <c r="A18" s="2"/>
      <c r="B18" s="7">
        <v>14</v>
      </c>
      <c r="C18" s="68">
        <v>13000611</v>
      </c>
      <c r="D18" s="71">
        <v>182254</v>
      </c>
      <c r="E18" s="5" t="s">
        <v>6</v>
      </c>
      <c r="F18" s="71" t="s">
        <v>70</v>
      </c>
      <c r="G18" s="71" t="s">
        <v>71</v>
      </c>
      <c r="H18" s="71" t="s">
        <v>72</v>
      </c>
      <c r="I18" s="5" t="s">
        <v>79</v>
      </c>
      <c r="J18" s="71"/>
      <c r="K18" s="7"/>
      <c r="L18" s="74">
        <v>0</v>
      </c>
      <c r="M18" s="74">
        <v>56.73</v>
      </c>
      <c r="N18" s="25">
        <v>9.6999999999999993</v>
      </c>
      <c r="O18" s="74">
        <f t="shared" si="0"/>
        <v>550.28099999999995</v>
      </c>
      <c r="P18" s="74">
        <f t="shared" si="1"/>
        <v>0.15722314285714284</v>
      </c>
      <c r="Q18" s="25"/>
      <c r="R18" s="50" t="s">
        <v>31</v>
      </c>
      <c r="S18" s="37">
        <f t="shared" si="8"/>
        <v>53079004.697999991</v>
      </c>
      <c r="T18" s="39"/>
      <c r="U18" s="37">
        <f t="shared" si="3"/>
        <v>53079004.697999991</v>
      </c>
      <c r="V18" s="38">
        <f t="shared" si="4"/>
        <v>265395.02348999993</v>
      </c>
      <c r="W18" s="64">
        <f t="shared" si="2"/>
        <v>53344400</v>
      </c>
      <c r="X18" s="60"/>
      <c r="Y18" s="24">
        <f t="shared" si="5"/>
        <v>53344400</v>
      </c>
    </row>
    <row r="19" spans="1:25" ht="16.2" thickBot="1" x14ac:dyDescent="0.35">
      <c r="A19" s="2"/>
      <c r="B19" s="7">
        <v>15</v>
      </c>
      <c r="C19" s="68">
        <v>13000379</v>
      </c>
      <c r="D19" s="71">
        <v>182239</v>
      </c>
      <c r="E19" s="5" t="s">
        <v>6</v>
      </c>
      <c r="F19" s="71" t="s">
        <v>73</v>
      </c>
      <c r="G19" s="71" t="s">
        <v>74</v>
      </c>
      <c r="H19" s="71" t="s">
        <v>75</v>
      </c>
      <c r="I19" s="5" t="s">
        <v>79</v>
      </c>
      <c r="J19" s="71"/>
      <c r="K19" s="7"/>
      <c r="L19" s="74">
        <v>0</v>
      </c>
      <c r="M19" s="74">
        <v>56.48</v>
      </c>
      <c r="N19" s="25">
        <v>9.93</v>
      </c>
      <c r="O19" s="74">
        <f t="shared" si="0"/>
        <v>560.8463999999999</v>
      </c>
      <c r="P19" s="74">
        <f t="shared" si="1"/>
        <v>0.16024182857142855</v>
      </c>
      <c r="Q19" s="25"/>
      <c r="R19" s="50" t="s">
        <v>31</v>
      </c>
      <c r="S19" s="37">
        <f t="shared" si="8"/>
        <v>54098122.051199988</v>
      </c>
      <c r="T19" s="39"/>
      <c r="U19" s="37">
        <f t="shared" si="3"/>
        <v>54098122.051199988</v>
      </c>
      <c r="V19" s="38">
        <f t="shared" si="4"/>
        <v>270490.61025599996</v>
      </c>
      <c r="W19" s="64">
        <f t="shared" si="2"/>
        <v>54368613</v>
      </c>
      <c r="X19" s="60"/>
      <c r="Y19" s="24">
        <f t="shared" si="5"/>
        <v>54368613</v>
      </c>
    </row>
    <row r="20" spans="1:25" ht="16.2" thickBot="1" x14ac:dyDescent="0.35">
      <c r="A20" s="2"/>
      <c r="B20" s="7">
        <v>16</v>
      </c>
      <c r="C20" s="68">
        <v>13001178</v>
      </c>
      <c r="D20" s="55">
        <v>180720</v>
      </c>
      <c r="E20" s="5" t="s">
        <v>6</v>
      </c>
      <c r="F20" s="71" t="s">
        <v>76</v>
      </c>
      <c r="G20" s="71" t="s">
        <v>40</v>
      </c>
      <c r="H20" s="71" t="s">
        <v>77</v>
      </c>
      <c r="I20" s="5" t="s">
        <v>79</v>
      </c>
      <c r="J20" s="71"/>
      <c r="K20" s="7" t="s">
        <v>11</v>
      </c>
      <c r="L20" s="74">
        <v>0</v>
      </c>
      <c r="M20" s="25">
        <v>157.83000000000001</v>
      </c>
      <c r="N20" s="71">
        <v>7.67</v>
      </c>
      <c r="O20" s="74">
        <f t="shared" si="0"/>
        <v>1210.5561</v>
      </c>
      <c r="P20" s="74">
        <f t="shared" si="1"/>
        <v>0.34587317142857144</v>
      </c>
      <c r="Q20" s="25"/>
      <c r="R20" s="50" t="s">
        <v>31</v>
      </c>
      <c r="S20" s="37">
        <f t="shared" si="8"/>
        <v>116767820.2938</v>
      </c>
      <c r="T20" s="39">
        <f>180828*L20</f>
        <v>0</v>
      </c>
      <c r="U20" s="37">
        <f t="shared" si="3"/>
        <v>116767820.2938</v>
      </c>
      <c r="V20" s="38">
        <f t="shared" si="4"/>
        <v>583839.10146899999</v>
      </c>
      <c r="W20" s="64">
        <f t="shared" si="2"/>
        <v>117351659</v>
      </c>
      <c r="X20" s="60"/>
      <c r="Y20" s="24">
        <f t="shared" si="5"/>
        <v>117351659</v>
      </c>
    </row>
    <row r="21" spans="1:25" ht="16.2" thickBot="1" x14ac:dyDescent="0.35">
      <c r="A21" s="2"/>
      <c r="B21" s="7">
        <v>17</v>
      </c>
      <c r="C21" s="68">
        <v>13000527</v>
      </c>
      <c r="D21" s="55">
        <v>181391</v>
      </c>
      <c r="E21" s="5" t="s">
        <v>82</v>
      </c>
      <c r="F21" s="71" t="s">
        <v>84</v>
      </c>
      <c r="G21" s="71" t="s">
        <v>83</v>
      </c>
      <c r="H21" s="71" t="s">
        <v>85</v>
      </c>
      <c r="I21" s="5" t="s">
        <v>88</v>
      </c>
      <c r="J21" s="71"/>
      <c r="K21" s="7"/>
      <c r="L21" s="74">
        <f>M21*N21</f>
        <v>163.80000000000001</v>
      </c>
      <c r="M21" s="25">
        <v>63</v>
      </c>
      <c r="N21" s="71">
        <v>2.6</v>
      </c>
      <c r="O21" s="74">
        <v>0</v>
      </c>
      <c r="P21" s="74">
        <v>0</v>
      </c>
      <c r="Q21" s="25"/>
      <c r="R21" s="50" t="s">
        <v>89</v>
      </c>
      <c r="S21" s="52">
        <f>148927*L21</f>
        <v>24394242.600000001</v>
      </c>
      <c r="T21" s="39"/>
      <c r="U21" s="37">
        <f t="shared" si="3"/>
        <v>24394242.600000001</v>
      </c>
      <c r="V21" s="38">
        <f t="shared" si="4"/>
        <v>121971.213</v>
      </c>
      <c r="W21" s="64">
        <f t="shared" si="2"/>
        <v>24516214</v>
      </c>
      <c r="X21" s="60"/>
      <c r="Y21" s="24">
        <f t="shared" si="5"/>
        <v>24516214</v>
      </c>
    </row>
    <row r="22" spans="1:25" ht="16.2" thickBot="1" x14ac:dyDescent="0.35">
      <c r="A22" s="2"/>
      <c r="B22" s="7">
        <v>18</v>
      </c>
      <c r="C22" s="68">
        <v>13001013</v>
      </c>
      <c r="D22" s="55">
        <v>67810</v>
      </c>
      <c r="E22" s="5" t="s">
        <v>82</v>
      </c>
      <c r="F22" s="71" t="s">
        <v>77</v>
      </c>
      <c r="G22" s="71" t="s">
        <v>86</v>
      </c>
      <c r="H22" s="71" t="s">
        <v>87</v>
      </c>
      <c r="I22" s="5" t="s">
        <v>88</v>
      </c>
      <c r="J22" s="71"/>
      <c r="K22" s="7"/>
      <c r="L22" s="74">
        <v>215.53</v>
      </c>
      <c r="M22" s="25">
        <v>78</v>
      </c>
      <c r="N22" s="71">
        <v>2.6</v>
      </c>
      <c r="O22" s="74">
        <v>0</v>
      </c>
      <c r="P22" s="74">
        <v>0</v>
      </c>
      <c r="Q22" s="25"/>
      <c r="R22" s="50" t="s">
        <v>89</v>
      </c>
      <c r="S22" s="52">
        <f>148927*L22</f>
        <v>32098236.309999999</v>
      </c>
      <c r="T22" s="39"/>
      <c r="U22" s="37">
        <f t="shared" si="3"/>
        <v>32098236.309999999</v>
      </c>
      <c r="V22" s="38">
        <f t="shared" si="4"/>
        <v>160491.18155000001</v>
      </c>
      <c r="W22" s="64">
        <f t="shared" si="2"/>
        <v>32258727</v>
      </c>
      <c r="X22" s="60"/>
      <c r="Y22" s="24">
        <f t="shared" si="5"/>
        <v>32258727</v>
      </c>
    </row>
    <row r="23" spans="1:25" ht="16.2" thickBot="1" x14ac:dyDescent="0.35">
      <c r="A23" s="2"/>
      <c r="B23" s="7">
        <v>19</v>
      </c>
      <c r="C23" s="68">
        <v>13002310</v>
      </c>
      <c r="D23" s="68"/>
      <c r="E23" s="5" t="s">
        <v>82</v>
      </c>
      <c r="F23" s="71" t="s">
        <v>90</v>
      </c>
      <c r="G23" s="71" t="s">
        <v>91</v>
      </c>
      <c r="H23" s="71" t="s">
        <v>92</v>
      </c>
      <c r="I23" s="5" t="s">
        <v>88</v>
      </c>
      <c r="J23" s="55"/>
      <c r="K23" s="55"/>
      <c r="L23" s="74">
        <f>M23*N23</f>
        <v>337.5</v>
      </c>
      <c r="M23" s="55">
        <v>75</v>
      </c>
      <c r="N23" s="55">
        <v>4.5</v>
      </c>
      <c r="O23" s="74">
        <v>0</v>
      </c>
      <c r="P23" s="74">
        <v>0</v>
      </c>
      <c r="Q23" s="25"/>
      <c r="R23" s="50" t="s">
        <v>89</v>
      </c>
      <c r="S23" s="52">
        <f>148927*L23</f>
        <v>50262862.5</v>
      </c>
      <c r="T23" s="39"/>
      <c r="U23" s="37">
        <f t="shared" si="3"/>
        <v>50262862.5</v>
      </c>
      <c r="V23" s="38">
        <f t="shared" si="4"/>
        <v>251314.3125</v>
      </c>
      <c r="W23" s="64">
        <f t="shared" si="2"/>
        <v>50514177</v>
      </c>
      <c r="X23" s="60"/>
      <c r="Y23" s="24">
        <f t="shared" si="5"/>
        <v>50514177</v>
      </c>
    </row>
    <row r="24" spans="1:25" ht="16.2" thickBot="1" x14ac:dyDescent="0.35">
      <c r="A24" s="2"/>
      <c r="B24" s="7">
        <v>20</v>
      </c>
      <c r="C24" s="68">
        <v>13001997</v>
      </c>
      <c r="D24" s="73"/>
      <c r="E24" s="5" t="s">
        <v>82</v>
      </c>
      <c r="F24" s="71" t="s">
        <v>93</v>
      </c>
      <c r="G24" s="71" t="s">
        <v>94</v>
      </c>
      <c r="H24" s="71" t="s">
        <v>95</v>
      </c>
      <c r="I24" s="71" t="s">
        <v>88</v>
      </c>
      <c r="J24" s="71"/>
      <c r="K24" s="71"/>
      <c r="L24" s="25">
        <f>M24*N24</f>
        <v>337.29999888645153</v>
      </c>
      <c r="M24" s="84">
        <v>74.955555308100344</v>
      </c>
      <c r="N24" s="55">
        <v>4.5</v>
      </c>
      <c r="O24" s="74">
        <v>0</v>
      </c>
      <c r="P24" s="74">
        <v>0</v>
      </c>
      <c r="Q24" s="25"/>
      <c r="R24" s="50" t="s">
        <v>89</v>
      </c>
      <c r="S24" s="52">
        <f>148927*L24</f>
        <v>50233076.934162565</v>
      </c>
      <c r="T24" s="39"/>
      <c r="U24" s="37">
        <f t="shared" si="3"/>
        <v>50233076.934162565</v>
      </c>
      <c r="V24" s="38">
        <f t="shared" si="4"/>
        <v>251165.38467081284</v>
      </c>
      <c r="W24" s="64">
        <f t="shared" si="2"/>
        <v>50484242</v>
      </c>
      <c r="X24" s="60"/>
      <c r="Y24" s="83"/>
    </row>
    <row r="25" spans="1:25" ht="15.6" x14ac:dyDescent="0.3">
      <c r="A25" s="2"/>
      <c r="B25" s="7">
        <v>21</v>
      </c>
      <c r="C25" s="68">
        <v>13001844</v>
      </c>
      <c r="D25" s="73"/>
      <c r="E25" s="5" t="s">
        <v>82</v>
      </c>
      <c r="F25" s="71" t="s">
        <v>96</v>
      </c>
      <c r="G25" s="71" t="s">
        <v>97</v>
      </c>
      <c r="H25" s="71" t="s">
        <v>98</v>
      </c>
      <c r="I25" s="71" t="s">
        <v>88</v>
      </c>
      <c r="J25" s="71"/>
      <c r="K25" s="71"/>
      <c r="L25" s="71">
        <f>M25*N25</f>
        <v>311.39999999999998</v>
      </c>
      <c r="M25" s="55">
        <v>90</v>
      </c>
      <c r="N25" s="55">
        <v>3.46</v>
      </c>
      <c r="O25" s="74">
        <v>0</v>
      </c>
      <c r="P25" s="74">
        <v>0</v>
      </c>
      <c r="Q25" s="25"/>
      <c r="R25" s="50" t="s">
        <v>89</v>
      </c>
      <c r="S25" s="52">
        <f>148927*L25</f>
        <v>46375867.799999997</v>
      </c>
      <c r="T25" s="39"/>
      <c r="U25" s="37">
        <f t="shared" si="3"/>
        <v>46375867.799999997</v>
      </c>
      <c r="V25" s="38">
        <f t="shared" si="4"/>
        <v>231879.33899999998</v>
      </c>
      <c r="W25" s="64">
        <f t="shared" si="2"/>
        <v>46607747</v>
      </c>
      <c r="X25" s="60"/>
      <c r="Y25" s="83"/>
    </row>
    <row r="26" spans="1:25" ht="15.6" x14ac:dyDescent="0.3">
      <c r="A26" s="2"/>
      <c r="B26" s="78"/>
      <c r="C26" s="79"/>
      <c r="D26" s="79"/>
      <c r="E26" s="33"/>
      <c r="F26" s="79"/>
      <c r="G26" s="79"/>
      <c r="H26" s="79"/>
      <c r="I26" s="79"/>
      <c r="J26" s="44"/>
      <c r="K26" s="44"/>
      <c r="L26" s="80"/>
      <c r="M26" s="44"/>
      <c r="N26" s="44"/>
      <c r="O26" s="80"/>
      <c r="P26" s="80"/>
      <c r="Q26" s="25"/>
      <c r="R26" s="50"/>
      <c r="S26" s="52"/>
      <c r="T26" s="39"/>
      <c r="U26" s="52"/>
      <c r="V26" s="81"/>
      <c r="W26" s="82"/>
      <c r="X26" s="60"/>
      <c r="Y26" s="83"/>
    </row>
    <row r="27" spans="1:25" ht="18.600000000000001" thickBot="1" x14ac:dyDescent="0.35">
      <c r="A27" s="2"/>
      <c r="O27" s="2"/>
      <c r="P27" s="40">
        <f>SUM(P5:P20)</f>
        <v>3.1710880857142856</v>
      </c>
      <c r="Q27" s="101" t="s">
        <v>41</v>
      </c>
      <c r="R27" s="101"/>
      <c r="S27" s="28"/>
      <c r="T27" s="28"/>
      <c r="U27" s="41"/>
      <c r="V27" s="77" t="s">
        <v>41</v>
      </c>
      <c r="W27" s="65">
        <f>SUM(W5:W26)</f>
        <v>2712448887</v>
      </c>
      <c r="X27" s="58"/>
      <c r="Y27" s="98"/>
    </row>
    <row r="28" spans="1:25" ht="22.5" customHeight="1" x14ac:dyDescent="0.3">
      <c r="A28" s="2"/>
      <c r="B28" s="44"/>
      <c r="C28" s="45"/>
      <c r="D28" s="27"/>
      <c r="E28" s="33"/>
      <c r="F28" s="32"/>
      <c r="G28" s="32"/>
      <c r="H28" s="32"/>
      <c r="I28" s="2"/>
      <c r="J28" s="2"/>
      <c r="K28" s="2"/>
      <c r="L28" s="16"/>
      <c r="M28" s="2"/>
      <c r="N28" s="2"/>
      <c r="O28" s="2"/>
      <c r="P28" s="16"/>
      <c r="Q28" s="100" t="s">
        <v>80</v>
      </c>
      <c r="R28" s="100"/>
      <c r="S28" s="28"/>
      <c r="T28" s="28"/>
      <c r="U28" s="42"/>
      <c r="V28" s="63" t="s">
        <v>81</v>
      </c>
      <c r="W28" s="66">
        <v>630000000</v>
      </c>
      <c r="X28" s="61"/>
      <c r="Y28" s="99"/>
    </row>
    <row r="29" spans="1:25" ht="16.2" thickBot="1" x14ac:dyDescent="0.35">
      <c r="A29" s="2"/>
      <c r="B29" s="44"/>
      <c r="C29" s="46"/>
      <c r="D29" s="44"/>
      <c r="E29" s="33"/>
      <c r="F29" s="32"/>
      <c r="G29" s="32"/>
      <c r="H29" s="32"/>
      <c r="I29" s="2"/>
      <c r="J29" s="2"/>
      <c r="K29" s="2"/>
      <c r="L29" s="2"/>
      <c r="M29" s="2"/>
      <c r="N29" s="2"/>
      <c r="O29" s="2"/>
      <c r="P29" s="2"/>
      <c r="Q29" s="102" t="s">
        <v>44</v>
      </c>
      <c r="R29" s="103"/>
      <c r="S29" s="28"/>
      <c r="T29" s="28"/>
      <c r="U29" s="28"/>
      <c r="V29" s="77"/>
      <c r="W29" s="67">
        <f>+W27+W28</f>
        <v>3342448887</v>
      </c>
      <c r="X29" s="62"/>
      <c r="Y29" s="57">
        <f>+W29+X29</f>
        <v>3342448887</v>
      </c>
    </row>
    <row r="30" spans="1:25" ht="15.6" x14ac:dyDescent="0.3">
      <c r="B30" s="44"/>
      <c r="C30" s="46"/>
      <c r="D30" s="44"/>
      <c r="E30" s="33"/>
      <c r="F30" s="34"/>
      <c r="G30" s="34"/>
      <c r="H30" s="34"/>
      <c r="W30" s="31"/>
      <c r="X30" s="6"/>
      <c r="Y30" s="6"/>
    </row>
    <row r="31" spans="1:25" x14ac:dyDescent="0.3">
      <c r="B31" s="44"/>
      <c r="C31" s="46"/>
      <c r="D31" s="44"/>
      <c r="W31" s="17"/>
    </row>
    <row r="32" spans="1:25" x14ac:dyDescent="0.3">
      <c r="B32" s="44"/>
      <c r="C32" s="46"/>
      <c r="D32" s="44"/>
      <c r="W32" s="96" t="s">
        <v>25</v>
      </c>
      <c r="X32" s="97"/>
      <c r="Y32" s="8"/>
    </row>
    <row r="33" spans="2:25" x14ac:dyDescent="0.3">
      <c r="B33" s="44"/>
      <c r="C33" s="47"/>
      <c r="D33" s="44"/>
      <c r="V33" s="17"/>
      <c r="W33" s="19" t="s">
        <v>24</v>
      </c>
      <c r="X33" s="12">
        <f>W29</f>
        <v>3342448887</v>
      </c>
      <c r="Y33" s="56"/>
    </row>
    <row r="34" spans="2:25" x14ac:dyDescent="0.3">
      <c r="V34" s="18"/>
      <c r="W34" s="13" t="s">
        <v>23</v>
      </c>
      <c r="X34" s="10">
        <v>362165659</v>
      </c>
      <c r="Y34" s="11">
        <v>0.106</v>
      </c>
    </row>
    <row r="35" spans="2:25" x14ac:dyDescent="0.3">
      <c r="W35" s="14" t="s">
        <v>22</v>
      </c>
      <c r="X35" s="14">
        <f>+X33+X34</f>
        <v>3704614546</v>
      </c>
      <c r="Y35" s="9"/>
    </row>
    <row r="36" spans="2:25" x14ac:dyDescent="0.3">
      <c r="X36" s="17"/>
    </row>
    <row r="39" spans="2:25" x14ac:dyDescent="0.3">
      <c r="L39">
        <v>942</v>
      </c>
    </row>
    <row r="42" spans="2:25" x14ac:dyDescent="0.3">
      <c r="X42" s="54"/>
    </row>
    <row r="45" spans="2:25" x14ac:dyDescent="0.3">
      <c r="X45" s="43"/>
    </row>
  </sheetData>
  <autoFilter ref="B4:Y27" xr:uid="{00000000-0009-0000-0000-000001000000}"/>
  <mergeCells count="6">
    <mergeCell ref="W32:X32"/>
    <mergeCell ref="B2:Y3"/>
    <mergeCell ref="Q27:R27"/>
    <mergeCell ref="Y27:Y28"/>
    <mergeCell ref="Q28:R28"/>
    <mergeCell ref="Q29:R2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PRIORIZACION FINAL 2022</vt:lpstr>
      <vt:lpstr>CON ANDENES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PCcasa</dc:creator>
  <cp:lastModifiedBy>Asus</cp:lastModifiedBy>
  <dcterms:created xsi:type="dcterms:W3CDTF">2020-06-14T03:53:43Z</dcterms:created>
  <dcterms:modified xsi:type="dcterms:W3CDTF">2023-02-04T00:38:52Z</dcterms:modified>
</cp:coreProperties>
</file>